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33" activeTab="16"/>
  </bookViews>
  <sheets>
    <sheet name="λάθηΤΑΝ" sheetId="4" r:id="rId1"/>
    <sheet name="282α1" sheetId="11" r:id="rId2"/>
    <sheet name="282α2" sheetId="45" r:id="rId3"/>
    <sheet name="282β1" sheetId="36" r:id="rId4"/>
    <sheet name="282β2" sheetId="46" r:id="rId5"/>
    <sheet name="282γ" sheetId="44" r:id="rId6"/>
    <sheet name="282δ" sheetId="35" r:id="rId7"/>
    <sheet name="282ε" sheetId="50" r:id="rId8"/>
    <sheet name="282ζ" sheetId="51" r:id="rId9"/>
    <sheet name="282η" sheetId="39" r:id="rId10"/>
    <sheet name="282θ" sheetId="52" r:id="rId11"/>
    <sheet name="282ι" sheetId="41" r:id="rId12"/>
    <sheet name="282κ" sheetId="42" r:id="rId13"/>
    <sheet name="282λ" sheetId="47" r:id="rId14"/>
    <sheet name="282μ1" sheetId="48" r:id="rId15"/>
    <sheet name="282μ2" sheetId="49" r:id="rId16"/>
    <sheet name="282ν" sheetId="53" r:id="rId17"/>
  </sheets>
  <calcPr calcId="125725"/>
</workbook>
</file>

<file path=xl/calcChain.xml><?xml version="1.0" encoding="utf-8"?>
<calcChain xmlns="http://schemas.openxmlformats.org/spreadsheetml/2006/main">
  <c r="O18" i="49"/>
  <c r="M9" i="51"/>
  <c r="H9"/>
  <c r="E9"/>
  <c r="D9"/>
  <c r="M9" i="35"/>
  <c r="N44"/>
  <c r="N43"/>
  <c r="O44" s="1"/>
  <c r="N40" i="44"/>
  <c r="M61" i="51"/>
  <c r="L61"/>
  <c r="L60"/>
  <c r="L54" i="50"/>
  <c r="L59" i="51"/>
  <c r="M56"/>
  <c r="M52" l="1"/>
  <c r="L58"/>
  <c r="L57"/>
  <c r="E98" i="47"/>
  <c r="M53" i="50"/>
  <c r="M48"/>
  <c r="E95" i="47" l="1"/>
  <c r="L53" i="50" l="1"/>
  <c r="L51"/>
  <c r="L47"/>
  <c r="L48"/>
  <c r="L52"/>
  <c r="E90" i="47"/>
  <c r="L56" i="51" l="1"/>
  <c r="N39" i="44"/>
  <c r="L55" i="51"/>
  <c r="L54"/>
  <c r="L53" l="1"/>
  <c r="L49" i="50"/>
  <c r="F33" i="39"/>
  <c r="L52" i="51"/>
  <c r="L51"/>
  <c r="L50"/>
  <c r="L49"/>
  <c r="L50" i="50"/>
  <c r="F24" i="39" l="1"/>
  <c r="Y13" i="49"/>
  <c r="Y10"/>
  <c r="X25" i="46"/>
  <c r="X23" i="36"/>
  <c r="E81" i="47" l="1"/>
  <c r="E68"/>
  <c r="E86"/>
  <c r="L48" i="51"/>
  <c r="L46" i="50"/>
  <c r="F35" i="52" l="1"/>
  <c r="N38" i="44"/>
  <c r="L45" i="50" l="1"/>
  <c r="E83" i="47"/>
  <c r="L47" i="51" l="1"/>
  <c r="L46"/>
  <c r="F37" i="52"/>
  <c r="F36"/>
  <c r="N37" i="44"/>
  <c r="M47" i="51" l="1"/>
  <c r="G37" i="52"/>
  <c r="G31" i="39"/>
  <c r="E76" i="47"/>
  <c r="N42" i="35"/>
  <c r="N41"/>
  <c r="N36" i="44"/>
  <c r="O42" i="35" l="1"/>
  <c r="F34" i="52"/>
  <c r="F31" i="39"/>
  <c r="F32"/>
  <c r="F30"/>
  <c r="L45" i="51"/>
  <c r="L44" l="1"/>
  <c r="L43"/>
  <c r="M44" l="1"/>
  <c r="E71" i="47"/>
  <c r="K38" i="36"/>
  <c r="N40" i="35" l="1"/>
  <c r="O40" s="1"/>
  <c r="N39"/>
  <c r="N35" i="44"/>
  <c r="N34" l="1"/>
  <c r="N33"/>
  <c r="F29" i="39"/>
  <c r="O34" i="44" l="1"/>
  <c r="E65" i="47"/>
  <c r="K47" i="46"/>
  <c r="K46"/>
  <c r="K45"/>
  <c r="K44"/>
  <c r="K34" i="36"/>
  <c r="L42" i="50"/>
  <c r="F29" i="52"/>
  <c r="F28"/>
  <c r="L40" i="51"/>
  <c r="L41" i="50"/>
  <c r="N32" i="44"/>
  <c r="E61" i="47"/>
  <c r="L39" i="50"/>
  <c r="K39" i="46"/>
  <c r="K40"/>
  <c r="L38" i="50"/>
  <c r="L38" i="51"/>
  <c r="L39"/>
  <c r="L40" i="50"/>
  <c r="N31" i="44"/>
  <c r="AI15" i="53"/>
  <c r="AI14"/>
  <c r="AI13"/>
  <c r="AC17" i="47"/>
  <c r="O17" s="1"/>
  <c r="AC16"/>
  <c r="O16" s="1"/>
  <c r="AC15"/>
  <c r="O15" s="1"/>
  <c r="AC14"/>
  <c r="O14" s="1"/>
  <c r="AC13"/>
  <c r="O13" s="1"/>
  <c r="AC12"/>
  <c r="O12" s="1"/>
  <c r="AC11"/>
  <c r="O11" s="1"/>
  <c r="AC10"/>
  <c r="O10" s="1"/>
  <c r="AC9"/>
  <c r="O9" s="1"/>
  <c r="AC8"/>
  <c r="O8" s="1"/>
  <c r="AC7"/>
  <c r="O7" s="1"/>
  <c r="AC6"/>
  <c r="O6" s="1"/>
  <c r="AC5"/>
  <c r="O5" s="1"/>
  <c r="AC4"/>
  <c r="O4" s="1"/>
  <c r="AC3"/>
  <c r="O3" s="1"/>
  <c r="AC2"/>
  <c r="O2" s="1"/>
  <c r="W24"/>
  <c r="W23"/>
  <c r="W22"/>
  <c r="AC17" i="52"/>
  <c r="O17" s="1"/>
  <c r="AC16"/>
  <c r="O16" s="1"/>
  <c r="AC15"/>
  <c r="O15" s="1"/>
  <c r="AC14"/>
  <c r="O14" s="1"/>
  <c r="AC13"/>
  <c r="O13" s="1"/>
  <c r="AC12"/>
  <c r="O12" s="1"/>
  <c r="AC11"/>
  <c r="O11" s="1"/>
  <c r="AC10"/>
  <c r="O10" s="1"/>
  <c r="AC9"/>
  <c r="O9" s="1"/>
  <c r="AC8"/>
  <c r="O8" s="1"/>
  <c r="AC7"/>
  <c r="O7" s="1"/>
  <c r="AC6"/>
  <c r="O6" s="1"/>
  <c r="AC5"/>
  <c r="O5" s="1"/>
  <c r="AC4"/>
  <c r="O4" s="1"/>
  <c r="AC3"/>
  <c r="O3" s="1"/>
  <c r="AC2"/>
  <c r="O2" s="1"/>
  <c r="W25"/>
  <c r="W24"/>
  <c r="W23"/>
  <c r="O3" i="39"/>
  <c r="O4"/>
  <c r="O5"/>
  <c r="O9"/>
  <c r="O12"/>
  <c r="O13"/>
  <c r="O16"/>
  <c r="O17"/>
  <c r="O2"/>
  <c r="AC17"/>
  <c r="AC16"/>
  <c r="AC15"/>
  <c r="O15" s="1"/>
  <c r="AC14"/>
  <c r="O14" s="1"/>
  <c r="AC13"/>
  <c r="AC12"/>
  <c r="AC11"/>
  <c r="O11" s="1"/>
  <c r="AC10"/>
  <c r="O10" s="1"/>
  <c r="AC9"/>
  <c r="AC8"/>
  <c r="AC7"/>
  <c r="O7" s="1"/>
  <c r="AC6"/>
  <c r="O6" s="1"/>
  <c r="AC5"/>
  <c r="AC4"/>
  <c r="AC3"/>
  <c r="AC2"/>
  <c r="W22"/>
  <c r="W21"/>
  <c r="W20"/>
  <c r="W19"/>
  <c r="AC17" i="51"/>
  <c r="O17" s="1"/>
  <c r="AC16"/>
  <c r="O16" s="1"/>
  <c r="AC15"/>
  <c r="O15" s="1"/>
  <c r="AC14"/>
  <c r="O14" s="1"/>
  <c r="AC13"/>
  <c r="O13" s="1"/>
  <c r="AC12"/>
  <c r="O12" s="1"/>
  <c r="AC11"/>
  <c r="O11" s="1"/>
  <c r="AC10"/>
  <c r="O10" s="1"/>
  <c r="AC9"/>
  <c r="O9" s="1"/>
  <c r="AC8"/>
  <c r="AC7"/>
  <c r="O7" s="1"/>
  <c r="AC6"/>
  <c r="O6" s="1"/>
  <c r="AC5"/>
  <c r="O5" s="1"/>
  <c r="AC4"/>
  <c r="O4" s="1"/>
  <c r="AC3"/>
  <c r="O3" s="1"/>
  <c r="AC2"/>
  <c r="O2" s="1"/>
  <c r="W34"/>
  <c r="W33"/>
  <c r="W32"/>
  <c r="W19" i="50"/>
  <c r="W20"/>
  <c r="W21"/>
  <c r="AC17"/>
  <c r="O17" s="1"/>
  <c r="AC16"/>
  <c r="O16" s="1"/>
  <c r="AC15"/>
  <c r="O15" s="1"/>
  <c r="AC14"/>
  <c r="O14" s="1"/>
  <c r="AC13"/>
  <c r="O13" s="1"/>
  <c r="AC12"/>
  <c r="O12" s="1"/>
  <c r="AC11"/>
  <c r="O11" s="1"/>
  <c r="AC10"/>
  <c r="O10" s="1"/>
  <c r="AC9"/>
  <c r="AC8"/>
  <c r="AC7"/>
  <c r="O7" s="1"/>
  <c r="AC6"/>
  <c r="O6" s="1"/>
  <c r="AC5"/>
  <c r="O5" s="1"/>
  <c r="AC4"/>
  <c r="O4" s="1"/>
  <c r="AC3"/>
  <c r="O3" s="1"/>
  <c r="AC2"/>
  <c r="O2" s="1"/>
  <c r="O7" i="35"/>
  <c r="O14"/>
  <c r="O15"/>
  <c r="AC17"/>
  <c r="O17" s="1"/>
  <c r="AC16"/>
  <c r="O16" s="1"/>
  <c r="AC15"/>
  <c r="AC14"/>
  <c r="AC13"/>
  <c r="O13" s="1"/>
  <c r="AC12"/>
  <c r="O12" s="1"/>
  <c r="AC11"/>
  <c r="O11" s="1"/>
  <c r="AC10"/>
  <c r="O10" s="1"/>
  <c r="AC9"/>
  <c r="O9" s="1"/>
  <c r="AC8"/>
  <c r="O8" s="1"/>
  <c r="AC7"/>
  <c r="AC6"/>
  <c r="O6" s="1"/>
  <c r="AC5"/>
  <c r="O5" s="1"/>
  <c r="AC4"/>
  <c r="O4" s="1"/>
  <c r="AC3"/>
  <c r="O3" s="1"/>
  <c r="AC2"/>
  <c r="O2" s="1"/>
  <c r="V21"/>
  <c r="V20"/>
  <c r="V19"/>
  <c r="O17" i="44"/>
  <c r="AC17"/>
  <c r="AC16"/>
  <c r="O16" s="1"/>
  <c r="AC15"/>
  <c r="O15" s="1"/>
  <c r="AC14"/>
  <c r="O14" s="1"/>
  <c r="AC13"/>
  <c r="O13" s="1"/>
  <c r="AC12"/>
  <c r="O12" s="1"/>
  <c r="AC11"/>
  <c r="O11" s="1"/>
  <c r="AC10"/>
  <c r="O10" s="1"/>
  <c r="AC9"/>
  <c r="O9" s="1"/>
  <c r="AC8"/>
  <c r="O8" s="1"/>
  <c r="AC7"/>
  <c r="O7" s="1"/>
  <c r="AC6"/>
  <c r="O6" s="1"/>
  <c r="AC5"/>
  <c r="O5" s="1"/>
  <c r="AC4"/>
  <c r="O4" s="1"/>
  <c r="AC3"/>
  <c r="O3" s="1"/>
  <c r="AC2"/>
  <c r="O2" s="1"/>
  <c r="W23"/>
  <c r="W22"/>
  <c r="W21"/>
  <c r="O9" i="46"/>
  <c r="O13"/>
  <c r="O17"/>
  <c r="AC17"/>
  <c r="AC16"/>
  <c r="O16" s="1"/>
  <c r="AC15"/>
  <c r="O15" s="1"/>
  <c r="AC14"/>
  <c r="O14" s="1"/>
  <c r="AC13"/>
  <c r="AC12"/>
  <c r="O12" s="1"/>
  <c r="AC11"/>
  <c r="O11" s="1"/>
  <c r="AC10"/>
  <c r="O10" s="1"/>
  <c r="AC9"/>
  <c r="AC8"/>
  <c r="O8" s="1"/>
  <c r="AC7"/>
  <c r="O7" s="1"/>
  <c r="AC6"/>
  <c r="O6" s="1"/>
  <c r="AC5"/>
  <c r="O5" s="1"/>
  <c r="AC4"/>
  <c r="O4" s="1"/>
  <c r="AC3"/>
  <c r="O3" s="1"/>
  <c r="AC2"/>
  <c r="O2" s="1"/>
  <c r="V27"/>
  <c r="V26"/>
  <c r="V25"/>
  <c r="V28" s="1"/>
  <c r="O13" i="36"/>
  <c r="O15"/>
  <c r="AC17"/>
  <c r="O17" s="1"/>
  <c r="AC16"/>
  <c r="O16" s="1"/>
  <c r="AC15"/>
  <c r="AC14"/>
  <c r="O14" s="1"/>
  <c r="AC13"/>
  <c r="AC12"/>
  <c r="O12" s="1"/>
  <c r="AC11"/>
  <c r="O11" s="1"/>
  <c r="AC10"/>
  <c r="O10" s="1"/>
  <c r="AC9"/>
  <c r="O9" s="1"/>
  <c r="AC8"/>
  <c r="O8" s="1"/>
  <c r="AC7"/>
  <c r="O7" s="1"/>
  <c r="AC6"/>
  <c r="O6" s="1"/>
  <c r="AC5"/>
  <c r="O5" s="1"/>
  <c r="AC4"/>
  <c r="O4" s="1"/>
  <c r="AC3"/>
  <c r="O3" s="1"/>
  <c r="AC2"/>
  <c r="O2" s="1"/>
  <c r="V25"/>
  <c r="V24"/>
  <c r="V23"/>
  <c r="V26" s="1"/>
  <c r="O10" i="45"/>
  <c r="O14"/>
  <c r="AC17"/>
  <c r="AC16"/>
  <c r="O16" s="1"/>
  <c r="AC15"/>
  <c r="O15" s="1"/>
  <c r="AC14"/>
  <c r="AC13"/>
  <c r="O13" s="1"/>
  <c r="AC12"/>
  <c r="O12" s="1"/>
  <c r="AC11"/>
  <c r="O11" s="1"/>
  <c r="AC10"/>
  <c r="AC9"/>
  <c r="O9" s="1"/>
  <c r="AC8"/>
  <c r="O8" s="1"/>
  <c r="AC7"/>
  <c r="O7" s="1"/>
  <c r="AC6"/>
  <c r="O6" s="1"/>
  <c r="AC5"/>
  <c r="O5" s="1"/>
  <c r="AC4"/>
  <c r="O4" s="1"/>
  <c r="AC3"/>
  <c r="O3" s="1"/>
  <c r="AC2"/>
  <c r="O2" s="1"/>
  <c r="V24"/>
  <c r="V23"/>
  <c r="V22"/>
  <c r="O9" i="11"/>
  <c r="O13"/>
  <c r="O17"/>
  <c r="AC17"/>
  <c r="AC16"/>
  <c r="O16" s="1"/>
  <c r="AC15"/>
  <c r="O15" s="1"/>
  <c r="AC14"/>
  <c r="O14" s="1"/>
  <c r="AC13"/>
  <c r="AC12"/>
  <c r="O12" s="1"/>
  <c r="AC11"/>
  <c r="O11" s="1"/>
  <c r="AC10"/>
  <c r="O10" s="1"/>
  <c r="AC9"/>
  <c r="AC8"/>
  <c r="O8" s="1"/>
  <c r="AC7"/>
  <c r="O7" s="1"/>
  <c r="AC6"/>
  <c r="O6" s="1"/>
  <c r="AC5"/>
  <c r="O5" s="1"/>
  <c r="AC4"/>
  <c r="O4" s="1"/>
  <c r="AC3"/>
  <c r="O3" s="1"/>
  <c r="AC2"/>
  <c r="O2" s="1"/>
  <c r="W25" i="47" l="1"/>
  <c r="V22" i="35"/>
  <c r="W24" i="44"/>
  <c r="W22" i="50"/>
  <c r="M40"/>
  <c r="G29" i="52"/>
  <c r="O18" i="50"/>
  <c r="W35" i="51"/>
  <c r="V25" i="45"/>
  <c r="AI16" i="53"/>
  <c r="O18" i="47"/>
  <c r="W26" i="52"/>
  <c r="O18"/>
  <c r="O18" i="51"/>
  <c r="O18" i="46"/>
  <c r="O18" i="36"/>
  <c r="O18" i="45"/>
  <c r="V24" i="11"/>
  <c r="V23"/>
  <c r="V22"/>
  <c r="O18"/>
  <c r="W12" i="49"/>
  <c r="W11"/>
  <c r="W10"/>
  <c r="V25" i="11" l="1"/>
  <c r="W13" i="49"/>
  <c r="O17" i="53" l="1"/>
  <c r="O18"/>
  <c r="G15"/>
  <c r="C150"/>
  <c r="B150"/>
  <c r="N150" s="1"/>
  <c r="C149"/>
  <c r="B149"/>
  <c r="B148"/>
  <c r="C148"/>
  <c r="N148" s="1"/>
  <c r="E15" s="1"/>
  <c r="C147"/>
  <c r="B147"/>
  <c r="B146"/>
  <c r="C146"/>
  <c r="B145"/>
  <c r="C145"/>
  <c r="B144"/>
  <c r="I144"/>
  <c r="B143"/>
  <c r="I143"/>
  <c r="B141"/>
  <c r="I141"/>
  <c r="B140"/>
  <c r="I140"/>
  <c r="B139"/>
  <c r="I139"/>
  <c r="B138"/>
  <c r="N138" s="1"/>
  <c r="G14" s="1"/>
  <c r="B137"/>
  <c r="N137" s="1"/>
  <c r="F14" s="1"/>
  <c r="AB144"/>
  <c r="AC144" s="1"/>
  <c r="N147"/>
  <c r="D15" s="1"/>
  <c r="N149"/>
  <c r="F15" s="1"/>
  <c r="N141"/>
  <c r="J14" s="1"/>
  <c r="B136"/>
  <c r="B135"/>
  <c r="B134"/>
  <c r="N134"/>
  <c r="C14" s="1"/>
  <c r="N125"/>
  <c r="F13" s="1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AC143"/>
  <c r="AB143"/>
  <c r="AA143"/>
  <c r="AC141"/>
  <c r="B133"/>
  <c r="N133"/>
  <c r="B14" s="1"/>
  <c r="B132"/>
  <c r="N132" s="1"/>
  <c r="M13" s="1"/>
  <c r="B131"/>
  <c r="N131" s="1"/>
  <c r="L13" s="1"/>
  <c r="B130"/>
  <c r="B129"/>
  <c r="B128"/>
  <c r="B127"/>
  <c r="N127" s="1"/>
  <c r="H13" s="1"/>
  <c r="B126"/>
  <c r="N126"/>
  <c r="G13" s="1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3"/>
  <c r="B92"/>
  <c r="B91"/>
  <c r="B90"/>
  <c r="N135"/>
  <c r="D14" s="1"/>
  <c r="N136"/>
  <c r="E14" s="1"/>
  <c r="N139"/>
  <c r="H14" s="1"/>
  <c r="N142"/>
  <c r="N143"/>
  <c r="L14" s="1"/>
  <c r="N144"/>
  <c r="M14" s="1"/>
  <c r="N145"/>
  <c r="B15" s="1"/>
  <c r="N146"/>
  <c r="C15" s="1"/>
  <c r="N140" l="1"/>
  <c r="I14" s="1"/>
  <c r="N129"/>
  <c r="J13" s="1"/>
  <c r="N128"/>
  <c r="I13" s="1"/>
  <c r="N130"/>
  <c r="K13" s="1"/>
  <c r="N112" l="1"/>
  <c r="E12" s="1"/>
  <c r="N111"/>
  <c r="D12" s="1"/>
  <c r="N110"/>
  <c r="C12" s="1"/>
  <c r="N114"/>
  <c r="G12" s="1"/>
  <c r="N117"/>
  <c r="J12" s="1"/>
  <c r="N118"/>
  <c r="K12" s="1"/>
  <c r="N119"/>
  <c r="L12" s="1"/>
  <c r="N120"/>
  <c r="M12" s="1"/>
  <c r="N121"/>
  <c r="B13" s="1"/>
  <c r="N122"/>
  <c r="C13" s="1"/>
  <c r="N123"/>
  <c r="D13" s="1"/>
  <c r="N124"/>
  <c r="E13" s="1"/>
  <c r="N108"/>
  <c r="M11" s="1"/>
  <c r="N107"/>
  <c r="L11" s="1"/>
  <c r="N105"/>
  <c r="J11" s="1"/>
  <c r="N104"/>
  <c r="I11" s="1"/>
  <c r="N102"/>
  <c r="G11" s="1"/>
  <c r="N101"/>
  <c r="F11" s="1"/>
  <c r="N100"/>
  <c r="E11" s="1"/>
  <c r="N98"/>
  <c r="C11" s="1"/>
  <c r="N99"/>
  <c r="D11" s="1"/>
  <c r="N103"/>
  <c r="H11" s="1"/>
  <c r="N106"/>
  <c r="K11" s="1"/>
  <c r="N97"/>
  <c r="B11" s="1"/>
  <c r="D10"/>
  <c r="N96"/>
  <c r="M10" s="1"/>
  <c r="N94"/>
  <c r="K10" s="1"/>
  <c r="N92"/>
  <c r="I10" s="1"/>
  <c r="N90"/>
  <c r="G10" s="1"/>
  <c r="C89"/>
  <c r="N89" s="1"/>
  <c r="F10" s="1"/>
  <c r="B89"/>
  <c r="C88"/>
  <c r="C87"/>
  <c r="B88"/>
  <c r="B87"/>
  <c r="B86"/>
  <c r="C86"/>
  <c r="C85"/>
  <c r="B85"/>
  <c r="B84"/>
  <c r="B83"/>
  <c r="B82"/>
  <c r="B81"/>
  <c r="B80"/>
  <c r="B79"/>
  <c r="B78"/>
  <c r="B77"/>
  <c r="B76"/>
  <c r="B75"/>
  <c r="B74"/>
  <c r="N74" s="1"/>
  <c r="C9" s="1"/>
  <c r="B73"/>
  <c r="N73" s="1"/>
  <c r="B9" s="1"/>
  <c r="B72"/>
  <c r="B71"/>
  <c r="N71" s="1"/>
  <c r="L8" s="1"/>
  <c r="B70"/>
  <c r="N70" s="1"/>
  <c r="K8" s="1"/>
  <c r="B69"/>
  <c r="B68"/>
  <c r="B67"/>
  <c r="N67" s="1"/>
  <c r="H8" s="1"/>
  <c r="B66"/>
  <c r="B65"/>
  <c r="B64"/>
  <c r="B63"/>
  <c r="B62"/>
  <c r="N62" s="1"/>
  <c r="C8" s="1"/>
  <c r="N80"/>
  <c r="I9" s="1"/>
  <c r="N79"/>
  <c r="H9" s="1"/>
  <c r="N78"/>
  <c r="G9" s="1"/>
  <c r="N87"/>
  <c r="N88"/>
  <c r="E10" s="1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N64" s="1"/>
  <c r="E8" s="1"/>
  <c r="C63"/>
  <c r="C62"/>
  <c r="C61"/>
  <c r="N61" s="1"/>
  <c r="B8" s="1"/>
  <c r="N65"/>
  <c r="F8" s="1"/>
  <c r="N66"/>
  <c r="G8" s="1"/>
  <c r="N69"/>
  <c r="J8" s="1"/>
  <c r="B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AC89"/>
  <c r="B39"/>
  <c r="B38"/>
  <c r="B37"/>
  <c r="B36"/>
  <c r="B35"/>
  <c r="B34"/>
  <c r="B33"/>
  <c r="B32"/>
  <c r="B31"/>
  <c r="B30"/>
  <c r="B29"/>
  <c r="B28"/>
  <c r="B27"/>
  <c r="B26"/>
  <c r="B25"/>
  <c r="B24"/>
  <c r="AC20"/>
  <c r="AB92"/>
  <c r="AA92"/>
  <c r="AC90"/>
  <c r="C39"/>
  <c r="C38"/>
  <c r="C37"/>
  <c r="Z20"/>
  <c r="C36"/>
  <c r="C35"/>
  <c r="C34"/>
  <c r="C33"/>
  <c r="C32"/>
  <c r="C31"/>
  <c r="C30"/>
  <c r="C29"/>
  <c r="C28"/>
  <c r="C27"/>
  <c r="C26"/>
  <c r="C25"/>
  <c r="C24"/>
  <c r="AB22"/>
  <c r="AA22"/>
  <c r="N91"/>
  <c r="H10" s="1"/>
  <c r="N93"/>
  <c r="J10" s="1"/>
  <c r="N95"/>
  <c r="L10" s="1"/>
  <c r="N75"/>
  <c r="D9" s="1"/>
  <c r="N82"/>
  <c r="K9" s="1"/>
  <c r="N83"/>
  <c r="L9" s="1"/>
  <c r="N14"/>
  <c r="N15"/>
  <c r="N16"/>
  <c r="N17"/>
  <c r="N18"/>
  <c r="N63"/>
  <c r="D8" s="1"/>
  <c r="N68"/>
  <c r="I8" s="1"/>
  <c r="N72"/>
  <c r="M8" s="1"/>
  <c r="N109"/>
  <c r="B12" s="1"/>
  <c r="N85"/>
  <c r="B10" s="1"/>
  <c r="N13" l="1"/>
  <c r="AC92"/>
  <c r="N116"/>
  <c r="I12" s="1"/>
  <c r="N115"/>
  <c r="H12" s="1"/>
  <c r="N113"/>
  <c r="F12" s="1"/>
  <c r="N11"/>
  <c r="N10"/>
  <c r="N86"/>
  <c r="C10" s="1"/>
  <c r="N81"/>
  <c r="J9" s="1"/>
  <c r="N77"/>
  <c r="F9" s="1"/>
  <c r="N76"/>
  <c r="E9" s="1"/>
  <c r="N84"/>
  <c r="M9" s="1"/>
  <c r="N8"/>
  <c r="N12" l="1"/>
  <c r="N9"/>
  <c r="E56" i="47"/>
  <c r="F26" i="39"/>
  <c r="AB7" i="53"/>
  <c r="O7" s="1"/>
  <c r="AB8"/>
  <c r="O8" s="1"/>
  <c r="AB5"/>
  <c r="O5" s="1"/>
  <c r="AB4"/>
  <c r="O4" s="1"/>
  <c r="AB6"/>
  <c r="O6" s="1"/>
  <c r="AB9"/>
  <c r="O9" s="1"/>
  <c r="AB10"/>
  <c r="O10" s="1"/>
  <c r="AB11"/>
  <c r="O11" s="1"/>
  <c r="AB12"/>
  <c r="O12" s="1"/>
  <c r="AB13"/>
  <c r="O13" s="1"/>
  <c r="AB14"/>
  <c r="O14" s="1"/>
  <c r="AB15"/>
  <c r="O15" s="1"/>
  <c r="AB16"/>
  <c r="O16" s="1"/>
  <c r="AB17"/>
  <c r="AB18"/>
  <c r="AB3"/>
  <c r="O3" s="1"/>
  <c r="B50" l="1"/>
  <c r="N49"/>
  <c r="L6" s="1"/>
  <c r="B49"/>
  <c r="B48"/>
  <c r="N47"/>
  <c r="J6" s="1"/>
  <c r="B47"/>
  <c r="B46"/>
  <c r="B45"/>
  <c r="B44"/>
  <c r="N44"/>
  <c r="G6" s="1"/>
  <c r="B43"/>
  <c r="N43"/>
  <c r="F6" s="1"/>
  <c r="N42"/>
  <c r="E6" s="1"/>
  <c r="B42"/>
  <c r="B41"/>
  <c r="N41" s="1"/>
  <c r="D6" s="1"/>
  <c r="B40"/>
  <c r="N39"/>
  <c r="B6" s="1"/>
  <c r="N40"/>
  <c r="C6" s="1"/>
  <c r="N45"/>
  <c r="H6" s="1"/>
  <c r="N48"/>
  <c r="K6" s="1"/>
  <c r="N50"/>
  <c r="M6" s="1"/>
  <c r="N35"/>
  <c r="J5" s="1"/>
  <c r="N36"/>
  <c r="K5" s="1"/>
  <c r="N37"/>
  <c r="L5" s="1"/>
  <c r="N38"/>
  <c r="M5" s="1"/>
  <c r="N33"/>
  <c r="H5" s="1"/>
  <c r="N32"/>
  <c r="G5" s="1"/>
  <c r="N31"/>
  <c r="F5" s="1"/>
  <c r="N30"/>
  <c r="M4" s="1"/>
  <c r="N29"/>
  <c r="J4" s="1"/>
  <c r="N28"/>
  <c r="I4" s="1"/>
  <c r="N27"/>
  <c r="H4" s="1"/>
  <c r="B60"/>
  <c r="K33" i="36"/>
  <c r="L35" i="50"/>
  <c r="F34" i="45"/>
  <c r="F35"/>
  <c r="N46" i="53" l="1"/>
  <c r="I6" s="1"/>
  <c r="N6" s="1"/>
  <c r="N26"/>
  <c r="G4" s="1"/>
  <c r="N34"/>
  <c r="I5" s="1"/>
  <c r="N5" s="1"/>
  <c r="N25"/>
  <c r="D4" s="1"/>
  <c r="N24"/>
  <c r="B4" s="1"/>
  <c r="N4" l="1"/>
  <c r="B59"/>
  <c r="B58" l="1"/>
  <c r="E54" i="47"/>
  <c r="B57" i="53" l="1"/>
  <c r="B56" l="1"/>
  <c r="B55"/>
  <c r="E50" i="47" l="1"/>
  <c r="B54" i="53" l="1"/>
  <c r="L34" i="51"/>
  <c r="L33"/>
  <c r="L34" i="50"/>
  <c r="M34" i="51" l="1"/>
  <c r="F45" i="11"/>
  <c r="F44" l="1"/>
  <c r="B53" i="53" l="1"/>
  <c r="B52" l="1"/>
  <c r="N60" l="1"/>
  <c r="M7" s="1"/>
  <c r="N52"/>
  <c r="C7" s="1"/>
  <c r="N53"/>
  <c r="D7" s="1"/>
  <c r="N54"/>
  <c r="G7" s="1"/>
  <c r="N55"/>
  <c r="H7" s="1"/>
  <c r="N56"/>
  <c r="I7" s="1"/>
  <c r="N57"/>
  <c r="J7" s="1"/>
  <c r="N58"/>
  <c r="K7" s="1"/>
  <c r="N59"/>
  <c r="L7" s="1"/>
  <c r="D51"/>
  <c r="B51"/>
  <c r="N7" l="1"/>
  <c r="N51"/>
  <c r="O19" l="1"/>
  <c r="N19"/>
  <c r="AK13" l="1"/>
  <c r="AK16" s="1"/>
  <c r="E43" i="47"/>
  <c r="E41"/>
  <c r="E38"/>
  <c r="L32" i="50"/>
  <c r="F32" i="45"/>
  <c r="F33"/>
  <c r="L33" i="50"/>
  <c r="L31"/>
  <c r="K29" i="36"/>
  <c r="K28"/>
  <c r="K37" i="46"/>
  <c r="K36"/>
  <c r="K30" i="36"/>
  <c r="L32" i="51"/>
  <c r="L30" i="50"/>
  <c r="N28" i="44"/>
  <c r="N43"/>
  <c r="N30"/>
  <c r="N35" i="35"/>
  <c r="N34"/>
  <c r="N33"/>
  <c r="N32"/>
  <c r="N29"/>
  <c r="N28"/>
  <c r="O35" l="1"/>
  <c r="L30" i="36"/>
  <c r="L37" i="46"/>
  <c r="O29" i="35"/>
  <c r="F29" i="11"/>
  <c r="K25" i="36"/>
  <c r="F28" i="45"/>
  <c r="F28" i="11"/>
  <c r="E26" i="47"/>
  <c r="K33" i="46"/>
  <c r="K32"/>
  <c r="L27" i="50"/>
  <c r="E24" i="47"/>
  <c r="N27" i="35"/>
  <c r="N26"/>
  <c r="L26" i="51"/>
  <c r="L26" i="50"/>
  <c r="O27" i="35" l="1"/>
  <c r="L33" i="46"/>
  <c r="L25" i="50"/>
  <c r="N49" i="44"/>
  <c r="N48"/>
  <c r="N47"/>
  <c r="N46"/>
  <c r="N45"/>
  <c r="F24" i="11"/>
  <c r="E130" i="47"/>
  <c r="E126"/>
  <c r="E113"/>
  <c r="L64" i="50"/>
  <c r="F83" i="11"/>
  <c r="K56" i="46"/>
  <c r="K55"/>
  <c r="K58"/>
  <c r="K57"/>
  <c r="L65" i="50"/>
  <c r="L58" i="46" l="1"/>
  <c r="O48" i="44"/>
  <c r="E122" i="47"/>
  <c r="K36" i="36"/>
  <c r="K35"/>
  <c r="F43" i="39"/>
  <c r="L71" i="50" l="1"/>
  <c r="L70"/>
  <c r="F85" i="11" l="1"/>
  <c r="K45" i="36"/>
  <c r="F84" i="11"/>
  <c r="F74"/>
  <c r="F75"/>
  <c r="F76"/>
  <c r="F71"/>
  <c r="F72"/>
  <c r="F68"/>
  <c r="F69"/>
  <c r="F70"/>
  <c r="F67"/>
  <c r="N56" i="35"/>
  <c r="N57"/>
  <c r="F37" i="39"/>
  <c r="F51" i="11"/>
  <c r="K37" i="36"/>
  <c r="K39"/>
  <c r="F28" i="39"/>
  <c r="E128" i="47"/>
  <c r="E105"/>
  <c r="E102"/>
  <c r="E33"/>
  <c r="E31"/>
  <c r="F23" i="11"/>
  <c r="F26" i="45"/>
  <c r="F25"/>
  <c r="L25" i="51"/>
  <c r="L24"/>
  <c r="N25" i="35"/>
  <c r="N24"/>
  <c r="F27" i="45"/>
  <c r="F29"/>
  <c r="F26" i="11"/>
  <c r="F27"/>
  <c r="F30"/>
  <c r="K31" i="46"/>
  <c r="K30"/>
  <c r="F31" i="11"/>
  <c r="F32"/>
  <c r="F33"/>
  <c r="N31" i="35"/>
  <c r="N30"/>
  <c r="N25" i="44"/>
  <c r="F34" i="11"/>
  <c r="F31" i="45"/>
  <c r="F50" i="11"/>
  <c r="F27" i="52"/>
  <c r="F26"/>
  <c r="F65" i="11"/>
  <c r="F61"/>
  <c r="F62"/>
  <c r="F63"/>
  <c r="F64"/>
  <c r="F66"/>
  <c r="O57" i="35" l="1"/>
  <c r="G27" i="52"/>
  <c r="O25" i="35"/>
  <c r="G26" i="45"/>
  <c r="M25" i="51"/>
  <c r="L31" i="46"/>
  <c r="O31" i="35"/>
  <c r="F43" i="52"/>
  <c r="K54" i="46" l="1"/>
  <c r="K53"/>
  <c r="L70" i="51"/>
  <c r="L69"/>
  <c r="L61" i="50"/>
  <c r="K52" i="46"/>
  <c r="L68" i="51"/>
  <c r="L67"/>
  <c r="K51" i="46"/>
  <c r="L52" s="1"/>
  <c r="L54" l="1"/>
  <c r="L63" i="50" l="1"/>
  <c r="F41" i="39" l="1"/>
  <c r="F42"/>
  <c r="F46" i="52"/>
  <c r="F45"/>
  <c r="G46" l="1"/>
  <c r="K44" i="36"/>
  <c r="K49" i="46"/>
  <c r="K48"/>
  <c r="F39" i="52"/>
  <c r="F33"/>
  <c r="F32"/>
  <c r="F31"/>
  <c r="F30"/>
  <c r="K42" i="46"/>
  <c r="K41"/>
  <c r="G33" i="52" l="1"/>
  <c r="L49" i="46"/>
  <c r="L42"/>
  <c r="N55" i="35" l="1"/>
  <c r="N54"/>
  <c r="N45"/>
  <c r="N46"/>
  <c r="N47"/>
  <c r="N48"/>
  <c r="N49"/>
  <c r="N50"/>
  <c r="N51"/>
  <c r="N52"/>
  <c r="N53"/>
  <c r="N26" i="44"/>
  <c r="N27"/>
  <c r="N29"/>
  <c r="O29" s="1"/>
  <c r="L71" i="51"/>
  <c r="L72"/>
  <c r="L73"/>
  <c r="L74"/>
  <c r="L66" i="50"/>
  <c r="L67"/>
  <c r="L68"/>
  <c r="L69"/>
  <c r="L66" i="51"/>
  <c r="L65"/>
  <c r="L57" i="50"/>
  <c r="L58"/>
  <c r="L59"/>
  <c r="L60"/>
  <c r="L62" i="51"/>
  <c r="L63"/>
  <c r="L37"/>
  <c r="M38" s="1"/>
  <c r="L41"/>
  <c r="L42"/>
  <c r="L64"/>
  <c r="L36"/>
  <c r="L35"/>
  <c r="E52" i="47"/>
  <c r="M70" i="51" l="1"/>
  <c r="M61" i="50"/>
  <c r="M68"/>
  <c r="O53" i="35"/>
  <c r="O46"/>
  <c r="M63" i="51"/>
  <c r="M36"/>
  <c r="O49" i="35"/>
  <c r="O51"/>
  <c r="O55"/>
  <c r="P57" s="1"/>
  <c r="K24" i="36"/>
  <c r="L25" s="1"/>
  <c r="L31" i="51"/>
  <c r="M32" s="1"/>
  <c r="L29"/>
  <c r="L30"/>
  <c r="L29" i="50"/>
  <c r="L36"/>
  <c r="L37"/>
  <c r="L43"/>
  <c r="L44"/>
  <c r="L56"/>
  <c r="L62"/>
  <c r="K26" i="36"/>
  <c r="K27"/>
  <c r="K31"/>
  <c r="K32"/>
  <c r="K40"/>
  <c r="K41"/>
  <c r="K42"/>
  <c r="K43"/>
  <c r="K59" i="46"/>
  <c r="K43"/>
  <c r="K34"/>
  <c r="K35"/>
  <c r="K38"/>
  <c r="L39" s="1"/>
  <c r="F25" i="52"/>
  <c r="F24"/>
  <c r="F49"/>
  <c r="F44"/>
  <c r="F41"/>
  <c r="F40"/>
  <c r="F38"/>
  <c r="N17"/>
  <c r="K18" i="4" s="1"/>
  <c r="N16" i="52"/>
  <c r="K17" i="4" s="1"/>
  <c r="N15" i="52"/>
  <c r="K16" i="4" s="1"/>
  <c r="N14" i="52"/>
  <c r="K15" i="4" s="1"/>
  <c r="N13" i="52"/>
  <c r="K14" i="4" s="1"/>
  <c r="N12" i="52"/>
  <c r="K13" i="4" s="1"/>
  <c r="N11" i="52"/>
  <c r="K12" i="4" s="1"/>
  <c r="N10" i="52"/>
  <c r="K11" i="4" s="1"/>
  <c r="N9" i="52"/>
  <c r="K10" i="4" s="1"/>
  <c r="N8" i="52"/>
  <c r="K9" i="4" s="1"/>
  <c r="N7" i="52"/>
  <c r="K8" i="4" s="1"/>
  <c r="N6" i="52"/>
  <c r="K7" i="4" s="1"/>
  <c r="N5" i="52"/>
  <c r="K6" i="4" s="1"/>
  <c r="N4" i="52"/>
  <c r="K5" i="4" s="1"/>
  <c r="N3" i="52"/>
  <c r="K4" i="4" s="1"/>
  <c r="N2" i="52"/>
  <c r="F40" i="39"/>
  <c r="F39"/>
  <c r="F36"/>
  <c r="F34"/>
  <c r="F27"/>
  <c r="F23"/>
  <c r="N3"/>
  <c r="J4" i="4" s="1"/>
  <c r="N4" i="39"/>
  <c r="J5" i="4" s="1"/>
  <c r="N5" i="39"/>
  <c r="J6" i="4" s="1"/>
  <c r="N6" i="39"/>
  <c r="J7" i="4" s="1"/>
  <c r="N7" i="39"/>
  <c r="J8" i="4" s="1"/>
  <c r="N8" i="39"/>
  <c r="J9" i="4" s="1"/>
  <c r="N9" i="39"/>
  <c r="J10" i="4" s="1"/>
  <c r="N10" i="39"/>
  <c r="J11" i="4" s="1"/>
  <c r="N11" i="39"/>
  <c r="J12" i="4" s="1"/>
  <c r="N12" i="39"/>
  <c r="J13" i="4" s="1"/>
  <c r="N13" i="39"/>
  <c r="J14" i="4" s="1"/>
  <c r="N14" i="39"/>
  <c r="J15" i="4" s="1"/>
  <c r="N15" i="39"/>
  <c r="J16" i="4" s="1"/>
  <c r="N16" i="39"/>
  <c r="J17" i="4" s="1"/>
  <c r="N17" i="39"/>
  <c r="J18" i="4" s="1"/>
  <c r="N2" i="39"/>
  <c r="J3" i="4" s="1"/>
  <c r="L28" i="51"/>
  <c r="L27"/>
  <c r="N17"/>
  <c r="I18" i="4" s="1"/>
  <c r="N16" i="51"/>
  <c r="I17" i="4" s="1"/>
  <c r="N15" i="51"/>
  <c r="I16" i="4" s="1"/>
  <c r="N14" i="51"/>
  <c r="I15" i="4" s="1"/>
  <c r="N13" i="51"/>
  <c r="I14" i="4" s="1"/>
  <c r="N12" i="51"/>
  <c r="I13" i="4" s="1"/>
  <c r="N11" i="51"/>
  <c r="I12" i="4" s="1"/>
  <c r="N10" i="51"/>
  <c r="I11" i="4" s="1"/>
  <c r="N9" i="51"/>
  <c r="I10" i="4" s="1"/>
  <c r="N8" i="51"/>
  <c r="I9" i="4" s="1"/>
  <c r="N7" i="51"/>
  <c r="I8" i="4" s="1"/>
  <c r="N6" i="51"/>
  <c r="I7" i="4" s="1"/>
  <c r="N5" i="51"/>
  <c r="I6" i="4" s="1"/>
  <c r="N4" i="51"/>
  <c r="I5" i="4" s="1"/>
  <c r="N3" i="51"/>
  <c r="I4" i="4" s="1"/>
  <c r="N2" i="51"/>
  <c r="I3" i="4" s="1"/>
  <c r="L28" i="50"/>
  <c r="N17"/>
  <c r="H18" i="4" s="1"/>
  <c r="N16" i="50"/>
  <c r="H17" i="4" s="1"/>
  <c r="N15" i="50"/>
  <c r="H16" i="4" s="1"/>
  <c r="N14" i="50"/>
  <c r="H15" i="4" s="1"/>
  <c r="N13" i="50"/>
  <c r="H14" i="4" s="1"/>
  <c r="N12" i="50"/>
  <c r="H13" i="4" s="1"/>
  <c r="N11" i="50"/>
  <c r="H12" i="4" s="1"/>
  <c r="N10" i="50"/>
  <c r="H11" i="4" s="1"/>
  <c r="N9" i="50"/>
  <c r="H10" i="4" s="1"/>
  <c r="N8" i="50"/>
  <c r="H9" i="4" s="1"/>
  <c r="N7" i="50"/>
  <c r="H8" i="4" s="1"/>
  <c r="N6" i="50"/>
  <c r="H7" i="4" s="1"/>
  <c r="N5" i="50"/>
  <c r="H6" i="4" s="1"/>
  <c r="N4" i="50"/>
  <c r="H5" i="4" s="1"/>
  <c r="N3" i="50"/>
  <c r="H4" i="4" s="1"/>
  <c r="N2" i="50"/>
  <c r="H3" i="4" s="1"/>
  <c r="N2" i="35"/>
  <c r="G3" i="4" s="1"/>
  <c r="N3" i="35"/>
  <c r="N4"/>
  <c r="N5"/>
  <c r="N6"/>
  <c r="N7"/>
  <c r="N8"/>
  <c r="N9"/>
  <c r="N10"/>
  <c r="N11"/>
  <c r="N12"/>
  <c r="N13"/>
  <c r="N14"/>
  <c r="N15"/>
  <c r="N17"/>
  <c r="N16"/>
  <c r="F24" i="45"/>
  <c r="F23"/>
  <c r="F25" i="11"/>
  <c r="F22"/>
  <c r="L35" i="46" l="1"/>
  <c r="G25" i="52"/>
  <c r="M28" i="51"/>
  <c r="M30"/>
  <c r="G24" i="45"/>
  <c r="G40" i="52"/>
  <c r="N18"/>
  <c r="Y23" s="1"/>
  <c r="Y26" s="1"/>
  <c r="K3" i="4"/>
  <c r="N18" i="51"/>
  <c r="N18" i="50"/>
  <c r="N7" i="47"/>
  <c r="Y32" i="51" l="1"/>
  <c r="Y35" s="1"/>
  <c r="Y19" i="50"/>
  <c r="Y22" s="1"/>
  <c r="N17" i="49"/>
  <c r="P18" i="4" s="1"/>
  <c r="N16" i="49"/>
  <c r="P17" i="4" s="1"/>
  <c r="N15" i="49"/>
  <c r="P16" i="4" s="1"/>
  <c r="N14" i="49"/>
  <c r="P15" i="4" s="1"/>
  <c r="N13" i="49"/>
  <c r="P14" i="4" s="1"/>
  <c r="N12" i="49"/>
  <c r="P13" i="4" s="1"/>
  <c r="N11" i="49"/>
  <c r="P12" i="4" s="1"/>
  <c r="N10" i="49"/>
  <c r="P11" i="4" s="1"/>
  <c r="N9" i="49"/>
  <c r="P10" i="4" s="1"/>
  <c r="N8" i="49"/>
  <c r="P9" i="4" s="1"/>
  <c r="N7" i="49"/>
  <c r="P8" i="4" s="1"/>
  <c r="N6" i="49"/>
  <c r="P7" i="4" s="1"/>
  <c r="N5" i="49"/>
  <c r="P6" i="4" s="1"/>
  <c r="N4" i="49"/>
  <c r="P5" i="4" s="1"/>
  <c r="N3" i="49"/>
  <c r="P4" i="4" s="1"/>
  <c r="N2" i="49"/>
  <c r="P3" i="4" s="1"/>
  <c r="N17" i="48"/>
  <c r="O18" i="4" s="1"/>
  <c r="N16" i="48"/>
  <c r="O17" i="4" s="1"/>
  <c r="N15" i="48"/>
  <c r="O16" i="4" s="1"/>
  <c r="N14" i="48"/>
  <c r="O15" i="4" s="1"/>
  <c r="N13" i="48"/>
  <c r="O14" i="4" s="1"/>
  <c r="N12" i="48"/>
  <c r="O13" i="4" s="1"/>
  <c r="N11" i="48"/>
  <c r="O12" i="4" s="1"/>
  <c r="N10" i="48"/>
  <c r="O11" i="4" s="1"/>
  <c r="N9" i="48"/>
  <c r="O10" i="4" s="1"/>
  <c r="N8" i="48"/>
  <c r="O9" i="4" s="1"/>
  <c r="N7" i="48"/>
  <c r="O8" i="4" s="1"/>
  <c r="N6" i="48"/>
  <c r="O7" i="4" s="1"/>
  <c r="N5" i="48"/>
  <c r="O6" i="4" s="1"/>
  <c r="N4" i="48"/>
  <c r="O5" i="4" s="1"/>
  <c r="N3" i="48"/>
  <c r="O4" i="4" s="1"/>
  <c r="N2" i="48"/>
  <c r="O3" i="4" s="1"/>
  <c r="N17" i="47"/>
  <c r="N18" i="4" s="1"/>
  <c r="N16" i="47"/>
  <c r="N17" i="4" s="1"/>
  <c r="N15" i="47"/>
  <c r="N16" i="4" s="1"/>
  <c r="N14" i="47"/>
  <c r="N15" i="4" s="1"/>
  <c r="N13" i="47"/>
  <c r="N14" i="4" s="1"/>
  <c r="N12" i="47"/>
  <c r="N13" i="4" s="1"/>
  <c r="N11" i="47"/>
  <c r="N12" i="4" s="1"/>
  <c r="N10" i="47"/>
  <c r="N11" i="4" s="1"/>
  <c r="N9" i="47"/>
  <c r="N10" i="4" s="1"/>
  <c r="N8" i="47"/>
  <c r="N9" i="4" s="1"/>
  <c r="N8"/>
  <c r="N6" i="47"/>
  <c r="N7" i="4" s="1"/>
  <c r="N5" i="47"/>
  <c r="N6" i="4" s="1"/>
  <c r="N4" i="47"/>
  <c r="N5" i="4" s="1"/>
  <c r="N3" i="47"/>
  <c r="N4" i="4" s="1"/>
  <c r="N2" i="47"/>
  <c r="N3" i="4" s="1"/>
  <c r="N17" i="46"/>
  <c r="E18" i="4" s="1"/>
  <c r="N16" i="46"/>
  <c r="E17" i="4" s="1"/>
  <c r="N15" i="46"/>
  <c r="E16" i="4" s="1"/>
  <c r="N14" i="46"/>
  <c r="E15" i="4" s="1"/>
  <c r="N13" i="46"/>
  <c r="E14" i="4" s="1"/>
  <c r="N12" i="46"/>
  <c r="E13" i="4" s="1"/>
  <c r="N11" i="46"/>
  <c r="E12" i="4" s="1"/>
  <c r="N10" i="46"/>
  <c r="E11" i="4" s="1"/>
  <c r="N9" i="46"/>
  <c r="E10" i="4" s="1"/>
  <c r="N8" i="46"/>
  <c r="E9" i="4" s="1"/>
  <c r="N7" i="46"/>
  <c r="E8" i="4" s="1"/>
  <c r="N6" i="46"/>
  <c r="E7" i="4" s="1"/>
  <c r="N5" i="46"/>
  <c r="E6" i="4" s="1"/>
  <c r="N4" i="46"/>
  <c r="E5" i="4" s="1"/>
  <c r="N3" i="46"/>
  <c r="E4" i="4" s="1"/>
  <c r="N2" i="46"/>
  <c r="N17" i="45"/>
  <c r="C18" i="4" s="1"/>
  <c r="N16" i="45"/>
  <c r="C17" i="4" s="1"/>
  <c r="N15" i="45"/>
  <c r="C16" i="4" s="1"/>
  <c r="N14" i="45"/>
  <c r="C15" i="4" s="1"/>
  <c r="N13" i="45"/>
  <c r="C14" i="4" s="1"/>
  <c r="N12" i="45"/>
  <c r="C13" i="4" s="1"/>
  <c r="N11" i="45"/>
  <c r="C12" i="4" s="1"/>
  <c r="N10" i="45"/>
  <c r="C11" i="4" s="1"/>
  <c r="N9" i="45"/>
  <c r="C10" i="4" s="1"/>
  <c r="N8" i="45"/>
  <c r="C9" i="4" s="1"/>
  <c r="N7" i="45"/>
  <c r="C8" i="4" s="1"/>
  <c r="N6" i="45"/>
  <c r="C7" i="4" s="1"/>
  <c r="N5" i="45"/>
  <c r="C6" i="4" s="1"/>
  <c r="N4" i="45"/>
  <c r="C5" i="4" s="1"/>
  <c r="N3" i="45"/>
  <c r="C4" i="4" s="1"/>
  <c r="N2" i="45"/>
  <c r="N17" i="44"/>
  <c r="F18" i="4" s="1"/>
  <c r="N16" i="44"/>
  <c r="F17" i="4" s="1"/>
  <c r="N15" i="44"/>
  <c r="F16" i="4" s="1"/>
  <c r="N14" i="44"/>
  <c r="F15" i="4" s="1"/>
  <c r="N13" i="44"/>
  <c r="F14" i="4" s="1"/>
  <c r="N12" i="44"/>
  <c r="F13" i="4" s="1"/>
  <c r="N11" i="44"/>
  <c r="F12" i="4" s="1"/>
  <c r="N10" i="44"/>
  <c r="F11" i="4" s="1"/>
  <c r="N9" i="44"/>
  <c r="F10" i="4" s="1"/>
  <c r="N8" i="44"/>
  <c r="F9" i="4" s="1"/>
  <c r="N7" i="44"/>
  <c r="F8" i="4" s="1"/>
  <c r="N6" i="44"/>
  <c r="F7" i="4" s="1"/>
  <c r="N5" i="44"/>
  <c r="F6" i="4" s="1"/>
  <c r="N4" i="44"/>
  <c r="F5" i="4" s="1"/>
  <c r="N3" i="44"/>
  <c r="F4" i="4" s="1"/>
  <c r="N2" i="44"/>
  <c r="F3" i="4" s="1"/>
  <c r="M8"/>
  <c r="M13"/>
  <c r="M14"/>
  <c r="M15"/>
  <c r="M16"/>
  <c r="M17"/>
  <c r="M18"/>
  <c r="M3"/>
  <c r="L4"/>
  <c r="L8"/>
  <c r="L9"/>
  <c r="L12"/>
  <c r="L13"/>
  <c r="L14"/>
  <c r="L15"/>
  <c r="L16"/>
  <c r="L17"/>
  <c r="L18"/>
  <c r="L3"/>
  <c r="G4"/>
  <c r="G5"/>
  <c r="G6"/>
  <c r="G7"/>
  <c r="G8"/>
  <c r="G9"/>
  <c r="G10"/>
  <c r="G11"/>
  <c r="G12"/>
  <c r="G13"/>
  <c r="G14"/>
  <c r="G15"/>
  <c r="G16"/>
  <c r="G17"/>
  <c r="G18"/>
  <c r="N17" i="42"/>
  <c r="N16"/>
  <c r="N15"/>
  <c r="N14"/>
  <c r="N13"/>
  <c r="N12"/>
  <c r="N11"/>
  <c r="M12" i="4" s="1"/>
  <c r="N10" i="42"/>
  <c r="M11" i="4" s="1"/>
  <c r="N9" i="42"/>
  <c r="M10" i="4" s="1"/>
  <c r="N8" i="42"/>
  <c r="M9" i="4" s="1"/>
  <c r="N7" i="42"/>
  <c r="N6"/>
  <c r="M7" i="4" s="1"/>
  <c r="N5" i="42"/>
  <c r="M6" i="4" s="1"/>
  <c r="N4" i="42"/>
  <c r="M5" i="4" s="1"/>
  <c r="N3" i="42"/>
  <c r="M4" i="4" s="1"/>
  <c r="N2" i="42"/>
  <c r="N17" i="41"/>
  <c r="N16"/>
  <c r="N15"/>
  <c r="N14"/>
  <c r="N13"/>
  <c r="N12"/>
  <c r="N11"/>
  <c r="N10"/>
  <c r="L11" i="4" s="1"/>
  <c r="N9" i="41"/>
  <c r="L10" i="4" s="1"/>
  <c r="N8" i="41"/>
  <c r="N7"/>
  <c r="N6"/>
  <c r="L7" i="4" s="1"/>
  <c r="N5" i="41"/>
  <c r="L6" i="4" s="1"/>
  <c r="N4" i="41"/>
  <c r="L5" i="4" s="1"/>
  <c r="N3" i="41"/>
  <c r="N2"/>
  <c r="N17" i="36"/>
  <c r="D18" i="4" s="1"/>
  <c r="N16" i="36"/>
  <c r="D17" i="4" s="1"/>
  <c r="N15" i="36"/>
  <c r="D16" i="4" s="1"/>
  <c r="N14" i="36"/>
  <c r="D15" i="4" s="1"/>
  <c r="N13" i="36"/>
  <c r="D14" i="4" s="1"/>
  <c r="N12" i="36"/>
  <c r="D13" i="4" s="1"/>
  <c r="N11" i="36"/>
  <c r="D12" i="4" s="1"/>
  <c r="N10" i="36"/>
  <c r="D11" i="4" s="1"/>
  <c r="N9" i="36"/>
  <c r="D10" i="4" s="1"/>
  <c r="N8" i="36"/>
  <c r="D9" i="4" s="1"/>
  <c r="N7" i="36"/>
  <c r="D8" i="4" s="1"/>
  <c r="N6" i="36"/>
  <c r="D7" i="4" s="1"/>
  <c r="N5" i="36"/>
  <c r="D6" i="4" s="1"/>
  <c r="N4" i="36"/>
  <c r="D5" i="4" s="1"/>
  <c r="N3" i="36"/>
  <c r="D4" i="4" s="1"/>
  <c r="N2" i="36"/>
  <c r="N3" i="11"/>
  <c r="B4" i="4" s="1"/>
  <c r="N4" i="11"/>
  <c r="B5" i="4" s="1"/>
  <c r="N5" i="11"/>
  <c r="B6" i="4" s="1"/>
  <c r="N6" i="11"/>
  <c r="B7" i="4" s="1"/>
  <c r="N7" i="11"/>
  <c r="B8" i="4" s="1"/>
  <c r="N8" i="11"/>
  <c r="B9" i="4" s="1"/>
  <c r="N9" i="11"/>
  <c r="B10" i="4" s="1"/>
  <c r="N10" i="11"/>
  <c r="B11" i="4" s="1"/>
  <c r="N11" i="11"/>
  <c r="B12" i="4" s="1"/>
  <c r="N12" i="11"/>
  <c r="B13" i="4" s="1"/>
  <c r="N13" i="11"/>
  <c r="B14" i="4" s="1"/>
  <c r="N14" i="11"/>
  <c r="B15" i="4" s="1"/>
  <c r="N15" i="11"/>
  <c r="B16" i="4" s="1"/>
  <c r="N16" i="11"/>
  <c r="B17" i="4" s="1"/>
  <c r="N17" i="11"/>
  <c r="B18" i="4" s="1"/>
  <c r="N2" i="11"/>
  <c r="B3" i="4" s="1"/>
  <c r="Q16" l="1"/>
  <c r="Q4"/>
  <c r="Q8"/>
  <c r="Q12"/>
  <c r="Q5"/>
  <c r="Q9"/>
  <c r="Q13"/>
  <c r="Q17"/>
  <c r="Q7"/>
  <c r="Q11"/>
  <c r="Q15"/>
  <c r="Q6"/>
  <c r="Q10"/>
  <c r="Q14"/>
  <c r="Q18"/>
  <c r="N18" i="39"/>
  <c r="Y19" s="1"/>
  <c r="Y22" s="1"/>
  <c r="N18" i="46"/>
  <c r="X28" s="1"/>
  <c r="N18" i="45"/>
  <c r="E3" i="4"/>
  <c r="C3"/>
  <c r="C19" s="1"/>
  <c r="N18" i="41"/>
  <c r="N18" i="42"/>
  <c r="N19" i="4"/>
  <c r="N18" i="47"/>
  <c r="N18" i="49"/>
  <c r="N18" i="36"/>
  <c r="X26" s="1"/>
  <c r="P19" i="4"/>
  <c r="O19"/>
  <c r="N18" i="48"/>
  <c r="N18" i="44"/>
  <c r="Y21" s="1"/>
  <c r="Y24" s="1"/>
  <c r="N18" i="35"/>
  <c r="X19" s="1"/>
  <c r="X22" s="1"/>
  <c r="D3" i="4"/>
  <c r="Y22" i="47" l="1"/>
  <c r="Y25" s="1"/>
  <c r="X25" i="45"/>
  <c r="X22"/>
  <c r="E19" i="4"/>
  <c r="Q3"/>
  <c r="N18" i="11"/>
  <c r="X25" l="1"/>
  <c r="X22"/>
  <c r="M19" i="4"/>
  <c r="K19"/>
  <c r="L19"/>
  <c r="H19"/>
  <c r="B19" l="1"/>
  <c r="D19"/>
  <c r="F19"/>
  <c r="G19"/>
  <c r="I19"/>
  <c r="J19"/>
  <c r="U19" l="1"/>
  <c r="Q19"/>
</calcChain>
</file>

<file path=xl/sharedStrings.xml><?xml version="1.0" encoding="utf-8"?>
<sst xmlns="http://schemas.openxmlformats.org/spreadsheetml/2006/main" count="1336" uniqueCount="551">
  <si>
    <t>ετος</t>
  </si>
  <si>
    <t>έως</t>
  </si>
  <si>
    <t>5ος</t>
  </si>
  <si>
    <t>ΣΥΝΟΛΑ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</si>
  <si>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</si>
  <si>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</si>
  <si>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</si>
  <si>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</si>
  <si>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</si>
  <si>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</si>
  <si>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</si>
  <si>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</si>
  <si>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10ος</t>
  </si>
  <si>
    <t>11ος</t>
  </si>
  <si>
    <t>12ος</t>
  </si>
  <si>
    <t>έλεγχος</t>
  </si>
  <si>
    <t>σύνολα</t>
  </si>
  <si>
    <t>282γ</t>
  </si>
  <si>
    <t>282δ</t>
  </si>
  <si>
    <t>282ε</t>
  </si>
  <si>
    <t>282ζ</t>
  </si>
  <si>
    <t>282η</t>
  </si>
  <si>
    <t>282θ</t>
  </si>
  <si>
    <t>282ι</t>
  </si>
  <si>
    <t>282κ</t>
  </si>
  <si>
    <t>282β2 = λάθος ελεγκτή - αθροιστικό (στην εξαγωγή ταμείων … = κομπιουτεράκι ) στο κ-15-17 … κωδικός ''δίκη'' = 100 ... {{{  ΝΑ ΠΑΝΕ μέσω ΖΗΛ291 στα καθαρά κ-15-17 }}}</t>
  </si>
  <si>
    <t>282α1</t>
  </si>
  <si>
    <t>282α2</t>
  </si>
  <si>
    <t>282β2</t>
  </si>
  <si>
    <t>282β1</t>
  </si>
  <si>
    <t>282α2 = λάθος ελεγκτή - αθροιστικό (στην σούμα … = κομπιουτεράκι ) στο κ-15-17 … κωδικός ''δίκη'' = 100 ... {{{  ΝΑ ΠΑΝΕ μέσω ΖΗΛ291 στα καθαρά κ-15-17 }}}</t>
  </si>
  <si>
    <t>282λ</t>
  </si>
  <si>
    <t>282α</t>
  </si>
  <si>
    <t>282β</t>
  </si>
  <si>
    <t>282μ</t>
  </si>
  <si>
    <t>282μ1</t>
  </si>
  <si>
    <t>282μ2</t>
  </si>
  <si>
    <t xml:space="preserve">298 =  1.513,72 αντί 1.522,52 </t>
  </si>
  <si>
    <t>2.208 = έπρεπε 5.791,7 αξία πράξης αντι 5.971,7 =να αφαιρεθούν κ15=2,34</t>
  </si>
  <si>
    <t>2.208 = έπρεπε 5.791,7 αξία πράξης αντι 5.971,7</t>
  </si>
  <si>
    <t>3.034 = έπρεπε 7.043,29 αξία πράξης αντι 7.643,29</t>
  </si>
  <si>
    <t>3.034 = έπρεπε 1.138,28 αξία πράξης αντι 2.500,00</t>
  </si>
  <si>
    <t>8.390 = έπρεπε 1.138,28 αξία πράξης αντι 2.500,00</t>
  </si>
  <si>
    <t xml:space="preserve">282β1 = λάθος ελεγκτή - αθροιστικό ( στην εξαγωγή ταμείων … = κομπιουτεράκι ) στο κ-18 …κωδικός ''δίκη'' = 100 ... </t>
  </si>
  <si>
    <t>282α1 = λάθος ελεγκτή - αθροιστικό ( στη σούμα , … = κομπιουτεράκι ) στο κ-18 …κωδικός ''δίκη'' = 100 …</t>
  </si>
  <si>
    <t>ΔΕΝ έχω ποσά ελέγχου</t>
  </si>
  <si>
    <t>έτος</t>
  </si>
  <si>
    <t>σωστό</t>
  </si>
  <si>
    <t>διαφορά</t>
  </si>
  <si>
    <t>ημερομηνία</t>
  </si>
  <si>
    <t>σωστή</t>
  </si>
  <si>
    <t>ποσό ελέγχου</t>
  </si>
  <si>
    <t>πράξη</t>
  </si>
  <si>
    <t xml:space="preserve">ποσό  </t>
  </si>
  <si>
    <t>γονική</t>
  </si>
  <si>
    <t>προσύμφωνο αγοραπωλησίας</t>
  </si>
  <si>
    <t>συμβόλαιο</t>
  </si>
  <si>
    <t>ποσό πράξης</t>
  </si>
  <si>
    <t>δωρεά</t>
  </si>
  <si>
    <t>είναι ''προσύμφωνο αγοραπωλησίας'' [δέχεται την κατάσταση μηνός</t>
  </si>
  <si>
    <t>είναι αγοραπωλησία</t>
  </si>
  <si>
    <t>αγοραπωλησία (800.000</t>
  </si>
  <si>
    <t>διανομή</t>
  </si>
  <si>
    <t>αγοραπωλησία (100.000</t>
  </si>
  <si>
    <t>γονική (783.960</t>
  </si>
  <si>
    <t>2241..10/7</t>
  </si>
  <si>
    <t>2272..25/7</t>
  </si>
  <si>
    <t>2280..26/7</t>
  </si>
  <si>
    <t>2281..26/7</t>
  </si>
  <si>
    <t>2282..26/7</t>
  </si>
  <si>
    <t>2377..6/9</t>
  </si>
  <si>
    <t>2414..20/9</t>
  </si>
  <si>
    <t>2443..7/10</t>
  </si>
  <si>
    <t>2504..1/11</t>
  </si>
  <si>
    <t>το καταχωρεί 2 φορές =[αφαίρεση κ18-5,71</t>
  </si>
  <si>
    <t>μίσθωση</t>
  </si>
  <si>
    <t>3122..22/8</t>
  </si>
  <si>
    <t>3132..22/8</t>
  </si>
  <si>
    <t>3392..29/10</t>
  </si>
  <si>
    <t>3442..6/11</t>
  </si>
  <si>
    <t>3665..17/2</t>
  </si>
  <si>
    <t>3927..27/5</t>
  </si>
  <si>
    <t>3957..17/6</t>
  </si>
  <si>
    <t>4080..5/8</t>
  </si>
  <si>
    <t>4085..9/8</t>
  </si>
  <si>
    <t>4257..17/9</t>
  </si>
  <si>
    <t>4282..23/9</t>
  </si>
  <si>
    <t>4364..19/10</t>
  </si>
  <si>
    <t>4544..28/12</t>
  </si>
  <si>
    <t>4699..31/3</t>
  </si>
  <si>
    <t>4733..4/5</t>
  </si>
  <si>
    <t>5027..9/8</t>
  </si>
  <si>
    <t>5898..14/4</t>
  </si>
  <si>
    <t>6569..22/12</t>
  </si>
  <si>
    <t>αγοραπωλησίας προσύμφωνο</t>
  </si>
  <si>
    <t>προσύμφΠοσοστών &amp; εργολαβικό</t>
  </si>
  <si>
    <t>κληρονομιάς αποδοχή</t>
  </si>
  <si>
    <t>αγοραπωλησία</t>
  </si>
  <si>
    <t>αγοραπωλησίας ΔΙΟΡΘΩΣΗ</t>
  </si>
  <si>
    <t>πληρεξούσιο</t>
  </si>
  <si>
    <t>διπλοεγγραφή από 5953 έως 5971 [αφαίρεση κ18 =404,84 &amp; κ15 = 1.431,47 &amp; κ17 =250,24</t>
  </si>
  <si>
    <t>εξάλειψη υποθήκης -1.200.000δρχ /// κακώς χρέωσε κ17=5,18</t>
  </si>
  <si>
    <t xml:space="preserve"> αποδόθηκε ΤΑΝ στην πρόταση ΑΡΑ ως πάγια πράξη [ να αφαιρεθούν κ18=5,53 &amp; κ15=33,09 &amp; κ17 =6,36 </t>
  </si>
  <si>
    <t xml:space="preserve"> αποδόθηκε ΤΑΝ στην πρόταση ΑΡΑ ως πάγια πράξη [ να αφαιρεθούν κ18=5,53 &amp; κ15=33,09 &amp; κ17 =6,34</t>
  </si>
  <si>
    <t xml:space="preserve"> αποδόθηκε ΤΑΝ στην πρόταση ΑΡΑ ως πάγια πράξη [ να αφαιρεθούν κ18=5,53 &amp; κ15=33,09 &amp; κ17 =6,35</t>
  </si>
  <si>
    <t>προσύμφωνο αγοραπ</t>
  </si>
  <si>
    <t>201 = 10061 =γονική =59.778,55 ΕΙΝΑΙ σε εκτέλεση της 8866 προσυμφώνου γονικής = 50.254,77 ( το οποίο ξεκίνησε ως γονική &amp; εκτιμήθηκε &amp; πληρώθηκε ΑΛΛΑ δεν μεταγράφηκε λόγω νομικού κωλύματος ΑΡΑ ακυρώθηκε) ΑΡΑ αφαιρούνται οι αρχικές πληρωμές</t>
  </si>
  <si>
    <t>σύσταση &amp; γονική</t>
  </si>
  <si>
    <t>χεστήκαμε για την κατάσταση &amp; τα αθροιστικά λάθη της  /// πλήρωσε 302,12(20/12/10) + 827,95(10/01/2011) + 367,12(10/12/2012) /// σωστή άρθροιση = 1.089,97</t>
  </si>
  <si>
    <t>είναι πάγια πράξη</t>
  </si>
  <si>
    <t xml:space="preserve">αγοραπωλησία  </t>
  </si>
  <si>
    <t>γονική {= αγοραπωλησία</t>
  </si>
  <si>
    <t>λύση μισθωσης -4.818 =1.870,71 [εως 2026 άρα εμπρόθεσμη</t>
  </si>
  <si>
    <t>αποδέχεται ΟΣΑ η κατάσταση μηνός από ΑΓΑΠΕ = …. χα , χα ….</t>
  </si>
  <si>
    <t>παραταση μισθώσεως</t>
  </si>
  <si>
    <t>1930..12/12</t>
  </si>
  <si>
    <t>1804..9/9</t>
  </si>
  <si>
    <t>1748..8/8</t>
  </si>
  <si>
    <t>1648..7/7</t>
  </si>
  <si>
    <t>1605..6/6</t>
  </si>
  <si>
    <t>1532..4/4</t>
  </si>
  <si>
    <t>1515..4/4</t>
  </si>
  <si>
    <t>1384..12/12</t>
  </si>
  <si>
    <t>1382..12/12</t>
  </si>
  <si>
    <t>1.105..8/8</t>
  </si>
  <si>
    <t>597..8/8</t>
  </si>
  <si>
    <t>425..6/6</t>
  </si>
  <si>
    <t>αποδέχεται ο έλεγχος την κατάσταση όπου γράφει 400.000 ενώ είναι 225.000</t>
  </si>
  <si>
    <t>6616..1/1</t>
  </si>
  <si>
    <t>6662..1/1</t>
  </si>
  <si>
    <t>6713..2/2</t>
  </si>
  <si>
    <t>6768..3/3</t>
  </si>
  <si>
    <t>6769..3/3</t>
  </si>
  <si>
    <t>7130..7/7</t>
  </si>
  <si>
    <t>7270..8/8</t>
  </si>
  <si>
    <t>7304..9/9</t>
  </si>
  <si>
    <t>7379..10/10</t>
  </si>
  <si>
    <t>7456..11/11</t>
  </si>
  <si>
    <t>8012..8/8</t>
  </si>
  <si>
    <t>8232..10/10</t>
  </si>
  <si>
    <t>8285..11/11</t>
  </si>
  <si>
    <t>8501..3/3</t>
  </si>
  <si>
    <t>8837..8/8</t>
  </si>
  <si>
    <t>8973..9/9</t>
  </si>
  <si>
    <t>9020..10/10</t>
  </si>
  <si>
    <t>9168..12/12</t>
  </si>
  <si>
    <t>9239..2/2</t>
  </si>
  <si>
    <t>9308..3/3</t>
  </si>
  <si>
    <t>9354..4/4</t>
  </si>
  <si>
    <t>9395..4/4</t>
  </si>
  <si>
    <t>9396..4/4</t>
  </si>
  <si>
    <t>9409..4/4</t>
  </si>
  <si>
    <t>9420..5/5</t>
  </si>
  <si>
    <t>9421..5/5</t>
  </si>
  <si>
    <t>9578..6/6</t>
  </si>
  <si>
    <t>8958 = έως 2026</t>
  </si>
  <si>
    <t>εξάλειψη υποθήκης -13,63εκ</t>
  </si>
  <si>
    <t>δικααιώματα = 2,93+178,55*3%</t>
  </si>
  <si>
    <t xml:space="preserve">1ος </t>
  </si>
  <si>
    <t>εξόφληση</t>
  </si>
  <si>
    <t>διπλοΕγγραφή</t>
  </si>
  <si>
    <t>9328..25/3</t>
  </si>
  <si>
    <t>264 = έγραψε το ποσό της πράξης από το βιβλίο συμβολαίων . Το σωστό είναι υπολογίζοντας το προσύμφωνο</t>
  </si>
  <si>
    <t>10051..14/4</t>
  </si>
  <si>
    <t>212 = στην κατάσταση πληρώνει 4,18 ,ΕΝΏ στο συμβόλαιο ΚΑΙ στο βιβλίο συμβολαίων καταχωρεί πάγια -κ18=1</t>
  </si>
  <si>
    <t>10697..8/8</t>
  </si>
  <si>
    <t>1823= έλεγχος ΕΙΔΕ το γραμμάτιο , ΕΓΩ το βρήκα από XLs-εθνικης /// στο συμβόλαιο γράφει 35,35 χωρίς α.α. γραμματίου</t>
  </si>
  <si>
    <t>10007..3/3</t>
  </si>
  <si>
    <t>9837..12/12</t>
  </si>
  <si>
    <t>αγοραπ ΒΑΣΕΙ 9343προσυμφ τιμ = αρρ = 1.025,64 /// έτσι η κατάσταση μηνός</t>
  </si>
  <si>
    <t>ημ/νία</t>
  </si>
  <si>
    <t>9561..6/6</t>
  </si>
  <si>
    <t>9446..5/5</t>
  </si>
  <si>
    <t>αποδέχεται τις πληρωμές από ΑΓΑΠΕ = …. χα , χα ….</t>
  </si>
  <si>
    <t>9283..3/3</t>
  </si>
  <si>
    <t>8231..10/10</t>
  </si>
  <si>
    <t>75..9-10</t>
  </si>
  <si>
    <t>282α1 = κ-18 =  λάθος ελεγκτή - αθροιστικό ( στη σούμα , … = κομπιουτεράκι ) {κωδικός ''δίκη'' = 100</t>
  </si>
  <si>
    <t>προσύμφωνο αγοραπωλησίας - τίμημα = αραβων= 1.550.000δρχ = 4.548,79</t>
  </si>
  <si>
    <t>κ-15</t>
  </si>
  <si>
    <t>βεβαίωση ένορκος</t>
  </si>
  <si>
    <t>441-6/6</t>
  </si>
  <si>
    <t>527..8/8</t>
  </si>
  <si>
    <t>282β1 = κ-18 = λάθος ελεγκτή - αθροιστικό ( στην εξαγωγή ταμείων = κομπιουτεράκι ) …κωδικός ''δίκη'' = 100 …</t>
  </si>
  <si>
    <t>282γ = κ-18 - λάθος ελεγκτή = καταχώρηση λάθος πράξη …….... με συνέπεια λανθασμένο απαιτητό ποσό</t>
  </si>
  <si>
    <t>282δ = κ-15-17 - λάθος ελεγκτή = καταχώρηση λάθος πράξη με συνέπεια λανθασμένο απαιτητό ποσό</t>
  </si>
  <si>
    <t>282ε = κ-18 - λάθος ελεγκτή = καταχώρηση λάθος ποσού πράξης με συνέπεια λανθασμένο απαιτητό ποσό</t>
  </si>
  <si>
    <t>282ε =  κ-18 - λάθος ελεγκτή = καταχώρηση λάθος ποσού πράξης με συνέπεια λανθασμένο απαιτητό ποσό</t>
  </si>
  <si>
    <t>282ζ = κ-15-17 -λάθος ελεγκτή = καταχώρηση λάθος ποσού πράξης με συνέπεια λανθασμένο απαιτητό ποσό</t>
  </si>
  <si>
    <t>282η = κ-18- επαγγελματικό λάθος ελεγκτή = κακώς ζητούμενα</t>
  </si>
  <si>
    <t>282η = κ-18 - επαγγελματικό λάθος ελεγκτή = κακώς ζητούμενα</t>
  </si>
  <si>
    <t>282θ =κ-15-17 -  επαγγελματικό λάθος ελεγκτή = κακώς ζητούμενα</t>
  </si>
  <si>
    <t>282θ = κ-15-17 -  επαγγελματικό λάθος ελεγκτή = κακώς ζητούμενα</t>
  </si>
  <si>
    <t>282ι = κ-18 - λάθος ελεγκτή στο συνολικό ποσό πορίσματος προς ανακριτή</t>
  </si>
  <si>
    <t>282ι =  κ-18 - λάθος ελεγκτή στο συνολικό ποσό πορίσματος προς ανακριτή</t>
  </si>
  <si>
    <t>282κ = κ-15-17 - λάθος ελεγκτή στο συνολικό ποσό πορίσματος προς ανακριτή</t>
  </si>
  <si>
    <t xml:space="preserve">282λ = κ-18 - λάθος ελεγκτή = δεν υπολόγισε το προσύμφωνο στην αγοραπωλησία … κωδικός ''δίκη'' 102 </t>
  </si>
  <si>
    <t xml:space="preserve">282μ1 = κ-18 - λάθος ελεγκτή = δεν υπολόγισε σωστά το αρχικό μίσθωμα  … κωδικός ''δίκη'' = 103 ... </t>
  </si>
  <si>
    <t xml:space="preserve">282μ1 =  κ-18 - λάθος ελεγκτή = δεν υπολόγισε σωστά το αρχικό μίσθωμα  … κωδικός ''δίκη'' = 103 ... </t>
  </si>
  <si>
    <t xml:space="preserve">282μ2 = κ-15-17 - λάθος ελεγκτή = δεν υπολόγισε σωστά το αρχικό μίσθωμα … κωδικός ''δίκη'' = 103 </t>
  </si>
  <si>
    <t>282α2 = κ-15-17 = λάθος ελεγκτή - αθροιστικό (στην σούμα … = κομπιουτεράκι ) { κωδικός ''δίκη'' = 100</t>
  </si>
  <si>
    <t>πλξηρεξούσιο</t>
  </si>
  <si>
    <t>893..3/3</t>
  </si>
  <si>
    <t>γονικής πρόταση 954 ΑΠΟΔΟΧΗ</t>
  </si>
  <si>
    <t>γονική ΒΑΣΕΙ 1026 προσυμφώνου = 2.500.000</t>
  </si>
  <si>
    <t>δωρεά 731.250δρχ</t>
  </si>
  <si>
    <t>αγοραπωλησίας ΠΡΟΣΥΜΦΩΝΟ τίμημα = αρραβών = 1.000.000δρχ</t>
  </si>
  <si>
    <t>γονική = 2.500.000δρχ</t>
  </si>
  <si>
    <t>1285..11/11</t>
  </si>
  <si>
    <t>δωρεά (5.471.276</t>
  </si>
  <si>
    <t>γονική (13.047.246</t>
  </si>
  <si>
    <t>διανομη [25.700.000</t>
  </si>
  <si>
    <t>αρραβών = 100.000</t>
  </si>
  <si>
    <t>1691..8/8</t>
  </si>
  <si>
    <t>τίμημα = αρραβών = 300.000</t>
  </si>
  <si>
    <t>1699..8/8</t>
  </si>
  <si>
    <t>τίμημα = αρραβών = 1.550.000</t>
  </si>
  <si>
    <t>τίμημα = αρραβών = 5.500.000</t>
  </si>
  <si>
    <t>τίμημα = 692.211 αρραβών = 500.000 Δ.Ο.Υ. =853.447</t>
  </si>
  <si>
    <t>τίμημα = αρραβών = 3.000.000</t>
  </si>
  <si>
    <t>τίμημα = Δ.Ο.Υ. 815.363 αρραβών = 100.000</t>
  </si>
  <si>
    <t xml:space="preserve"> τίμημα = 2.930.027 αρραβών = 976.675 Δ.Ο.Υ. = 5.350.000</t>
  </si>
  <si>
    <t>τίμημα = αρραβών  5.000.000 = Δ.Ο.Υ.</t>
  </si>
  <si>
    <t xml:space="preserve"> τίμημα 2.000.000 αρραβών 500.000 Δ.Ο.Υ. = 2.350.000</t>
  </si>
  <si>
    <t>τίμημα = αρραβών = Δ.Ο.Υ. = 2.000.000</t>
  </si>
  <si>
    <t>τίμημα = αρραβών = 1,3εκ  Δ.Ο.Υ. 10εκ</t>
  </si>
  <si>
    <t>τίμημα = αρραβών = 600.000 Δ.Ο.Υ. = 700.000</t>
  </si>
  <si>
    <t>τίμημα = 4.500.000 αρραβών = 500.000 Δ.Ο.Υ. = 6.000.000</t>
  </si>
  <si>
    <t>τίμημα = αρραβών = 500.000 Δ.Ο.Υ. = 1.200.000</t>
  </si>
  <si>
    <t xml:space="preserve"> τίμημα = αρραβών = 4.275.024 , Δ.Ο.Υ. = 4.932.720</t>
  </si>
  <si>
    <t xml:space="preserve"> τίμημα = 3.700.000 αρραβών = 100.000</t>
  </si>
  <si>
    <t>τίμημα = αρραβών = 1.200.000</t>
  </si>
  <si>
    <t>1848..11/11</t>
  </si>
  <si>
    <t xml:space="preserve"> τίμημα = αρραβών = 2.427.563 Δ.Ο.Υ. = 3.100.000</t>
  </si>
  <si>
    <t>1893 ..11/11</t>
  </si>
  <si>
    <t xml:space="preserve"> τίμημα = αρραβών = Δ.Ο.Υ. = 800.000</t>
  </si>
  <si>
    <t xml:space="preserve">τίμημα = αρραβών = 2.000.000 Δ.Ο.Υ. =4.440.150 </t>
  </si>
  <si>
    <t>1946 ..12/12</t>
  </si>
  <si>
    <t>τίμημα = αρραβών = 100.000 Δ.Ο.Υ. = 378.000</t>
  </si>
  <si>
    <t xml:space="preserve">282ν =  κ-18 - επαγγελματικό λάθος ελεγκτή = υπερΖήτηση … κωδικός ''δίκη'' = 15 ... </t>
  </si>
  <si>
    <t>σε €</t>
  </si>
  <si>
    <t>zηλ-π.χ.-1</t>
  </si>
  <si>
    <t>πάγια</t>
  </si>
  <si>
    <t>πάγιοΑναλ</t>
  </si>
  <si>
    <t>διαθήκη</t>
  </si>
  <si>
    <t>κληρΑποδ</t>
  </si>
  <si>
    <t>σύσταση</t>
  </si>
  <si>
    <t>καταστατ</t>
  </si>
  <si>
    <t>2002-1</t>
  </si>
  <si>
    <t>2002-2</t>
  </si>
  <si>
    <t>2002-3</t>
  </si>
  <si>
    <t>2002-6</t>
  </si>
  <si>
    <t>2002-7</t>
  </si>
  <si>
    <t>2002-8</t>
  </si>
  <si>
    <t>2002-9</t>
  </si>
  <si>
    <t>2002-10</t>
  </si>
  <si>
    <t>2002-11</t>
  </si>
  <si>
    <t>2002-12</t>
  </si>
  <si>
    <t>κληρΑποδ = 2</t>
  </si>
  <si>
    <t>διαθήκη=2</t>
  </si>
  <si>
    <t>διαθήκη=1</t>
  </si>
  <si>
    <t>υπολοίπονται</t>
  </si>
  <si>
    <t>2024…3/3</t>
  </si>
  <si>
    <t>αγοραπωλησία ΒΑΣΕΙ 1.845 τίμημα = 3,5εκ αρραβών = 1εκ[2.934,7] Δ.Ο.Υ. = 12.381,04  …… ποσό πράξης = 9.446,34</t>
  </si>
  <si>
    <t>κληρΑποδ = 5</t>
  </si>
  <si>
    <t>σύσταση =1</t>
  </si>
  <si>
    <t>282β2 = κ-15-17 = λάθος ελεγκτή - αθροιστικό (στην εξαγωγή ταμείων … = κομπιουτεράκι ) … κωδικός ''δίκη'' = 100</t>
  </si>
  <si>
    <t>αγοραπωλησία ΒΑΣΕΙ 1.751προσυμφώνου τίμημα = 11.000.000 (=32.281,73€) αρραβών = 1.000.000 (=2.934,70€) Δ.Ο.Υ. = 45.562,77</t>
  </si>
  <si>
    <t>αγοραπωλησία ΒΑΣΕΙ προσυμφώνου 12.454κυρου τίμημα = αρραβών = 2.500.000 =7.336,76€ Δ.Ο.Υ. = 6.633,87</t>
  </si>
  <si>
    <t>αγοραπωλησία ΒΑΣΕΙ προσυμφώνου 2.030 τίμημα = αρραβών = Δ.Ο.Υ. = 8.804,40</t>
  </si>
  <si>
    <t>αγοραπωλησία ΒΑΣΕΙ προσυμφώνου 2.043 τίμημα = αρραβών = Δ.Ο.Υ. = 4.402,20</t>
  </si>
  <si>
    <t>αγοραπωλησία ΒΑΣΕΙ προσυμφώνου 2.087 τίμημα = αρραβών = Δ.Ο.Υ. = 4.402,21</t>
  </si>
  <si>
    <t>αγοραπωλησία ΒΑΣΕΙ προσυμφώνου 1.842 τίμημα = αρραβών = Δ.Ο.Υ. = 3.000.000δρχ{8.804,11</t>
  </si>
  <si>
    <t>2284..7/7</t>
  </si>
  <si>
    <t>κληρΑποδ =7</t>
  </si>
  <si>
    <t>κλΑπ=2222-2224-2235-2263-2277-2278</t>
  </si>
  <si>
    <t>κλΑποδ=2334-2335-2337-2338-2350-2351-2357</t>
  </si>
  <si>
    <t>αγοραπωλησία ΒΑΣΕΙ προσύμφωνο1.859 τίμημα = αρραβών = Δ.Ο.Υ. =4.000.000 [=11.738,81]</t>
  </si>
  <si>
    <t>αγοραπωλησία ΒΑΣΕΙ προσυμφώνου 12.037κ  τίμημα = 325.000 [=953,78€] Δ.Ο.Υ. = 13.646,37</t>
  </si>
  <si>
    <t>κληρΑποδ =3</t>
  </si>
  <si>
    <t>κλΑποδ=2376-2400-2401</t>
  </si>
  <si>
    <t>2431…10/10</t>
  </si>
  <si>
    <t>αγοραπωλησία ΒΑΣΕΙ προσυμφώνου 2.231  τίμημα = 20.542,92 αρραβών = 1.000 Δ.Ο.Υ. = 41.300</t>
  </si>
  <si>
    <t>αγοραπωλησία ΒΑΣΕΙ προσυμφώνου 2.139  τίμημα = 4.402,05 αρραβών = 2.934,70 Δ.Ο.Υ. = 4.554,20</t>
  </si>
  <si>
    <t>κλΑποδ=2469</t>
  </si>
  <si>
    <t>κληρΑποδ =1</t>
  </si>
  <si>
    <t>αγοραπωλησία ΒΑΣΕΙ προσυμφώνου 9.901κ τίμημα = αρραβών =200.000δρχ [=586,94€] Δ.Ο.Υ. = 397,94</t>
  </si>
  <si>
    <t>2553…29/11</t>
  </si>
  <si>
    <t>αγοραπωλησία ΒΑΣΕΙ προσύμφωνο 2.535 τίμημα = 10.271,46 αρραβών = 1.467,35 Δ.Ο.Υ.= 16.240,65</t>
  </si>
  <si>
    <t>κλΑποδ=2502-2503-2548</t>
  </si>
  <si>
    <t>στην ανταλαγή  ποσό πράξης είναι το μεγαλύτερο των δύο</t>
  </si>
  <si>
    <t>διαθηκη=2572-2601</t>
  </si>
  <si>
    <t>κληρΑποδ=2558-2563-2574-2586</t>
  </si>
  <si>
    <t>κληρΑποδ =4</t>
  </si>
  <si>
    <t>282ν = κακώς υπερΚαταλόγηση κ-18 = κωδικός δίκης **15**</t>
  </si>
  <si>
    <t>1999-1</t>
  </si>
  <si>
    <t>1999-3</t>
  </si>
  <si>
    <t>1999-6</t>
  </si>
  <si>
    <t>1999-7</t>
  </si>
  <si>
    <t>1999-8</t>
  </si>
  <si>
    <t>1999-9</t>
  </si>
  <si>
    <t>κλΑπ=243-244</t>
  </si>
  <si>
    <t>βάσει ΤΑΝ</t>
  </si>
  <si>
    <t>κληρΑποδ = 6</t>
  </si>
  <si>
    <t>κλΑπ=289-290-300-301-308-331-332</t>
  </si>
  <si>
    <t>κληρΑποδ = 9</t>
  </si>
  <si>
    <t>κλΑπ=421-427-428-429-440-446-450-461-462</t>
  </si>
  <si>
    <t>κληρΑποδ = 7</t>
  </si>
  <si>
    <t>κλΑπ=472-492-495-510-511-516-517</t>
  </si>
  <si>
    <t>1999-12</t>
  </si>
  <si>
    <t>κλΑπ=533-567-573-590-600-603-605</t>
  </si>
  <si>
    <t>κλΑπ=613-614-615-616-649-653-654-659-671-673-679</t>
  </si>
  <si>
    <t>κληρΑποδ = 11</t>
  </si>
  <si>
    <t>διαθήκη=5</t>
  </si>
  <si>
    <t>κλΑπ=768-773-793-803</t>
  </si>
  <si>
    <t>κληρΑποδ = 4</t>
  </si>
  <si>
    <t>2000-5</t>
  </si>
  <si>
    <t>κλΑπ=965-977-986-998-999</t>
  </si>
  <si>
    <t>2000-6</t>
  </si>
  <si>
    <t>κλΑπ=1010-1025-1038-1039</t>
  </si>
  <si>
    <t>2000-7</t>
  </si>
  <si>
    <t>κλΑπ=1047-1069-1070-1084-1085</t>
  </si>
  <si>
    <t>διαθήκη=3</t>
  </si>
  <si>
    <t>2000-8</t>
  </si>
  <si>
    <t>κλΑπ=1104-1107-1117-1140-1141-1143-1144-1152-1162-1168</t>
  </si>
  <si>
    <t>κληρΑποδ = 10</t>
  </si>
  <si>
    <t>2000-9</t>
  </si>
  <si>
    <t>κλΑπ=1181</t>
  </si>
  <si>
    <t>κληρΑποδ = 1</t>
  </si>
  <si>
    <t>2000-10</t>
  </si>
  <si>
    <t>κληρΑποδ = 3</t>
  </si>
  <si>
    <t>2000-11</t>
  </si>
  <si>
    <t>κλΑπ=1229-1231-1239</t>
  </si>
  <si>
    <t>κλΑπ=1288-1295-1312-1323-1332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</si>
  <si>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</si>
  <si>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</si>
  <si>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</si>
  <si>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</si>
  <si>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</si>
  <si>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</si>
  <si>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</si>
  <si>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</si>
  <si>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</si>
  <si>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</si>
  <si>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</si>
  <si>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</si>
  <si>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</si>
  <si>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κλΑπ=1344-1351-1368</t>
  </si>
  <si>
    <t>κλΑπ=1393-1394-1395-1396-1397-1407-1408-1409-1423</t>
  </si>
  <si>
    <t>κανονισμός=1</t>
  </si>
  <si>
    <t>διαμαρτ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</si>
  <si>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</si>
  <si>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</si>
  <si>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</si>
  <si>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</si>
  <si>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</si>
  <si>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</si>
  <si>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</si>
  <si>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</si>
  <si>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</si>
  <si>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</si>
  <si>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</si>
  <si>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</si>
  <si>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</si>
  <si>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</si>
  <si>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</si>
  <si>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</si>
  <si>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</si>
  <si>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</si>
  <si>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</si>
  <si>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</si>
  <si>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</si>
  <si>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</si>
  <si>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</si>
  <si>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</si>
  <si>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</si>
  <si>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</si>
  <si>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</si>
  <si>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</si>
  <si>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</si>
  <si>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</si>
  <si>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</si>
  <si>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</si>
  <si>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</si>
  <si>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</si>
  <si>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</si>
  <si>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</si>
  <si>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</si>
  <si>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</si>
  <si>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</si>
  <si>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</si>
  <si>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</si>
  <si>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</si>
  <si>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</si>
  <si>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</si>
  <si>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</si>
  <si>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</si>
  <si>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</si>
  <si>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</si>
  <si>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</si>
  <si>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πάγιοΑναλογικής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</si>
  <si>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</si>
  <si>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</si>
  <si>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</si>
  <si>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</si>
  <si>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</si>
  <si>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</si>
  <si>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</si>
  <si>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</si>
  <si>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</si>
  <si>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</si>
  <si>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</si>
  <si>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</si>
  <si>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</si>
  <si>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</si>
  <si>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</si>
  <si>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</si>
  <si>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</si>
  <si>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</si>
  <si>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</si>
  <si>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</si>
  <si>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</si>
  <si>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</si>
  <si>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</si>
  <si>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</si>
  <si>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</si>
  <si>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</si>
  <si>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</si>
  <si>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</si>
  <si>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</si>
  <si>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</si>
  <si>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</si>
  <si>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</si>
  <si>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</si>
  <si>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</si>
  <si>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</si>
  <si>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διαμαρτυρικό</t>
  </si>
  <si>
    <t>2010-1</t>
  </si>
  <si>
    <t>2010-2</t>
  </si>
  <si>
    <t>2010-3</t>
  </si>
  <si>
    <t>2010-4</t>
  </si>
  <si>
    <t>2010-5</t>
  </si>
  <si>
    <t>2010-6</t>
  </si>
  <si>
    <t>Μ.Ο.</t>
  </si>
  <si>
    <t>ΜΕ επικαρπία</t>
  </si>
  <si>
    <t>συμβολαιογράφοι 2.000 έως 2022</t>
  </si>
  <si>
    <t>συμβολαιογράφοι 1.980 έως 1.999</t>
  </si>
  <si>
    <t>συμβολαιογράφοι 1.960 έως 1.979</t>
  </si>
  <si>
    <t>κληρΑποδ = 12</t>
  </si>
  <si>
    <t>κληρΑποδ = 13</t>
  </si>
  <si>
    <t>κληρΑποδ = 14</t>
  </si>
  <si>
    <t>κληρΑποδ = 15</t>
  </si>
  <si>
    <t>κληρΑποδ = 16</t>
  </si>
  <si>
    <t>κληρΑποδ = 17</t>
  </si>
  <si>
    <t>κληρΑποδ = 18</t>
  </si>
  <si>
    <t>κληρΑποδ = 19</t>
  </si>
  <si>
    <t>κληρονομιάς ΑΠΟΔΟΧΗ</t>
  </si>
  <si>
    <t>2847..5/5</t>
  </si>
  <si>
    <t>3067…8/8</t>
  </si>
  <si>
    <t>3075…8/8</t>
  </si>
  <si>
    <t>αγοραπωλησίας ΠΡΟΣΥΜΦΩΝΟ τίμημα = 7.864,14 αρραβών = 0</t>
  </si>
  <si>
    <t>αγοραπωλησία ΒΑΣΕΙ προσυμφώνου 27.084καπολα τίμημα = αρραβών = 1εκ (2.934,70) Δ.Ο.Υ. = 8.917,92</t>
  </si>
  <si>
    <t>αγοραπωλησία ΒΑΣΕΙ προσυμφώνου 2.827 τίμημα = αρραβών = Δ.Ο.Υ. = 9238,58</t>
  </si>
  <si>
    <t>αγοραπωλησία ΒΑΣΕΙ 2.576 προσυμφώνου τίμημα =  αρραβών = Δ.Ο.Υ. = 8.804,11</t>
  </si>
  <si>
    <t>αγοραπωλησία ΒΑΣΕΙ 28.837καπολα προσυμφώνου τίμημα =  αρραβών = Δ.Ο.Υ. = 8.804,11</t>
  </si>
  <si>
    <t>αγοραπωλησία ΒΑΣΕΙ προσυμφώνου 2353 τίμημα = αρραβών = 9.391,05 Δ.Ο.Υ. = 14.000</t>
  </si>
  <si>
    <t>αγοραπωλησία ΒΑΣΕΙ προσυμφώνου 2.8615καπολα Δ.Ο.Υ. = 841,27 τίμημα = αρραβών =1.467,35</t>
  </si>
  <si>
    <t>3561…12/12</t>
  </si>
  <si>
    <t>3562 … 12/12</t>
  </si>
  <si>
    <t>αγοραπωλησία ΒΑΣΕΙ προσυμφώνου 3.273 τίμημα = 14.673,51 αρραβών = 2.000 Δ.Ο.Υ. = 17.252,97</t>
  </si>
  <si>
    <t>αγοραπωλησία ΒΑΣΕΙ προσυμφώνου 26.635καπολα τίμημα = αρραβών = 11.738,81 Δ.Ο.Υ. = 6.232,80</t>
  </si>
  <si>
    <t>αγοραπωλησία ΒΑΣΕΙ προσυμφώνου 26.634καπολα τίμημα = αρραβών = 11.738,81 Δ.Ο.Υ. = 6.232,80</t>
  </si>
  <si>
    <t>λέει η ΑΓΑΠΕ εξάλειψη για το ποσό 8.000€ = 2.726.000δρχ ;;;;;  ΕΠΕΙΔΗ γίνεται ΜΟΝΟ για το ένα ακίνητο</t>
  </si>
  <si>
    <t>3606…1/1</t>
  </si>
  <si>
    <t>αγοραπωλησία ΒΑΣΕΙ προσύμφωνο 3.432 αρραβών 4.000 Δ.Ο.Υ. = τίμημα = 26.412,33</t>
  </si>
  <si>
    <t>ακινήτων ΑΝΤΑΛΑΓΗ [25.365,86 &amp; 26.165,46</t>
  </si>
  <si>
    <t>..2/2</t>
  </si>
  <si>
    <t>* = αγοραπωλησίας ΠΡΟΣΥΜΦΩΝΟ τίμημα = 36.000 αρραβών = 0</t>
  </si>
  <si>
    <t>*</t>
  </si>
  <si>
    <t>* = γονική ΒΑΣΕΙ 1026 προσυμφώνου = 2.500.000</t>
  </si>
  <si>
    <t>3684..29/2</t>
  </si>
  <si>
    <t>3705..3/3</t>
  </si>
  <si>
    <t>αγοραπωλησία ΒΑΣΕΙ προσυμφώνου 10.692κ  τίμημα = αρραβών = 1εκ [=2.934,70€] Δ.Ο.Υ. =418,88 [[[ ΤΑΝ-κ-18 = πληρωμένο &amp; από παππού &amp; 2013-έλεγχο</t>
  </si>
  <si>
    <t>αγοραπωλησία ΒΑΣΕΙ προσυμφώνου 3.201 τίμημα = αρραβών = 88.000 Δ.Ο.Υ. = 102.723,07</t>
  </si>
  <si>
    <t>αγοραπωλησία ΒΑΣΕΙ 10341κ &amp; 10.772κ προσυμφώνων τίμημα = αρραβων = 12.000.000 {35.216,43€) Δ.Ο.Υ = 67.951,09</t>
  </si>
  <si>
    <t>..3/3</t>
  </si>
  <si>
    <t xml:space="preserve">* = αγοραπωλησίας 3.460 ΒΑΣΕΙ προσυμφώνου 10.692κ  [[[τίμημα = αρραβών = 1εκ {=2.934,70€} Δ.Ο.Υ. =418,88]]] /// ΔΙΟΡΘΩΣΗ &amp; ΕΠΑΝΑΛΗΨΗ , τίμημα = 733,68 Δ.Ο.Υ. = 2.057,45 </t>
  </si>
  <si>
    <t>3915..5/5</t>
  </si>
  <si>
    <t>αγοραπωλησία ΒΑΣΕΙ 12.489κ τίμημα = αρραβών =1.173,88 Δ.Ο.Υ. = 4.672,49</t>
  </si>
  <si>
    <t>αγοραπωλησία ΒΑΣΕΙ προσυμφώνου 3.214 τίμημα = 1.400 αρραβών = 500 Δ.Ο.Υ. = 2.438,72</t>
  </si>
  <si>
    <t>λάθος ΑΓΑΠΕ [*δωρεά ΨΙΛΗΣ ΚΥΡΙΟΤΗΤΑΣ = 16.353,27] + [*δωρεά ΕΠΙΚΑΡΠΙΑΣ = 10.902,18</t>
  </si>
  <si>
    <t>αγοραπωλησία ΒΑΣΕΙ 3.792 τίμημα = 4.000 αρραβών = 3.000 Δ.Ο.Υ. = 5.545,27</t>
  </si>
  <si>
    <t>αγοραπωλησίας ΠΡΟΣΥΜΦΩΝΟ τίμημα = 15.000 αρραβών = 0</t>
  </si>
  <si>
    <t>είναι μίσθωση = ΚΑΚΩΣ χρεώνει κ-17</t>
  </si>
  <si>
    <t>αγοραπωλησία ΒΑΣΕΙ 3.817 προσυμφώνου τίμημα = αρραβών = 5.733,44 Δ.Ο.Υ. = 2.055,28</t>
  </si>
  <si>
    <t>αγοραπωλησία ΒΑΣΕΙ 3.976 προσυμφώνου τίμημα = 12.000 αρραβών = 1.000 Δ.Ο.Υ. = 13.387,53</t>
  </si>
  <si>
    <t>αγοραπωλησίας ...??? ΕΞΟΦΛΗΣΗ</t>
  </si>
  <si>
    <t>..8/8</t>
  </si>
  <si>
    <t>4147 ..8/8</t>
  </si>
  <si>
    <t>αγοραπωλησία ΒΑΣΕΙ προσυμφώνου 441Α' τίμημα = αρραβών = Δ.Ο.Υ. = 2εκ (5.869,41)</t>
  </si>
  <si>
    <t>4159 ..8/8</t>
  </si>
  <si>
    <t>αγοραπωλησία ΒΑΣΕΙ προσυμφώνου 3.456 τίμημα = αρραβών = 10.696,40 Δ.Ο.Υ. = 13.858,60</t>
  </si>
  <si>
    <t>..9/9</t>
  </si>
  <si>
    <t>* = κληρονομιάς αποδοχής 16.524καπόλα ΔΙΟΡΘΩΣΗ</t>
  </si>
  <si>
    <t>αγοραπωλησία ΒΑΣΕΙ προσυμφώνου 3.933 τίμημα = 7.800 αρραβών = 3.000 Δ.Ο.Υ. = 11.196,66</t>
  </si>
  <si>
    <t>4201 ..9/9</t>
  </si>
  <si>
    <t>4211 ..9/9</t>
  </si>
  <si>
    <t>αγοραπωλησία ΒΑΣΕΙ προσυμφώνου 14.922/1966καπολα τίμημα = αρραβών = 7.500δρχ {=22,01} Δ.Ο.Υ. = 2.333,3</t>
  </si>
  <si>
    <t>4214 ..9/9</t>
  </si>
  <si>
    <t>αγοραπωλησία ΒΑΣΕΙ προσυμφώνου 15.654/1967καπολα τίμημα = αρραβών = 15.000δρχ {44,02} Δ.Ο.Υ. =18.103,29</t>
  </si>
  <si>
    <t>αγοραπωλησία ΒΑΣΕΙ προσυμφώνου 3.534 τίμημα = αρραβών = Δ.Ο.Υ. = 15.057,2</t>
  </si>
  <si>
    <t>αγοραπωλησία ΄ΒΑΣΕΙ προσυμφώνου 3.325 τίμημα = αρραβών = 7.000 Δ.Ο.Υ. = 18.115,43</t>
  </si>
  <si>
    <t>4361..10/10</t>
  </si>
  <si>
    <t>αγοραπωλησία ΒΑΣΕΙ προσύμφωνου 15.950/1967καπολα τίμημα = αρραβών = 15.000δρχ (44,02€) Δ.Ο.Υ. = 12.038,36</t>
  </si>
  <si>
    <t>αγοραπωλησία ΒΑΣΕΙ προσύμφωνου 4.246 τίμημα = αρραβών = Δ.Ο.Υ. = 35.200</t>
  </si>
  <si>
    <t>διανομή 44.306,31 &amp; 28.192,46</t>
  </si>
  <si>
    <t>.. 11/11</t>
  </si>
  <si>
    <t>* = οριζοντιου συστάσεως 26.681καπόλα ΚΑΤΑΡΓΗΣΗ</t>
  </si>
  <si>
    <t>σύσταση &amp; διανομή</t>
  </si>
  <si>
    <t>4473 .. 12/12</t>
  </si>
  <si>
    <t>αγοραπωλησία ΒΑΣΕΙ  προσυμφώνου 4.113 τίμημα = αρραβών 800 Δ.Ο.Υ. = 950,40</t>
  </si>
  <si>
    <t>αγοραπωλησία ΒΑΣΕΙ 3.489 &amp; 3.669 τίμημα = αρραβών = 24.944,96 (12.472,48 &amp; 12.472,48) Δ.Ο.Υ. = 29.261,70</t>
  </si>
  <si>
    <t>4553 ..12/12</t>
  </si>
  <si>
    <t>ανταλλαγή ακινήτων ΒΑΣΕΙ  προσυμφώνου 10.878κύρου τίμημα [1&amp;1 = 2εκ {{{ΕΔΏ ο παππούς χρεώνει κ-18 = για 2εκ}}}]  Δ.Ο.Υ. [1,5 &amp; 1,5] //// ο έλεγχος αποδέχεται την κατάσταση !!!!</t>
  </si>
  <si>
    <t>αγοραπωλησία ΒΑΣΕΙ προσυμφώνου 4.137 Δ.Ο.Υ. = 173.170,75 τίμημα = αρραβών = 56.000</t>
  </si>
  <si>
    <t>κάθετος ΣΥΣΤΑΣΗ</t>
  </si>
  <si>
    <t xml:space="preserve">υποθήκης 1.300.000δρχ 9.005κ ΕΞΑΛΕΙΨΗ </t>
  </si>
  <si>
    <t>..7/7</t>
  </si>
  <si>
    <t>κληρονομιάς αποδοχής ΔΙΟΡΘΩΣΗ</t>
  </si>
  <si>
    <t>αγοραπωλησία ΒΑΣΕΙ προσυμφώνου 3.362 τίμημα = αρραβών = 44.050,54  Δ.Ο.Υ. = 100.000</t>
  </si>
  <si>
    <t xml:space="preserve">αγοραπωλησία ΒΑΣΕΙ προσυμφωνου 27.319καπολα τίμημα = αρραβών = Δ.Ο.Υ. = 4.670.000δρχ (= 13.705,06) </t>
  </si>
  <si>
    <t xml:space="preserve">αγοραπωλησία ΒΑΣΕΙ προσυμφωνου 27.318καπολα τίμημα = αρραβών = 2.335.000δρχ (= 6.852,53) </t>
  </si>
  <si>
    <t>4979..7/7</t>
  </si>
  <si>
    <t>4980..7/7</t>
  </si>
  <si>
    <t>αγοραπωλησία ΒΑΣΕΙ προσυμφώνου 4.941 τίμημα = 4.500 αρραβών = 1.700 Δ.Ο.Υ.= 5.609,63</t>
  </si>
  <si>
    <t>αγοραπωλησία ΒΑΣΕΙ πρσυμφώνου 5.012 τίμημα = Δ.Ο.Υ. = 59.579,30 αρραβών = 5.000</t>
  </si>
  <si>
    <t>5137..9/9</t>
  </si>
  <si>
    <t xml:space="preserve">σύσταση  </t>
  </si>
  <si>
    <t>5314..10/10</t>
  </si>
  <si>
    <t xml:space="preserve">αγοραπωλησία ΒΑΣΕΙ 4.587 τίμημα = Δ.Ο.Υ. = 9.000 αρραβών = 3.000 </t>
  </si>
  <si>
    <t>5349..10/10</t>
  </si>
  <si>
    <t>5352..10/10</t>
  </si>
  <si>
    <t>αγοραπωλησία ΒΑΣΕΙ προσυμφώνου 5.069 τίμημα = αρραβών = 30.000 Δ.Ο.Υ. = 47.718,27</t>
  </si>
  <si>
    <t xml:space="preserve">αγοραπωλησία ΒΑΣΕΙ προσυμφώνου 929καλιοπίτσα τίμημα = αρραβών = Δ.Ο.Υ. = 4εκ {=11.738,81 </t>
  </si>
  <si>
    <t>αγοραπωλησία ΒΑΣΕΙ προσυμφώνου 727 τίμημα = αρραβών = 3εκ [8.804,11] Δ.Ο.Υ. = 13.091,83</t>
  </si>
  <si>
    <t>5430..11/11</t>
  </si>
  <si>
    <t>5392..11/11</t>
  </si>
  <si>
    <t xml:space="preserve">αγοραπωλησία ΒΑΣΕΙ προσυμφώνου 4.619 τίμημα = αρραβών = 1.800 Δ.Ο.Υ. = 6.641,05 </t>
  </si>
  <si>
    <t>..12/12</t>
  </si>
  <si>
    <t>*=κληρονομιάς αποδοχής 2.469 ΣΥΜΠΛΗΡΩΜΑΤΙΚΗ</t>
  </si>
  <si>
    <t>282κ = κ-15-17-18 [λάθος ελεγκτή στο συνολικό ποσό πορίσματος προς ανακριτή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</si>
</sst>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/m;@"/>
    <numFmt numFmtId="166" formatCode="d/m/yyyy;@"/>
  </numFmts>
  <fonts count="2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9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0"/>
      <color rgb="FF0070C0"/>
      <name val="Arial"/>
      <family val="2"/>
      <charset val="161"/>
    </font>
    <font>
      <sz val="10"/>
      <color rgb="FF00B0F0"/>
      <name val="Arial"/>
      <family val="2"/>
      <charset val="161"/>
    </font>
    <font>
      <sz val="8"/>
      <color rgb="FF0070C0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43" fontId="3" fillId="0" borderId="1" xfId="1" applyFont="1" applyFill="1" applyBorder="1"/>
    <xf numFmtId="0" fontId="4" fillId="0" borderId="0" xfId="0" applyFont="1"/>
    <xf numFmtId="43" fontId="3" fillId="0" borderId="0" xfId="1" applyFont="1"/>
    <xf numFmtId="0" fontId="3" fillId="0" borderId="5" xfId="0" applyFont="1" applyBorder="1"/>
    <xf numFmtId="43" fontId="3" fillId="5" borderId="1" xfId="1" applyFont="1" applyFill="1" applyBorder="1"/>
    <xf numFmtId="43" fontId="3" fillId="5" borderId="5" xfId="1" applyFont="1" applyFill="1" applyBorder="1"/>
    <xf numFmtId="0" fontId="0" fillId="0" borderId="0" xfId="0" applyFont="1"/>
    <xf numFmtId="0" fontId="0" fillId="0" borderId="5" xfId="0" applyFont="1" applyBorder="1"/>
    <xf numFmtId="43" fontId="0" fillId="5" borderId="5" xfId="1" applyFont="1" applyFill="1" applyBorder="1"/>
    <xf numFmtId="0" fontId="0" fillId="0" borderId="1" xfId="0" applyFont="1" applyBorder="1"/>
    <xf numFmtId="43" fontId="0" fillId="5" borderId="1" xfId="1" applyFont="1" applyFill="1" applyBorder="1"/>
    <xf numFmtId="0" fontId="5" fillId="0" borderId="0" xfId="0" applyFont="1"/>
    <xf numFmtId="43" fontId="0" fillId="0" borderId="0" xfId="1" applyFont="1"/>
    <xf numFmtId="43" fontId="0" fillId="4" borderId="5" xfId="1" applyFont="1" applyFill="1" applyBorder="1"/>
    <xf numFmtId="43" fontId="0" fillId="0" borderId="0" xfId="0" applyNumberFormat="1" applyFont="1"/>
    <xf numFmtId="43" fontId="0" fillId="0" borderId="1" xfId="1" applyFont="1" applyFill="1" applyBorder="1"/>
    <xf numFmtId="0" fontId="0" fillId="0" borderId="2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43" fontId="0" fillId="2" borderId="1" xfId="1" applyFont="1" applyFill="1" applyBorder="1"/>
    <xf numFmtId="0" fontId="0" fillId="2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43" fontId="6" fillId="0" borderId="1" xfId="1" applyFont="1" applyFill="1" applyBorder="1"/>
    <xf numFmtId="43" fontId="6" fillId="0" borderId="1" xfId="1" applyFont="1" applyBorder="1"/>
    <xf numFmtId="0" fontId="6" fillId="0" borderId="0" xfId="0" applyFont="1"/>
    <xf numFmtId="43" fontId="0" fillId="0" borderId="1" xfId="1" applyFont="1" applyBorder="1"/>
    <xf numFmtId="0" fontId="0" fillId="0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43" fontId="0" fillId="0" borderId="5" xfId="1" applyFont="1" applyFill="1" applyBorder="1"/>
    <xf numFmtId="0" fontId="0" fillId="0" borderId="5" xfId="0" applyFont="1" applyFill="1" applyBorder="1"/>
    <xf numFmtId="0" fontId="0" fillId="0" borderId="0" xfId="0" applyFont="1" applyAlignment="1"/>
    <xf numFmtId="43" fontId="0" fillId="0" borderId="0" xfId="1" applyFont="1" applyAlignment="1"/>
    <xf numFmtId="43" fontId="0" fillId="0" borderId="1" xfId="1" applyFont="1" applyFill="1" applyBorder="1" applyAlignment="1">
      <alignment horizontal="center"/>
    </xf>
    <xf numFmtId="0" fontId="0" fillId="0" borderId="1" xfId="0" applyFont="1" applyFill="1" applyBorder="1"/>
    <xf numFmtId="43" fontId="0" fillId="0" borderId="0" xfId="1" applyFont="1" applyFill="1"/>
    <xf numFmtId="0" fontId="0" fillId="0" borderId="0" xfId="0" applyFont="1" applyFill="1"/>
    <xf numFmtId="0" fontId="3" fillId="6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3" fontId="0" fillId="7" borderId="1" xfId="1" applyFont="1" applyFill="1" applyBorder="1"/>
    <xf numFmtId="0" fontId="0" fillId="0" borderId="7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wrapText="1"/>
    </xf>
    <xf numFmtId="0" fontId="0" fillId="6" borderId="9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7" borderId="0" xfId="0" applyFill="1"/>
    <xf numFmtId="0" fontId="0" fillId="0" borderId="1" xfId="0" applyBorder="1"/>
    <xf numFmtId="0" fontId="8" fillId="0" borderId="1" xfId="0" applyFont="1" applyBorder="1"/>
    <xf numFmtId="165" fontId="0" fillId="0" borderId="1" xfId="1" applyNumberFormat="1" applyFont="1" applyBorder="1"/>
    <xf numFmtId="43" fontId="3" fillId="0" borderId="1" xfId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43" fontId="3" fillId="4" borderId="5" xfId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43" fontId="6" fillId="7" borderId="1" xfId="1" applyFont="1" applyFill="1" applyBorder="1"/>
    <xf numFmtId="0" fontId="0" fillId="6" borderId="8" xfId="0" applyFill="1" applyBorder="1" applyAlignment="1">
      <alignment horizontal="center" wrapText="1"/>
    </xf>
    <xf numFmtId="43" fontId="3" fillId="0" borderId="5" xfId="1" applyFont="1" applyFill="1" applyBorder="1"/>
    <xf numFmtId="164" fontId="3" fillId="0" borderId="1" xfId="1" applyNumberFormat="1" applyFont="1" applyBorder="1"/>
    <xf numFmtId="164" fontId="3" fillId="0" borderId="5" xfId="1" applyNumberFormat="1" applyFont="1" applyFill="1" applyBorder="1"/>
    <xf numFmtId="43" fontId="3" fillId="0" borderId="19" xfId="1" applyFont="1" applyFill="1" applyBorder="1"/>
    <xf numFmtId="0" fontId="3" fillId="2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/>
    <xf numFmtId="164" fontId="3" fillId="0" borderId="1" xfId="1" applyNumberFormat="1" applyFont="1" applyBorder="1" applyAlignment="1"/>
    <xf numFmtId="0" fontId="3" fillId="0" borderId="0" xfId="0" quotePrefix="1" applyFont="1" applyAlignment="1"/>
    <xf numFmtId="0" fontId="3" fillId="0" borderId="0" xfId="0" quotePrefix="1" applyFont="1" applyBorder="1" applyAlignment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/>
    </xf>
    <xf numFmtId="43" fontId="3" fillId="2" borderId="1" xfId="1" applyFont="1" applyFill="1" applyBorder="1"/>
    <xf numFmtId="164" fontId="3" fillId="0" borderId="0" xfId="1" applyNumberFormat="1" applyFont="1"/>
    <xf numFmtId="0" fontId="4" fillId="0" borderId="0" xfId="0" applyFont="1" applyAlignment="1">
      <alignment wrapText="1"/>
    </xf>
    <xf numFmtId="43" fontId="3" fillId="0" borderId="1" xfId="1" applyFont="1" applyBorder="1" applyAlignment="1">
      <alignment horizontal="center"/>
    </xf>
    <xf numFmtId="0" fontId="3" fillId="0" borderId="1" xfId="0" applyFont="1" applyFill="1" applyBorder="1"/>
    <xf numFmtId="0" fontId="0" fillId="0" borderId="0" xfId="0" applyFont="1" applyFill="1" applyAlignment="1">
      <alignment horizontal="center"/>
    </xf>
    <xf numFmtId="43" fontId="4" fillId="0" borderId="0" xfId="0" applyNumberFormat="1" applyFont="1"/>
    <xf numFmtId="43" fontId="4" fillId="0" borderId="1" xfId="1" applyFont="1" applyBorder="1"/>
    <xf numFmtId="43" fontId="3" fillId="0" borderId="2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4" fillId="0" borderId="0" xfId="0" applyNumberFormat="1" applyFont="1" applyFill="1"/>
    <xf numFmtId="43" fontId="5" fillId="0" borderId="0" xfId="0" applyNumberFormat="1" applyFont="1"/>
    <xf numFmtId="43" fontId="10" fillId="0" borderId="1" xfId="1" applyFont="1" applyBorder="1"/>
    <xf numFmtId="43" fontId="3" fillId="0" borderId="2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43" fontId="2" fillId="0" borderId="2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ont="1" applyFill="1" applyAlignment="1"/>
    <xf numFmtId="0" fontId="3" fillId="0" borderId="0" xfId="0" quotePrefix="1" applyFont="1" applyBorder="1" applyAlignment="1">
      <alignment horizontal="left"/>
    </xf>
    <xf numFmtId="0" fontId="0" fillId="0" borderId="0" xfId="0" applyAlignment="1"/>
    <xf numFmtId="43" fontId="5" fillId="0" borderId="1" xfId="1" applyFont="1" applyBorder="1"/>
    <xf numFmtId="0" fontId="0" fillId="2" borderId="1" xfId="0" applyFont="1" applyFill="1" applyBorder="1"/>
    <xf numFmtId="43" fontId="4" fillId="0" borderId="1" xfId="1" applyFont="1" applyFill="1" applyBorder="1"/>
    <xf numFmtId="43" fontId="10" fillId="0" borderId="1" xfId="1" applyFont="1" applyFill="1" applyBorder="1"/>
    <xf numFmtId="0" fontId="2" fillId="0" borderId="0" xfId="0" applyFont="1" applyFill="1" applyAlignment="1">
      <alignment horizontal="left"/>
    </xf>
    <xf numFmtId="0" fontId="0" fillId="3" borderId="4" xfId="0" applyFont="1" applyFill="1" applyBorder="1"/>
    <xf numFmtId="165" fontId="3" fillId="0" borderId="5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2" borderId="4" xfId="0" applyFont="1" applyFill="1" applyBorder="1"/>
    <xf numFmtId="0" fontId="3" fillId="0" borderId="5" xfId="0" applyFont="1" applyFill="1" applyBorder="1" applyAlignment="1"/>
    <xf numFmtId="165" fontId="0" fillId="0" borderId="1" xfId="1" applyNumberFormat="1" applyFont="1" applyFill="1" applyBorder="1"/>
    <xf numFmtId="164" fontId="3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1" xfId="1" applyNumberFormat="1" applyFont="1" applyFill="1" applyBorder="1" applyAlignment="1"/>
    <xf numFmtId="0" fontId="0" fillId="0" borderId="0" xfId="0" applyAlignment="1">
      <alignment horizontal="center"/>
    </xf>
    <xf numFmtId="0" fontId="12" fillId="0" borderId="0" xfId="0" applyFont="1"/>
    <xf numFmtId="0" fontId="11" fillId="0" borderId="0" xfId="0" applyFont="1"/>
    <xf numFmtId="0" fontId="0" fillId="0" borderId="8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0" borderId="0" xfId="0" applyAlignment="1">
      <alignment horizontal="center"/>
    </xf>
    <xf numFmtId="165" fontId="3" fillId="0" borderId="5" xfId="1" applyNumberFormat="1" applyFont="1" applyBorder="1"/>
    <xf numFmtId="164" fontId="3" fillId="0" borderId="5" xfId="1" applyNumberFormat="1" applyFont="1" applyBorder="1" applyAlignment="1"/>
    <xf numFmtId="43" fontId="3" fillId="0" borderId="5" xfId="1" applyFont="1" applyBorder="1"/>
    <xf numFmtId="43" fontId="4" fillId="0" borderId="5" xfId="1" applyFont="1" applyBorder="1"/>
    <xf numFmtId="165" fontId="3" fillId="0" borderId="7" xfId="1" applyNumberFormat="1" applyFont="1" applyBorder="1"/>
    <xf numFmtId="164" fontId="3" fillId="0" borderId="7" xfId="1" applyNumberFormat="1" applyFont="1" applyBorder="1" applyAlignment="1"/>
    <xf numFmtId="43" fontId="3" fillId="0" borderId="7" xfId="1" applyFont="1" applyBorder="1" applyAlignment="1">
      <alignment horizontal="center"/>
    </xf>
    <xf numFmtId="43" fontId="3" fillId="0" borderId="7" xfId="1" applyFont="1" applyBorder="1"/>
    <xf numFmtId="43" fontId="10" fillId="0" borderId="7" xfId="1" applyFont="1" applyBorder="1"/>
    <xf numFmtId="43" fontId="4" fillId="0" borderId="20" xfId="0" applyNumberFormat="1" applyFont="1" applyBorder="1"/>
    <xf numFmtId="165" fontId="0" fillId="0" borderId="4" xfId="1" applyNumberFormat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65" fontId="0" fillId="0" borderId="5" xfId="1" applyNumberFormat="1" applyFont="1" applyBorder="1"/>
    <xf numFmtId="164" fontId="3" fillId="0" borderId="5" xfId="1" applyNumberFormat="1" applyFont="1" applyBorder="1"/>
    <xf numFmtId="0" fontId="0" fillId="0" borderId="0" xfId="0" applyFont="1" applyBorder="1"/>
    <xf numFmtId="164" fontId="3" fillId="0" borderId="7" xfId="1" applyNumberFormat="1" applyFont="1" applyBorder="1"/>
    <xf numFmtId="43" fontId="5" fillId="0" borderId="7" xfId="1" applyFont="1" applyBorder="1"/>
    <xf numFmtId="165" fontId="0" fillId="0" borderId="7" xfId="1" applyNumberFormat="1" applyFont="1" applyBorder="1"/>
    <xf numFmtId="43" fontId="5" fillId="0" borderId="0" xfId="0" applyNumberFormat="1" applyFont="1" applyBorder="1"/>
    <xf numFmtId="43" fontId="0" fillId="0" borderId="7" xfId="1" applyFont="1" applyBorder="1"/>
    <xf numFmtId="43" fontId="5" fillId="0" borderId="20" xfId="0" applyNumberFormat="1" applyFont="1" applyBorder="1"/>
    <xf numFmtId="43" fontId="0" fillId="0" borderId="5" xfId="1" applyFont="1" applyBorder="1"/>
    <xf numFmtId="165" fontId="0" fillId="0" borderId="24" xfId="1" applyNumberFormat="1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43" fontId="3" fillId="0" borderId="19" xfId="1" applyFont="1" applyBorder="1"/>
    <xf numFmtId="43" fontId="5" fillId="0" borderId="19" xfId="1" applyFont="1" applyBorder="1"/>
    <xf numFmtId="0" fontId="0" fillId="0" borderId="26" xfId="0" applyFont="1" applyBorder="1"/>
    <xf numFmtId="165" fontId="0" fillId="0" borderId="7" xfId="1" applyNumberFormat="1" applyFont="1" applyBorder="1" applyAlignment="1">
      <alignment horizontal="center"/>
    </xf>
    <xf numFmtId="0" fontId="3" fillId="3" borderId="7" xfId="0" applyFont="1" applyFill="1" applyBorder="1"/>
    <xf numFmtId="43" fontId="4" fillId="0" borderId="7" xfId="1" applyFont="1" applyBorder="1"/>
    <xf numFmtId="0" fontId="3" fillId="0" borderId="20" xfId="0" applyFont="1" applyBorder="1"/>
    <xf numFmtId="0" fontId="3" fillId="0" borderId="26" xfId="0" applyFont="1" applyBorder="1"/>
    <xf numFmtId="43" fontId="4" fillId="0" borderId="0" xfId="0" applyNumberFormat="1" applyFont="1" applyFill="1" applyBorder="1"/>
    <xf numFmtId="0" fontId="3" fillId="0" borderId="0" xfId="0" applyFont="1" applyBorder="1"/>
    <xf numFmtId="43" fontId="4" fillId="0" borderId="20" xfId="0" applyNumberFormat="1" applyFont="1" applyFill="1" applyBorder="1"/>
    <xf numFmtId="165" fontId="3" fillId="0" borderId="23" xfId="1" applyNumberFormat="1" applyFont="1" applyBorder="1"/>
    <xf numFmtId="43" fontId="4" fillId="0" borderId="23" xfId="1" applyFont="1" applyBorder="1"/>
    <xf numFmtId="0" fontId="3" fillId="0" borderId="31" xfId="0" applyFont="1" applyBorder="1"/>
    <xf numFmtId="43" fontId="4" fillId="0" borderId="0" xfId="0" applyNumberFormat="1" applyFont="1" applyBorder="1"/>
    <xf numFmtId="0" fontId="3" fillId="3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5" fontId="3" fillId="0" borderId="19" xfId="1" applyNumberFormat="1" applyFont="1" applyBorder="1"/>
    <xf numFmtId="0" fontId="3" fillId="0" borderId="19" xfId="0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43" fontId="4" fillId="0" borderId="19" xfId="1" applyFont="1" applyBorder="1"/>
    <xf numFmtId="164" fontId="3" fillId="0" borderId="19" xfId="1" applyNumberFormat="1" applyFont="1" applyBorder="1" applyAlignment="1"/>
    <xf numFmtId="164" fontId="3" fillId="0" borderId="19" xfId="1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23" xfId="0" applyFont="1" applyBorder="1" applyAlignment="1"/>
    <xf numFmtId="164" fontId="3" fillId="0" borderId="23" xfId="1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43" fontId="3" fillId="0" borderId="7" xfId="1" applyFont="1" applyFill="1" applyBorder="1"/>
    <xf numFmtId="0" fontId="3" fillId="3" borderId="1" xfId="0" applyFont="1" applyFill="1" applyBorder="1" applyAlignment="1"/>
    <xf numFmtId="0" fontId="3" fillId="2" borderId="7" xfId="0" applyFont="1" applyFill="1" applyBorder="1"/>
    <xf numFmtId="43" fontId="4" fillId="0" borderId="19" xfId="1" applyFont="1" applyFill="1" applyBorder="1"/>
    <xf numFmtId="43" fontId="4" fillId="0" borderId="7" xfId="1" applyFont="1" applyFill="1" applyBorder="1"/>
    <xf numFmtId="0" fontId="11" fillId="0" borderId="0" xfId="0" applyFont="1" applyAlignment="1"/>
    <xf numFmtId="0" fontId="0" fillId="3" borderId="8" xfId="0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Border="1" applyAlignment="1"/>
    <xf numFmtId="0" fontId="0" fillId="3" borderId="7" xfId="0" applyFont="1" applyFill="1" applyBorder="1"/>
    <xf numFmtId="165" fontId="0" fillId="0" borderId="7" xfId="1" applyNumberFormat="1" applyFont="1" applyFill="1" applyBorder="1"/>
    <xf numFmtId="164" fontId="3" fillId="0" borderId="7" xfId="1" applyNumberFormat="1" applyFont="1" applyFill="1" applyBorder="1"/>
    <xf numFmtId="165" fontId="0" fillId="0" borderId="19" xfId="1" applyNumberFormat="1" applyFont="1" applyBorder="1"/>
    <xf numFmtId="164" fontId="3" fillId="0" borderId="19" xfId="1" applyNumberFormat="1" applyFont="1" applyBorder="1"/>
    <xf numFmtId="0" fontId="3" fillId="3" borderId="8" xfId="0" applyFont="1" applyFill="1" applyBorder="1"/>
    <xf numFmtId="165" fontId="3" fillId="0" borderId="8" xfId="1" applyNumberFormat="1" applyFont="1" applyBorder="1"/>
    <xf numFmtId="164" fontId="3" fillId="0" borderId="8" xfId="1" applyNumberFormat="1" applyFont="1" applyBorder="1" applyAlignment="1"/>
    <xf numFmtId="43" fontId="3" fillId="0" borderId="8" xfId="1" applyFont="1" applyBorder="1"/>
    <xf numFmtId="43" fontId="4" fillId="0" borderId="8" xfId="1" applyFont="1" applyBorder="1"/>
    <xf numFmtId="165" fontId="3" fillId="0" borderId="7" xfId="1" applyNumberFormat="1" applyFont="1" applyFill="1" applyBorder="1"/>
    <xf numFmtId="164" fontId="3" fillId="0" borderId="7" xfId="1" applyNumberFormat="1" applyFont="1" applyFill="1" applyBorder="1" applyAlignment="1"/>
    <xf numFmtId="0" fontId="3" fillId="2" borderId="8" xfId="0" applyFont="1" applyFill="1" applyBorder="1"/>
    <xf numFmtId="165" fontId="3" fillId="0" borderId="8" xfId="1" applyNumberFormat="1" applyFont="1" applyFill="1" applyBorder="1"/>
    <xf numFmtId="164" fontId="3" fillId="0" borderId="8" xfId="1" applyNumberFormat="1" applyFont="1" applyFill="1" applyBorder="1" applyAlignment="1"/>
    <xf numFmtId="43" fontId="3" fillId="0" borderId="8" xfId="1" applyFont="1" applyFill="1" applyBorder="1" applyAlignment="1">
      <alignment horizontal="center"/>
    </xf>
    <xf numFmtId="43" fontId="3" fillId="0" borderId="8" xfId="1" applyFont="1" applyFill="1" applyBorder="1"/>
    <xf numFmtId="165" fontId="3" fillId="0" borderId="5" xfId="1" applyNumberFormat="1" applyFont="1" applyFill="1" applyBorder="1"/>
    <xf numFmtId="164" fontId="3" fillId="0" borderId="5" xfId="1" applyNumberFormat="1" applyFont="1" applyFill="1" applyBorder="1" applyAlignment="1"/>
    <xf numFmtId="43" fontId="4" fillId="0" borderId="5" xfId="1" applyFont="1" applyFill="1" applyBorder="1"/>
    <xf numFmtId="43" fontId="10" fillId="0" borderId="7" xfId="1" applyFont="1" applyFill="1" applyBorder="1"/>
    <xf numFmtId="43" fontId="4" fillId="0" borderId="8" xfId="1" applyFont="1" applyFill="1" applyBorder="1"/>
    <xf numFmtId="3" fontId="3" fillId="0" borderId="19" xfId="0" applyNumberFormat="1" applyFont="1" applyBorder="1" applyAlignment="1">
      <alignment horizontal="center"/>
    </xf>
    <xf numFmtId="43" fontId="10" fillId="0" borderId="0" xfId="0" applyNumberFormat="1" applyFont="1" applyBorder="1"/>
    <xf numFmtId="0" fontId="10" fillId="0" borderId="0" xfId="0" applyFont="1" applyBorder="1"/>
    <xf numFmtId="43" fontId="10" fillId="0" borderId="20" xfId="0" applyNumberFormat="1" applyFont="1" applyBorder="1"/>
    <xf numFmtId="0" fontId="3" fillId="0" borderId="5" xfId="0" applyFont="1" applyFill="1" applyBorder="1"/>
    <xf numFmtId="43" fontId="3" fillId="0" borderId="19" xfId="1" applyFont="1" applyBorder="1" applyAlignment="1">
      <alignment horizontal="center"/>
    </xf>
    <xf numFmtId="43" fontId="10" fillId="0" borderId="5" xfId="1" applyFont="1" applyFill="1" applyBorder="1"/>
    <xf numFmtId="43" fontId="0" fillId="0" borderId="19" xfId="1" applyFont="1" applyFill="1" applyBorder="1"/>
    <xf numFmtId="0" fontId="0" fillId="0" borderId="26" xfId="0" applyFont="1" applyFill="1" applyBorder="1"/>
    <xf numFmtId="0" fontId="0" fillId="0" borderId="0" xfId="0" applyFont="1" applyFill="1" applyBorder="1"/>
    <xf numFmtId="43" fontId="0" fillId="0" borderId="7" xfId="1" applyFont="1" applyFill="1" applyBorder="1"/>
    <xf numFmtId="164" fontId="3" fillId="0" borderId="8" xfId="1" applyNumberFormat="1" applyFont="1" applyFill="1" applyBorder="1"/>
    <xf numFmtId="165" fontId="0" fillId="0" borderId="5" xfId="1" applyNumberFormat="1" applyFont="1" applyFill="1" applyBorder="1"/>
    <xf numFmtId="43" fontId="5" fillId="0" borderId="7" xfId="1" applyFont="1" applyFill="1" applyBorder="1"/>
    <xf numFmtId="0" fontId="3" fillId="0" borderId="3" xfId="0" applyFont="1" applyFill="1" applyBorder="1" applyAlignment="1">
      <alignment horizontal="center" wrapText="1"/>
    </xf>
    <xf numFmtId="0" fontId="3" fillId="0" borderId="7" xfId="0" applyFont="1" applyBorder="1"/>
    <xf numFmtId="43" fontId="3" fillId="9" borderId="5" xfId="1" applyFont="1" applyFill="1" applyBorder="1"/>
    <xf numFmtId="43" fontId="3" fillId="0" borderId="1" xfId="0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/>
    <xf numFmtId="164" fontId="10" fillId="0" borderId="0" xfId="0" applyNumberFormat="1" applyFont="1"/>
    <xf numFmtId="43" fontId="3" fillId="0" borderId="0" xfId="0" applyNumberFormat="1" applyFont="1"/>
    <xf numFmtId="14" fontId="11" fillId="0" borderId="0" xfId="0" applyNumberFormat="1" applyFont="1"/>
    <xf numFmtId="0" fontId="16" fillId="0" borderId="0" xfId="0" applyFont="1" applyAlignment="1">
      <alignment horizontal="center"/>
    </xf>
    <xf numFmtId="43" fontId="3" fillId="0" borderId="20" xfId="1" applyFont="1" applyBorder="1"/>
    <xf numFmtId="43" fontId="3" fillId="0" borderId="8" xfId="1" applyFont="1" applyFill="1" applyBorder="1" applyAlignment="1">
      <alignment horizontal="center"/>
    </xf>
    <xf numFmtId="164" fontId="3" fillId="0" borderId="8" xfId="1" applyNumberFormat="1" applyFont="1" applyBorder="1"/>
    <xf numFmtId="0" fontId="3" fillId="0" borderId="0" xfId="0" applyFont="1" applyAlignment="1">
      <alignment horizontal="center"/>
    </xf>
    <xf numFmtId="164" fontId="3" fillId="3" borderId="0" xfId="0" applyNumberFormat="1" applyFont="1" applyFill="1"/>
    <xf numFmtId="164" fontId="3" fillId="0" borderId="0" xfId="1" applyNumberFormat="1" applyFont="1" applyAlignment="1">
      <alignment horizontal="center"/>
    </xf>
    <xf numFmtId="164" fontId="3" fillId="0" borderId="19" xfId="1" applyNumberFormat="1" applyFont="1" applyFill="1" applyBorder="1" applyAlignment="1"/>
    <xf numFmtId="43" fontId="3" fillId="0" borderId="19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43" fontId="3" fillId="9" borderId="1" xfId="1" applyFont="1" applyFill="1" applyBorder="1"/>
    <xf numFmtId="9" fontId="3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164" fontId="3" fillId="0" borderId="0" xfId="0" applyNumberFormat="1" applyFont="1"/>
    <xf numFmtId="9" fontId="3" fillId="0" borderId="0" xfId="0" applyNumberFormat="1" applyFont="1" applyFill="1"/>
    <xf numFmtId="9" fontId="12" fillId="0" borderId="0" xfId="0" applyNumberFormat="1" applyFont="1"/>
    <xf numFmtId="43" fontId="3" fillId="3" borderId="0" xfId="1" applyFont="1" applyFill="1"/>
    <xf numFmtId="43" fontId="3" fillId="3" borderId="20" xfId="1" applyFont="1" applyFill="1" applyBorder="1"/>
    <xf numFmtId="43" fontId="3" fillId="0" borderId="0" xfId="1" applyFont="1" applyBorder="1"/>
    <xf numFmtId="43" fontId="3" fillId="0" borderId="20" xfId="1" applyFont="1" applyFill="1" applyBorder="1"/>
    <xf numFmtId="43" fontId="3" fillId="0" borderId="0" xfId="1" applyFont="1" applyFill="1"/>
    <xf numFmtId="43" fontId="3" fillId="0" borderId="0" xfId="1" applyFont="1" applyFill="1" applyBorder="1"/>
    <xf numFmtId="0" fontId="3" fillId="7" borderId="0" xfId="0" applyFont="1" applyFill="1"/>
    <xf numFmtId="0" fontId="3" fillId="2" borderId="0" xfId="0" applyFont="1" applyFill="1"/>
    <xf numFmtId="43" fontId="3" fillId="2" borderId="0" xfId="1" applyFont="1" applyFill="1"/>
    <xf numFmtId="0" fontId="17" fillId="0" borderId="0" xfId="0" applyFont="1" applyAlignment="1">
      <alignment horizontal="right"/>
    </xf>
    <xf numFmtId="43" fontId="3" fillId="0" borderId="0" xfId="1" applyNumberFormat="1" applyFont="1"/>
    <xf numFmtId="0" fontId="1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Fill="1"/>
    <xf numFmtId="164" fontId="2" fillId="0" borderId="0" xfId="1" applyNumberFormat="1" applyFont="1"/>
    <xf numFmtId="43" fontId="2" fillId="0" borderId="0" xfId="1" applyFont="1"/>
    <xf numFmtId="166" fontId="2" fillId="0" borderId="0" xfId="1" applyNumberFormat="1" applyFont="1"/>
    <xf numFmtId="164" fontId="0" fillId="0" borderId="5" xfId="1" applyNumberFormat="1" applyFont="1" applyFill="1" applyBorder="1"/>
    <xf numFmtId="164" fontId="0" fillId="2" borderId="1" xfId="1" applyNumberFormat="1" applyFont="1" applyFill="1" applyBorder="1"/>
    <xf numFmtId="164" fontId="2" fillId="6" borderId="0" xfId="1" applyNumberFormat="1" applyFont="1" applyFill="1"/>
    <xf numFmtId="0" fontId="15" fillId="0" borderId="0" xfId="0" applyFont="1"/>
    <xf numFmtId="164" fontId="0" fillId="4" borderId="5" xfId="1" applyNumberFormat="1" applyFont="1" applyFill="1" applyBorder="1"/>
    <xf numFmtId="164" fontId="3" fillId="2" borderId="1" xfId="1" applyNumberFormat="1" applyFont="1" applyFill="1" applyBorder="1"/>
    <xf numFmtId="164" fontId="2" fillId="10" borderId="0" xfId="1" applyNumberFormat="1" applyFont="1" applyFill="1"/>
    <xf numFmtId="0" fontId="2" fillId="0" borderId="0" xfId="0" applyFont="1" applyAlignment="1">
      <alignment horizontal="center"/>
    </xf>
    <xf numFmtId="164" fontId="3" fillId="0" borderId="24" xfId="1" applyNumberFormat="1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3" fillId="0" borderId="18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14" fontId="3" fillId="0" borderId="0" xfId="0" applyNumberFormat="1" applyFont="1"/>
    <xf numFmtId="0" fontId="12" fillId="0" borderId="0" xfId="0" applyFont="1" applyAlignment="1">
      <alignment horizontal="right"/>
    </xf>
    <xf numFmtId="0" fontId="3" fillId="0" borderId="22" xfId="0" applyFont="1" applyBorder="1"/>
    <xf numFmtId="43" fontId="10" fillId="0" borderId="5" xfId="1" applyFont="1" applyBorder="1"/>
    <xf numFmtId="165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5" xfId="0" applyFont="1" applyFill="1" applyBorder="1"/>
    <xf numFmtId="0" fontId="0" fillId="2" borderId="23" xfId="0" applyFont="1" applyFill="1" applyBorder="1"/>
    <xf numFmtId="165" fontId="0" fillId="0" borderId="23" xfId="1" applyNumberFormat="1" applyFont="1" applyFill="1" applyBorder="1"/>
    <xf numFmtId="164" fontId="3" fillId="0" borderId="23" xfId="1" applyNumberFormat="1" applyFont="1" applyFill="1" applyBorder="1"/>
    <xf numFmtId="43" fontId="3" fillId="0" borderId="23" xfId="1" applyFont="1" applyFill="1" applyBorder="1"/>
    <xf numFmtId="43" fontId="5" fillId="0" borderId="23" xfId="1" applyFont="1" applyBorder="1"/>
    <xf numFmtId="0" fontId="3" fillId="3" borderId="18" xfId="0" applyFont="1" applyFill="1" applyBorder="1"/>
    <xf numFmtId="165" fontId="3" fillId="0" borderId="19" xfId="1" applyNumberFormat="1" applyFont="1" applyFill="1" applyBorder="1"/>
    <xf numFmtId="43" fontId="10" fillId="0" borderId="19" xfId="1" applyFont="1" applyBorder="1"/>
    <xf numFmtId="0" fontId="0" fillId="3" borderId="23" xfId="0" applyFont="1" applyFill="1" applyBorder="1"/>
    <xf numFmtId="0" fontId="2" fillId="0" borderId="0" xfId="0" applyFont="1" applyAlignment="1">
      <alignment horizontal="center"/>
    </xf>
    <xf numFmtId="0" fontId="0" fillId="2" borderId="4" xfId="0" applyFont="1" applyFill="1" applyBorder="1" applyAlignment="1"/>
    <xf numFmtId="0" fontId="2" fillId="0" borderId="0" xfId="0" applyFont="1" applyAlignment="1"/>
    <xf numFmtId="0" fontId="3" fillId="0" borderId="23" xfId="0" applyFont="1" applyBorder="1"/>
    <xf numFmtId="164" fontId="3" fillId="0" borderId="23" xfId="1" applyNumberFormat="1" applyFont="1" applyBorder="1" applyAlignment="1"/>
    <xf numFmtId="43" fontId="3" fillId="0" borderId="23" xfId="1" applyFont="1" applyBorder="1"/>
    <xf numFmtId="43" fontId="2" fillId="0" borderId="1" xfId="1" applyFont="1" applyBorder="1"/>
    <xf numFmtId="0" fontId="2" fillId="0" borderId="13" xfId="0" applyFont="1" applyBorder="1" applyAlignment="1"/>
    <xf numFmtId="0" fontId="2" fillId="0" borderId="0" xfId="0" applyFont="1" applyBorder="1" applyAlignment="1"/>
    <xf numFmtId="43" fontId="2" fillId="0" borderId="7" xfId="1" applyFont="1" applyBorder="1"/>
    <xf numFmtId="43" fontId="15" fillId="0" borderId="22" xfId="0" applyNumberFormat="1" applyFont="1" applyBorder="1" applyAlignment="1"/>
    <xf numFmtId="43" fontId="2" fillId="0" borderId="19" xfId="1" applyFont="1" applyBorder="1"/>
    <xf numFmtId="0" fontId="2" fillId="0" borderId="26" xfId="0" applyFont="1" applyBorder="1"/>
    <xf numFmtId="43" fontId="2" fillId="0" borderId="8" xfId="1" applyFont="1" applyBorder="1"/>
    <xf numFmtId="43" fontId="15" fillId="0" borderId="20" xfId="0" applyNumberFormat="1" applyFont="1" applyBorder="1"/>
    <xf numFmtId="43" fontId="2" fillId="0" borderId="5" xfId="1" applyFont="1" applyBorder="1"/>
    <xf numFmtId="43" fontId="15" fillId="0" borderId="13" xfId="0" applyNumberFormat="1" applyFont="1" applyBorder="1" applyAlignment="1"/>
    <xf numFmtId="165" fontId="2" fillId="0" borderId="1" xfId="1" applyNumberFormat="1" applyFont="1" applyBorder="1"/>
    <xf numFmtId="164" fontId="2" fillId="0" borderId="1" xfId="1" applyNumberFormat="1" applyFont="1" applyBorder="1"/>
    <xf numFmtId="0" fontId="2" fillId="3" borderId="1" xfId="0" applyFont="1" applyFill="1" applyBorder="1"/>
    <xf numFmtId="165" fontId="2" fillId="0" borderId="1" xfId="1" applyNumberFormat="1" applyFont="1" applyFill="1" applyBorder="1"/>
    <xf numFmtId="164" fontId="2" fillId="0" borderId="1" xfId="1" applyNumberFormat="1" applyFont="1" applyFill="1" applyBorder="1"/>
    <xf numFmtId="43" fontId="2" fillId="0" borderId="1" xfId="1" applyFont="1" applyFill="1" applyBorder="1"/>
    <xf numFmtId="0" fontId="2" fillId="2" borderId="7" xfId="0" applyFont="1" applyFill="1" applyBorder="1"/>
    <xf numFmtId="165" fontId="2" fillId="0" borderId="7" xfId="1" applyNumberFormat="1" applyFont="1" applyBorder="1"/>
    <xf numFmtId="164" fontId="2" fillId="0" borderId="7" xfId="1" applyNumberFormat="1" applyFont="1" applyBorder="1"/>
    <xf numFmtId="43" fontId="15" fillId="0" borderId="7" xfId="1" applyFont="1" applyBorder="1"/>
    <xf numFmtId="0" fontId="2" fillId="0" borderId="20" xfId="0" applyFont="1" applyBorder="1"/>
    <xf numFmtId="0" fontId="2" fillId="0" borderId="5" xfId="0" applyFont="1" applyBorder="1"/>
    <xf numFmtId="165" fontId="2" fillId="0" borderId="5" xfId="1" applyNumberFormat="1" applyFont="1" applyBorder="1"/>
    <xf numFmtId="164" fontId="2" fillId="0" borderId="5" xfId="1" applyNumberFormat="1" applyFont="1" applyBorder="1"/>
    <xf numFmtId="0" fontId="2" fillId="0" borderId="0" xfId="0" applyFont="1" applyBorder="1"/>
    <xf numFmtId="0" fontId="3" fillId="3" borderId="4" xfId="0" applyFont="1" applyFill="1" applyBorder="1" applyAlignment="1"/>
    <xf numFmtId="0" fontId="3" fillId="3" borderId="18" xfId="0" applyFont="1" applyFill="1" applyBorder="1" applyAlignment="1"/>
    <xf numFmtId="0" fontId="3" fillId="3" borderId="5" xfId="0" applyFont="1" applyFill="1" applyBorder="1" applyAlignment="1"/>
    <xf numFmtId="0" fontId="3" fillId="3" borderId="24" xfId="0" applyFont="1" applyFill="1" applyBorder="1" applyAlignment="1"/>
    <xf numFmtId="0" fontId="3" fillId="3" borderId="8" xfId="0" applyFont="1" applyFill="1" applyBorder="1" applyAlignment="1"/>
    <xf numFmtId="0" fontId="3" fillId="2" borderId="1" xfId="0" applyFont="1" applyFill="1" applyBorder="1" applyAlignment="1"/>
    <xf numFmtId="0" fontId="0" fillId="0" borderId="1" xfId="0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0" fillId="3" borderId="24" xfId="0" applyFont="1" applyFill="1" applyBorder="1" applyAlignment="1"/>
    <xf numFmtId="0" fontId="0" fillId="3" borderId="8" xfId="0" applyFont="1" applyFill="1" applyBorder="1" applyAlignment="1"/>
    <xf numFmtId="0" fontId="0" fillId="2" borderId="18" xfId="0" applyFont="1" applyFill="1" applyBorder="1" applyAlignment="1"/>
    <xf numFmtId="0" fontId="0" fillId="2" borderId="8" xfId="0" applyFont="1" applyFill="1" applyBorder="1" applyAlignment="1"/>
    <xf numFmtId="43" fontId="3" fillId="0" borderId="5" xfId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43" fontId="15" fillId="0" borderId="1" xfId="1" applyFont="1" applyFill="1" applyBorder="1"/>
    <xf numFmtId="165" fontId="2" fillId="0" borderId="4" xfId="1" applyNumberFormat="1" applyFont="1" applyFill="1" applyBorder="1"/>
    <xf numFmtId="164" fontId="2" fillId="0" borderId="4" xfId="1" applyNumberFormat="1" applyFont="1" applyFill="1" applyBorder="1"/>
    <xf numFmtId="43" fontId="2" fillId="0" borderId="7" xfId="1" applyFont="1" applyFill="1" applyBorder="1"/>
    <xf numFmtId="43" fontId="5" fillId="0" borderId="5" xfId="1" applyFont="1" applyFill="1" applyBorder="1"/>
    <xf numFmtId="0" fontId="3" fillId="2" borderId="5" xfId="0" applyFont="1" applyFill="1" applyBorder="1"/>
    <xf numFmtId="16" fontId="3" fillId="0" borderId="5" xfId="0" applyNumberFormat="1" applyFont="1" applyFill="1" applyBorder="1"/>
    <xf numFmtId="0" fontId="3" fillId="0" borderId="7" xfId="0" applyFont="1" applyFill="1" applyBorder="1"/>
    <xf numFmtId="0" fontId="3" fillId="0" borderId="23" xfId="0" applyFont="1" applyBorder="1" applyAlignment="1">
      <alignment horizontal="center"/>
    </xf>
    <xf numFmtId="0" fontId="3" fillId="2" borderId="18" xfId="0" applyFont="1" applyFill="1" applyBorder="1"/>
    <xf numFmtId="43" fontId="3" fillId="0" borderId="2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43" fontId="3" fillId="0" borderId="26" xfId="1" applyFont="1" applyFill="1" applyBorder="1" applyAlignment="1">
      <alignment horizontal="center"/>
    </xf>
    <xf numFmtId="165" fontId="3" fillId="0" borderId="23" xfId="1" applyNumberFormat="1" applyFont="1" applyFill="1" applyBorder="1"/>
    <xf numFmtId="0" fontId="3" fillId="0" borderId="25" xfId="0" applyFont="1" applyBorder="1"/>
    <xf numFmtId="164" fontId="0" fillId="6" borderId="0" xfId="1" applyNumberFormat="1" applyFont="1" applyFill="1"/>
    <xf numFmtId="164" fontId="3" fillId="6" borderId="0" xfId="1" applyNumberFormat="1" applyFont="1" applyFill="1"/>
    <xf numFmtId="164" fontId="3" fillId="6" borderId="1" xfId="1" applyNumberFormat="1" applyFont="1" applyFill="1" applyBorder="1"/>
    <xf numFmtId="0" fontId="3" fillId="0" borderId="9" xfId="0" applyFont="1" applyFill="1" applyBorder="1" applyAlignment="1">
      <alignment horizontal="center" wrapText="1"/>
    </xf>
    <xf numFmtId="43" fontId="3" fillId="8" borderId="5" xfId="1" applyFont="1" applyFill="1" applyBorder="1"/>
    <xf numFmtId="43" fontId="3" fillId="8" borderId="1" xfId="1" applyFont="1" applyFill="1" applyBorder="1"/>
    <xf numFmtId="0" fontId="3" fillId="3" borderId="20" xfId="0" applyFont="1" applyFill="1" applyBorder="1"/>
    <xf numFmtId="0" fontId="4" fillId="0" borderId="20" xfId="0" applyFont="1" applyBorder="1"/>
    <xf numFmtId="0" fontId="3" fillId="0" borderId="0" xfId="0" applyFont="1" applyAlignment="1"/>
    <xf numFmtId="43" fontId="10" fillId="0" borderId="0" xfId="1" applyFont="1" applyAlignment="1"/>
    <xf numFmtId="0" fontId="3" fillId="0" borderId="0" xfId="0" applyFont="1" applyBorder="1" applyAlignment="1"/>
    <xf numFmtId="43" fontId="10" fillId="0" borderId="0" xfId="1" applyFont="1" applyBorder="1" applyAlignment="1"/>
    <xf numFmtId="43" fontId="4" fillId="0" borderId="0" xfId="0" applyNumberFormat="1" applyFont="1" applyBorder="1" applyAlignment="1"/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26" xfId="0" applyFont="1" applyFill="1" applyBorder="1" applyAlignment="1"/>
    <xf numFmtId="43" fontId="4" fillId="0" borderId="26" xfId="1" applyFont="1" applyFill="1" applyBorder="1" applyAlignment="1"/>
    <xf numFmtId="43" fontId="3" fillId="0" borderId="26" xfId="1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43" fontId="4" fillId="0" borderId="0" xfId="1" applyFont="1" applyFill="1" applyBorder="1" applyAlignment="1"/>
    <xf numFmtId="43" fontId="3" fillId="0" borderId="0" xfId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4" fillId="0" borderId="20" xfId="1" applyFont="1" applyFill="1" applyBorder="1" applyAlignment="1">
      <alignment horizontal="center"/>
    </xf>
    <xf numFmtId="43" fontId="3" fillId="0" borderId="0" xfId="1" applyFont="1" applyFill="1" applyAlignment="1"/>
    <xf numFmtId="43" fontId="3" fillId="0" borderId="0" xfId="1" applyFont="1" applyAlignment="1">
      <alignment horizontal="center"/>
    </xf>
    <xf numFmtId="43" fontId="4" fillId="0" borderId="0" xfId="1" applyFont="1" applyFill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Fill="1" applyAlignment="1">
      <alignment horizontal="center"/>
    </xf>
    <xf numFmtId="43" fontId="10" fillId="0" borderId="20" xfId="1" applyFont="1" applyFill="1" applyBorder="1" applyAlignment="1">
      <alignment horizontal="center"/>
    </xf>
    <xf numFmtId="43" fontId="4" fillId="0" borderId="20" xfId="1" applyFont="1" applyBorder="1" applyAlignment="1">
      <alignment horizontal="center"/>
    </xf>
    <xf numFmtId="14" fontId="3" fillId="0" borderId="26" xfId="0" applyNumberFormat="1" applyFont="1" applyFill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43" fontId="4" fillId="0" borderId="26" xfId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4" fillId="0" borderId="0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15" fillId="0" borderId="0" xfId="0" applyFont="1" applyFill="1"/>
    <xf numFmtId="164" fontId="19" fillId="6" borderId="0" xfId="1" applyNumberFormat="1" applyFont="1" applyFill="1" applyAlignment="1"/>
    <xf numFmtId="0" fontId="0" fillId="0" borderId="4" xfId="0" applyFont="1" applyFill="1" applyBorder="1" applyAlignment="1"/>
    <xf numFmtId="43" fontId="3" fillId="0" borderId="10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3" fillId="0" borderId="10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3" borderId="5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6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13" fillId="0" borderId="0" xfId="0" applyFont="1"/>
    <xf numFmtId="0" fontId="20" fillId="0" borderId="0" xfId="0" applyFont="1"/>
    <xf numFmtId="0" fontId="13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3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3" fillId="2" borderId="23" xfId="0" applyFont="1" applyFill="1" applyBorder="1"/>
    <xf numFmtId="0" fontId="3" fillId="3" borderId="23" xfId="0" applyFont="1" applyFill="1" applyBorder="1"/>
    <xf numFmtId="0" fontId="3" fillId="2" borderId="24" xfId="0" applyFont="1" applyFill="1" applyBorder="1" applyAlignment="1"/>
    <xf numFmtId="0" fontId="3" fillId="2" borderId="8" xfId="0" applyFont="1" applyFill="1" applyBorder="1" applyAlignment="1"/>
    <xf numFmtId="0" fontId="3" fillId="2" borderId="18" xfId="0" applyFont="1" applyFill="1" applyBorder="1" applyAlignment="1"/>
    <xf numFmtId="0" fontId="3" fillId="2" borderId="24" xfId="0" applyFont="1" applyFill="1" applyBorder="1"/>
    <xf numFmtId="0" fontId="3" fillId="2" borderId="20" xfId="0" applyFont="1" applyFill="1" applyBorder="1"/>
    <xf numFmtId="0" fontId="3" fillId="2" borderId="7" xfId="0" applyFont="1" applyFill="1" applyBorder="1" applyAlignment="1"/>
    <xf numFmtId="43" fontId="4" fillId="11" borderId="1" xfId="1" applyFont="1" applyFill="1" applyBorder="1"/>
    <xf numFmtId="43" fontId="4" fillId="11" borderId="7" xfId="1" applyFont="1" applyFill="1" applyBorder="1"/>
    <xf numFmtId="43" fontId="4" fillId="11" borderId="5" xfId="1" applyFont="1" applyFill="1" applyBorder="1"/>
    <xf numFmtId="43" fontId="4" fillId="11" borderId="23" xfId="1" applyFont="1" applyFill="1" applyBorder="1"/>
    <xf numFmtId="43" fontId="4" fillId="11" borderId="8" xfId="1" applyFont="1" applyFill="1" applyBorder="1"/>
    <xf numFmtId="43" fontId="4" fillId="11" borderId="19" xfId="1" applyFont="1" applyFill="1" applyBorder="1"/>
    <xf numFmtId="164" fontId="2" fillId="11" borderId="0" xfId="1" applyNumberFormat="1" applyFont="1" applyFill="1"/>
    <xf numFmtId="43" fontId="3" fillId="11" borderId="1" xfId="1" applyFont="1" applyFill="1" applyBorder="1"/>
    <xf numFmtId="43" fontId="3" fillId="11" borderId="1" xfId="1" applyFont="1" applyFill="1" applyBorder="1" applyAlignment="1">
      <alignment horizontal="center"/>
    </xf>
    <xf numFmtId="43" fontId="5" fillId="11" borderId="0" xfId="0" applyNumberFormat="1" applyFont="1" applyFill="1" applyBorder="1"/>
    <xf numFmtId="43" fontId="5" fillId="11" borderId="20" xfId="0" applyNumberFormat="1" applyFont="1" applyFill="1" applyBorder="1"/>
    <xf numFmtId="43" fontId="0" fillId="11" borderId="1" xfId="1" applyFont="1" applyFill="1" applyBorder="1"/>
    <xf numFmtId="43" fontId="0" fillId="11" borderId="1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43" fontId="4" fillId="0" borderId="0" xfId="1" applyFont="1" applyFill="1"/>
    <xf numFmtId="0" fontId="3" fillId="0" borderId="0" xfId="0" applyFont="1" applyFill="1" applyBorder="1"/>
    <xf numFmtId="43" fontId="5" fillId="0" borderId="1" xfId="1" applyFont="1" applyFill="1" applyBorder="1"/>
    <xf numFmtId="0" fontId="0" fillId="3" borderId="4" xfId="0" applyFont="1" applyFill="1" applyBorder="1" applyAlignment="1"/>
    <xf numFmtId="0" fontId="11" fillId="0" borderId="0" xfId="0" applyFont="1" applyFill="1"/>
    <xf numFmtId="0" fontId="12" fillId="0" borderId="0" xfId="0" applyFont="1" applyFill="1"/>
    <xf numFmtId="0" fontId="0" fillId="0" borderId="4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4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 wrapText="1"/>
    </xf>
    <xf numFmtId="0" fontId="0" fillId="7" borderId="4" xfId="0" applyFont="1" applyFill="1" applyBorder="1" applyAlignment="1">
      <alignment horizontal="center" wrapText="1"/>
    </xf>
    <xf numFmtId="0" fontId="0" fillId="7" borderId="8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0" fillId="6" borderId="8" xfId="0" applyFont="1" applyFill="1" applyBorder="1" applyAlignment="1">
      <alignment horizontal="center" wrapText="1"/>
    </xf>
    <xf numFmtId="0" fontId="0" fillId="7" borderId="8" xfId="0" applyFill="1" applyBorder="1"/>
    <xf numFmtId="0" fontId="0" fillId="3" borderId="4" xfId="0" applyFill="1" applyBorder="1" applyAlignment="1">
      <alignment horizontal="center" wrapText="1"/>
    </xf>
    <xf numFmtId="0" fontId="0" fillId="3" borderId="1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2" borderId="24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24" xfId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165" fontId="0" fillId="0" borderId="24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18" xfId="1" applyNumberFormat="1" applyFont="1" applyFill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43" fontId="3" fillId="0" borderId="33" xfId="1" applyFont="1" applyFill="1" applyBorder="1" applyAlignment="1">
      <alignment horizontal="center"/>
    </xf>
    <xf numFmtId="43" fontId="3" fillId="0" borderId="34" xfId="1" applyFont="1" applyFill="1" applyBorder="1" applyAlignment="1">
      <alignment horizontal="center"/>
    </xf>
    <xf numFmtId="43" fontId="3" fillId="0" borderId="35" xfId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33" xfId="1" applyFont="1" applyBorder="1" applyAlignment="1">
      <alignment horizontal="center"/>
    </xf>
    <xf numFmtId="43" fontId="3" fillId="0" borderId="34" xfId="1" applyFont="1" applyBorder="1" applyAlignment="1">
      <alignment horizontal="center"/>
    </xf>
    <xf numFmtId="43" fontId="3" fillId="0" borderId="35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43" fontId="3" fillId="0" borderId="21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30" xfId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43" fontId="3" fillId="0" borderId="22" xfId="1" applyFont="1" applyBorder="1" applyAlignment="1">
      <alignment horizontal="center"/>
    </xf>
    <xf numFmtId="43" fontId="3" fillId="0" borderId="20" xfId="1" applyFont="1" applyBorder="1" applyAlignment="1">
      <alignment horizontal="center"/>
    </xf>
    <xf numFmtId="43" fontId="3" fillId="0" borderId="30" xfId="1" applyFont="1" applyBorder="1" applyAlignment="1">
      <alignment horizontal="center"/>
    </xf>
    <xf numFmtId="165" fontId="3" fillId="0" borderId="24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3" fillId="0" borderId="31" xfId="1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43" fontId="3" fillId="0" borderId="28" xfId="1" applyFont="1" applyBorder="1" applyAlignment="1">
      <alignment horizontal="center"/>
    </xf>
    <xf numFmtId="43" fontId="3" fillId="0" borderId="26" xfId="1" applyFont="1" applyBorder="1" applyAlignment="1">
      <alignment horizontal="center"/>
    </xf>
    <xf numFmtId="43" fontId="3" fillId="0" borderId="29" xfId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5" fontId="3" fillId="0" borderId="4" xfId="1" applyNumberFormat="1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43" fontId="3" fillId="0" borderId="14" xfId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165" fontId="3" fillId="0" borderId="18" xfId="1" applyNumberFormat="1" applyFont="1" applyBorder="1" applyAlignment="1">
      <alignment horizontal="center"/>
    </xf>
    <xf numFmtId="164" fontId="3" fillId="0" borderId="18" xfId="1" applyNumberFormat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27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65" fontId="3" fillId="0" borderId="18" xfId="1" applyNumberFormat="1" applyFont="1" applyFill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27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5" fontId="3" fillId="0" borderId="24" xfId="1" applyNumberFormat="1" applyFont="1" applyFill="1" applyBorder="1" applyAlignment="1">
      <alignment horizontal="center"/>
    </xf>
    <xf numFmtId="165" fontId="3" fillId="0" borderId="30" xfId="1" applyNumberFormat="1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3" fillId="0" borderId="24" xfId="1" applyNumberFormat="1" applyFont="1" applyFill="1" applyBorder="1" applyAlignment="1">
      <alignment horizontal="center"/>
    </xf>
    <xf numFmtId="43" fontId="3" fillId="0" borderId="28" xfId="1" applyFont="1" applyFill="1" applyBorder="1" applyAlignment="1">
      <alignment horizontal="center"/>
    </xf>
    <xf numFmtId="43" fontId="3" fillId="0" borderId="26" xfId="1" applyFont="1" applyFill="1" applyBorder="1" applyAlignment="1">
      <alignment horizontal="center"/>
    </xf>
    <xf numFmtId="43" fontId="3" fillId="0" borderId="29" xfId="1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43" fontId="2" fillId="0" borderId="17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6" borderId="4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00FFFF"/>
      <color rgb="FF00FF99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"/>
  <sheetViews>
    <sheetView workbookViewId="0">
      <pane ySplit="2" topLeftCell="A9" activePane="bottomLeft" state="frozen"/>
      <selection pane="bottomLeft" activeCell="A22" sqref="A22:Q22"/>
    </sheetView>
  </sheetViews>
  <sheetFormatPr defaultColWidth="6.44140625" defaultRowHeight="15"/>
  <cols>
    <col min="1" max="1" width="6.44140625" style="11"/>
    <col min="2" max="2" width="10.5546875" style="11" bestFit="1" customWidth="1"/>
    <col min="3" max="3" width="10.5546875" style="11" customWidth="1"/>
    <col min="4" max="4" width="10.44140625" style="11" bestFit="1" customWidth="1"/>
    <col min="5" max="5" width="10.44140625" style="11" customWidth="1"/>
    <col min="6" max="6" width="9" style="11" bestFit="1" customWidth="1"/>
    <col min="7" max="7" width="10.44140625" style="11" bestFit="1" customWidth="1"/>
    <col min="8" max="8" width="9" style="11" bestFit="1" customWidth="1"/>
    <col min="9" max="11" width="10.44140625" style="11" bestFit="1" customWidth="1"/>
    <col min="12" max="12" width="7" style="11" bestFit="1" customWidth="1"/>
    <col min="13" max="13" width="10.44140625" style="11" bestFit="1" customWidth="1"/>
    <col min="14" max="14" width="9" style="11" bestFit="1" customWidth="1"/>
    <col min="15" max="16" width="8" style="11" customWidth="1"/>
    <col min="17" max="17" width="11.44140625" style="11" bestFit="1" customWidth="1"/>
    <col min="18" max="18" width="4.33203125" style="11" bestFit="1" customWidth="1"/>
    <col min="19" max="19" width="4" style="11" bestFit="1" customWidth="1"/>
    <col min="20" max="21" width="10.44140625" style="11" bestFit="1" customWidth="1"/>
    <col min="22" max="16384" width="6.44140625" style="11"/>
  </cols>
  <sheetData>
    <row r="1" spans="1:20">
      <c r="A1" s="519" t="s">
        <v>0</v>
      </c>
      <c r="B1" s="521" t="s">
        <v>32</v>
      </c>
      <c r="C1" s="521"/>
      <c r="D1" s="522" t="s">
        <v>33</v>
      </c>
      <c r="E1" s="522"/>
      <c r="F1" s="523" t="s">
        <v>17</v>
      </c>
      <c r="G1" s="525" t="s">
        <v>18</v>
      </c>
      <c r="H1" s="527" t="s">
        <v>19</v>
      </c>
      <c r="I1" s="525" t="s">
        <v>20</v>
      </c>
      <c r="J1" s="523" t="s">
        <v>21</v>
      </c>
      <c r="K1" s="525" t="s">
        <v>22</v>
      </c>
      <c r="L1" s="527" t="s">
        <v>23</v>
      </c>
      <c r="M1" s="525" t="s">
        <v>24</v>
      </c>
      <c r="N1" s="530" t="s">
        <v>31</v>
      </c>
      <c r="O1" s="522" t="s">
        <v>34</v>
      </c>
      <c r="P1" s="522"/>
      <c r="Q1" s="512" t="s">
        <v>3</v>
      </c>
    </row>
    <row r="2" spans="1:20" ht="15.75" thickBot="1">
      <c r="A2" s="520"/>
      <c r="B2" s="138" t="s">
        <v>26</v>
      </c>
      <c r="C2" s="139" t="s">
        <v>27</v>
      </c>
      <c r="D2" s="138" t="s">
        <v>29</v>
      </c>
      <c r="E2" s="69" t="s">
        <v>28</v>
      </c>
      <c r="F2" s="524"/>
      <c r="G2" s="526"/>
      <c r="H2" s="528"/>
      <c r="I2" s="526"/>
      <c r="J2" s="524"/>
      <c r="K2" s="526"/>
      <c r="L2" s="528"/>
      <c r="M2" s="529"/>
      <c r="N2" s="524"/>
      <c r="O2" s="138" t="s">
        <v>35</v>
      </c>
      <c r="P2" s="69" t="s">
        <v>36</v>
      </c>
      <c r="Q2" s="513"/>
    </row>
    <row r="3" spans="1:20">
      <c r="A3" s="39">
        <v>1998</v>
      </c>
      <c r="B3" s="38">
        <f>'282α1'!N2</f>
        <v>185.16000000000003</v>
      </c>
      <c r="C3" s="38">
        <f>'282α2'!N2</f>
        <v>245.37</v>
      </c>
      <c r="D3" s="38">
        <f>'282β1'!N2</f>
        <v>0</v>
      </c>
      <c r="E3" s="38">
        <f>'282β2'!N2</f>
        <v>0.3</v>
      </c>
      <c r="F3" s="38">
        <f>'282γ'!N2</f>
        <v>0</v>
      </c>
      <c r="G3" s="38">
        <f>'282δ'!N2</f>
        <v>30.02</v>
      </c>
      <c r="H3" s="38">
        <f>'282ε'!N2</f>
        <v>0.55000000000000004</v>
      </c>
      <c r="I3" s="38">
        <f>'282ζ'!N2</f>
        <v>9.1</v>
      </c>
      <c r="J3" s="38">
        <f>'282η'!N2</f>
        <v>0</v>
      </c>
      <c r="K3" s="38">
        <f>'282θ'!N2</f>
        <v>6.82</v>
      </c>
      <c r="L3" s="38">
        <f>'282ι'!N2</f>
        <v>0</v>
      </c>
      <c r="M3" s="38">
        <f>'282κ'!N2</f>
        <v>0</v>
      </c>
      <c r="N3" s="38">
        <f>'282λ'!N2</f>
        <v>16.68</v>
      </c>
      <c r="O3" s="38">
        <f>'282μ1'!N2</f>
        <v>0</v>
      </c>
      <c r="P3" s="38">
        <f>'282μ2'!N2</f>
        <v>0</v>
      </c>
      <c r="Q3" s="38">
        <f>SUM(B3:P3)</f>
        <v>494.00000000000006</v>
      </c>
      <c r="T3" s="44"/>
    </row>
    <row r="4" spans="1:20">
      <c r="A4" s="43">
        <v>1999</v>
      </c>
      <c r="B4" s="38">
        <f>'282α1'!N3</f>
        <v>35.08</v>
      </c>
      <c r="C4" s="38">
        <f>'282α2'!N3</f>
        <v>13.08</v>
      </c>
      <c r="D4" s="38">
        <f>'282β1'!N3</f>
        <v>16.54</v>
      </c>
      <c r="E4" s="38">
        <f>'282β2'!N3</f>
        <v>16.420000000000002</v>
      </c>
      <c r="F4" s="38">
        <f>'282γ'!N3</f>
        <v>133.51</v>
      </c>
      <c r="G4" s="38">
        <f>'282δ'!N3</f>
        <v>955.24</v>
      </c>
      <c r="H4" s="38">
        <f>'282ε'!N3</f>
        <v>4.13</v>
      </c>
      <c r="I4" s="38">
        <f>'282ζ'!N3</f>
        <v>0.11</v>
      </c>
      <c r="J4" s="38">
        <f>'282η'!N3</f>
        <v>9.9</v>
      </c>
      <c r="K4" s="38">
        <f>'282θ'!N3</f>
        <v>0</v>
      </c>
      <c r="L4" s="38">
        <f>'282ι'!N3</f>
        <v>1.47</v>
      </c>
      <c r="M4" s="38">
        <f>'282κ'!N3</f>
        <v>0</v>
      </c>
      <c r="N4" s="38">
        <f>'282λ'!N3</f>
        <v>11.29</v>
      </c>
      <c r="O4" s="38">
        <f>'282μ1'!N3</f>
        <v>0.1</v>
      </c>
      <c r="P4" s="38">
        <f>'282μ2'!N3</f>
        <v>2.64</v>
      </c>
      <c r="Q4" s="38">
        <f>SUM(B4:P4)</f>
        <v>1199.51</v>
      </c>
      <c r="T4" s="17"/>
    </row>
    <row r="5" spans="1:20">
      <c r="A5" s="43">
        <v>2000</v>
      </c>
      <c r="B5" s="38">
        <f>'282α1'!N4</f>
        <v>57.019999999999996</v>
      </c>
      <c r="C5" s="38">
        <f>'282α2'!N4</f>
        <v>0</v>
      </c>
      <c r="D5" s="38">
        <f>'282β1'!N4</f>
        <v>300</v>
      </c>
      <c r="E5" s="38">
        <f>'282β2'!N4</f>
        <v>0</v>
      </c>
      <c r="F5" s="38">
        <f>'282γ'!N4</f>
        <v>55.300000000000004</v>
      </c>
      <c r="G5" s="38">
        <f>'282δ'!N4</f>
        <v>406.27000000000004</v>
      </c>
      <c r="H5" s="38">
        <f>'282ε'!N4</f>
        <v>18.009999999999998</v>
      </c>
      <c r="I5" s="38">
        <f>'282ζ'!N4</f>
        <v>129.19</v>
      </c>
      <c r="J5" s="38">
        <f>'282η'!N4</f>
        <v>0</v>
      </c>
      <c r="K5" s="38">
        <f>'282θ'!N4</f>
        <v>0</v>
      </c>
      <c r="L5" s="38">
        <f>'282ι'!N4</f>
        <v>0.75</v>
      </c>
      <c r="M5" s="38">
        <f>'282κ'!N4</f>
        <v>2.93</v>
      </c>
      <c r="N5" s="38">
        <f>'282λ'!N4</f>
        <v>21.24</v>
      </c>
      <c r="O5" s="38">
        <f>'282μ1'!N4</f>
        <v>0</v>
      </c>
      <c r="P5" s="38">
        <f>'282μ2'!N4</f>
        <v>0</v>
      </c>
      <c r="Q5" s="38">
        <f>SUM(B5:P5)</f>
        <v>990.70999999999992</v>
      </c>
      <c r="T5" s="17"/>
    </row>
    <row r="6" spans="1:20">
      <c r="A6" s="43">
        <v>2001</v>
      </c>
      <c r="B6" s="38">
        <f>'282α1'!N5</f>
        <v>0</v>
      </c>
      <c r="C6" s="38">
        <f>'282α2'!N5</f>
        <v>0</v>
      </c>
      <c r="D6" s="38">
        <f>'282β1'!N5</f>
        <v>55.45</v>
      </c>
      <c r="E6" s="38">
        <f>'282β2'!N5</f>
        <v>183.54000000000002</v>
      </c>
      <c r="F6" s="38">
        <f>'282γ'!N5</f>
        <v>0</v>
      </c>
      <c r="G6" s="38">
        <f>'282δ'!N5</f>
        <v>0</v>
      </c>
      <c r="H6" s="38">
        <f>'282ε'!N5</f>
        <v>3.92</v>
      </c>
      <c r="I6" s="38">
        <f>'282ζ'!N5</f>
        <v>1.36</v>
      </c>
      <c r="J6" s="38">
        <f>'282η'!N5</f>
        <v>0</v>
      </c>
      <c r="K6" s="38">
        <f>'282θ'!N5</f>
        <v>14.78</v>
      </c>
      <c r="L6" s="38">
        <f>'282ι'!N5</f>
        <v>0.01</v>
      </c>
      <c r="M6" s="38">
        <f>'282κ'!N5</f>
        <v>0</v>
      </c>
      <c r="N6" s="38">
        <f>'282λ'!N5</f>
        <v>54.98</v>
      </c>
      <c r="O6" s="38">
        <f>'282μ1'!N5</f>
        <v>0</v>
      </c>
      <c r="P6" s="38">
        <f>'282μ2'!N5</f>
        <v>0</v>
      </c>
      <c r="Q6" s="38">
        <f t="shared" ref="Q6:Q18" si="0">SUM(B6:P6)</f>
        <v>314.04000000000002</v>
      </c>
      <c r="T6" s="17"/>
    </row>
    <row r="7" spans="1:20">
      <c r="A7" s="43">
        <v>2002</v>
      </c>
      <c r="B7" s="38">
        <f>'282α1'!N6</f>
        <v>2.52</v>
      </c>
      <c r="C7" s="38">
        <f>'282α2'!N6</f>
        <v>0</v>
      </c>
      <c r="D7" s="38">
        <f>'282β1'!N6</f>
        <v>3.99</v>
      </c>
      <c r="E7" s="38">
        <f>'282β2'!N6</f>
        <v>0</v>
      </c>
      <c r="F7" s="38">
        <f>'282γ'!N6</f>
        <v>0</v>
      </c>
      <c r="G7" s="38">
        <f>'282δ'!N6</f>
        <v>0</v>
      </c>
      <c r="H7" s="38">
        <f>'282ε'!N6</f>
        <v>17.669999999999998</v>
      </c>
      <c r="I7" s="38">
        <f>'282ζ'!N6</f>
        <v>34.06</v>
      </c>
      <c r="J7" s="38">
        <f>'282η'!N6</f>
        <v>8.870000000000001</v>
      </c>
      <c r="K7" s="38">
        <f>'282θ'!N6</f>
        <v>0</v>
      </c>
      <c r="L7" s="38">
        <f>'282ι'!N6</f>
        <v>0.1</v>
      </c>
      <c r="M7" s="38">
        <f>'282κ'!N6</f>
        <v>258.76</v>
      </c>
      <c r="N7" s="38">
        <f>'282λ'!N6</f>
        <v>71.259999999999991</v>
      </c>
      <c r="O7" s="38">
        <f>'282μ1'!N6</f>
        <v>0.18</v>
      </c>
      <c r="P7" s="38">
        <f>'282μ2'!N6</f>
        <v>2.34</v>
      </c>
      <c r="Q7" s="38">
        <f t="shared" si="0"/>
        <v>399.74999999999994</v>
      </c>
      <c r="T7" s="17"/>
    </row>
    <row r="8" spans="1:20">
      <c r="A8" s="43">
        <v>2003</v>
      </c>
      <c r="B8" s="38">
        <f>'282α1'!N7</f>
        <v>0</v>
      </c>
      <c r="C8" s="38">
        <f>'282α2'!N7</f>
        <v>0</v>
      </c>
      <c r="D8" s="38">
        <f>'282β1'!N7</f>
        <v>3.7600000000000002</v>
      </c>
      <c r="E8" s="38">
        <f>'282β2'!N7</f>
        <v>8.59</v>
      </c>
      <c r="F8" s="38">
        <f>'282γ'!N7</f>
        <v>1.32</v>
      </c>
      <c r="G8" s="38">
        <f>'282δ'!N7</f>
        <v>0</v>
      </c>
      <c r="H8" s="38">
        <f>'282ε'!N7</f>
        <v>51.79</v>
      </c>
      <c r="I8" s="38">
        <f>'282ζ'!N7</f>
        <v>428.84</v>
      </c>
      <c r="J8" s="38">
        <f>'282η'!N7</f>
        <v>0.27</v>
      </c>
      <c r="K8" s="38">
        <f>'282θ'!N7</f>
        <v>23.77</v>
      </c>
      <c r="L8" s="38">
        <f>'282ι'!N7</f>
        <v>0</v>
      </c>
      <c r="M8" s="38">
        <f>'282κ'!N7</f>
        <v>0</v>
      </c>
      <c r="N8" s="38">
        <f>'282λ'!N7</f>
        <v>72.53</v>
      </c>
      <c r="O8" s="38">
        <f>'282μ1'!N7</f>
        <v>0.64</v>
      </c>
      <c r="P8" s="38">
        <f>'282μ2'!N7</f>
        <v>7.8</v>
      </c>
      <c r="Q8" s="38">
        <f t="shared" si="0"/>
        <v>599.30999999999983</v>
      </c>
      <c r="T8" s="17"/>
    </row>
    <row r="9" spans="1:20">
      <c r="A9" s="43">
        <v>2004</v>
      </c>
      <c r="B9" s="38">
        <f>'282α1'!N8</f>
        <v>0</v>
      </c>
      <c r="C9" s="38">
        <f>'282α2'!N8</f>
        <v>0</v>
      </c>
      <c r="D9" s="38">
        <f>'282β1'!N8</f>
        <v>20.119999999999997</v>
      </c>
      <c r="E9" s="38">
        <f>'282β2'!N8</f>
        <v>0</v>
      </c>
      <c r="F9" s="38">
        <f>'282γ'!N8</f>
        <v>147.96</v>
      </c>
      <c r="G9" s="38">
        <f>'282δ'!N8</f>
        <v>389.01</v>
      </c>
      <c r="H9" s="38">
        <f>'282ε'!N8</f>
        <v>59.780000000000008</v>
      </c>
      <c r="I9" s="38">
        <f>'282ζ'!N8</f>
        <v>2.4499999999999997</v>
      </c>
      <c r="J9" s="38">
        <f>'282η'!N8</f>
        <v>55.739999999999995</v>
      </c>
      <c r="K9" s="38">
        <f>'282θ'!N8</f>
        <v>137.55000000000001</v>
      </c>
      <c r="L9" s="38">
        <f>'282ι'!N8</f>
        <v>0</v>
      </c>
      <c r="M9" s="38">
        <f>'282κ'!N8</f>
        <v>302.40000000000003</v>
      </c>
      <c r="N9" s="38">
        <f>'282λ'!N8</f>
        <v>267.93</v>
      </c>
      <c r="O9" s="38">
        <f>'282μ1'!N8</f>
        <v>0</v>
      </c>
      <c r="P9" s="38">
        <f>'282μ2'!N8</f>
        <v>0</v>
      </c>
      <c r="Q9" s="38">
        <f t="shared" si="0"/>
        <v>1382.9400000000003</v>
      </c>
      <c r="T9" s="17"/>
    </row>
    <row r="10" spans="1:20">
      <c r="A10" s="43">
        <v>2005</v>
      </c>
      <c r="B10" s="38">
        <f>'282α1'!N9</f>
        <v>0</v>
      </c>
      <c r="C10" s="38">
        <f>'282α2'!N9</f>
        <v>0</v>
      </c>
      <c r="D10" s="38">
        <f>'282β1'!N9</f>
        <v>0</v>
      </c>
      <c r="E10" s="38">
        <f>'282β2'!N9</f>
        <v>0</v>
      </c>
      <c r="F10" s="38">
        <f>'282γ'!N9</f>
        <v>6.8</v>
      </c>
      <c r="G10" s="38">
        <f>'282δ'!N9</f>
        <v>52.3</v>
      </c>
      <c r="H10" s="38">
        <f>'282ε'!N9</f>
        <v>92.699999999999989</v>
      </c>
      <c r="I10" s="38">
        <f>'282ζ'!N9</f>
        <v>410.07000000000005</v>
      </c>
      <c r="J10" s="38">
        <f>'282η'!N9</f>
        <v>0</v>
      </c>
      <c r="K10" s="38">
        <f>'282θ'!N9</f>
        <v>0</v>
      </c>
      <c r="L10" s="38">
        <f>'282ι'!N9</f>
        <v>0.13</v>
      </c>
      <c r="M10" s="38">
        <f>'282κ'!N9</f>
        <v>1.18</v>
      </c>
      <c r="N10" s="38">
        <f>'282λ'!N9</f>
        <v>175.89000000000001</v>
      </c>
      <c r="O10" s="38">
        <f>'282μ1'!N9</f>
        <v>0</v>
      </c>
      <c r="P10" s="38">
        <f>'282μ2'!N9</f>
        <v>0</v>
      </c>
      <c r="Q10" s="38">
        <f t="shared" si="0"/>
        <v>739.06999999999994</v>
      </c>
      <c r="T10" s="17"/>
    </row>
    <row r="11" spans="1:20">
      <c r="A11" s="43">
        <v>2006</v>
      </c>
      <c r="B11" s="38">
        <f>'282α1'!N10</f>
        <v>0</v>
      </c>
      <c r="C11" s="38">
        <f>'282α2'!N10</f>
        <v>0</v>
      </c>
      <c r="D11" s="38">
        <f>'282β1'!N10</f>
        <v>50.86</v>
      </c>
      <c r="E11" s="38">
        <f>'282β2'!N10</f>
        <v>48.82</v>
      </c>
      <c r="F11" s="38">
        <f>'282γ'!N10</f>
        <v>4.6500000000000004</v>
      </c>
      <c r="G11" s="38">
        <f>'282δ'!N10</f>
        <v>460.82</v>
      </c>
      <c r="H11" s="38">
        <f>'282ε'!N10</f>
        <v>22.57</v>
      </c>
      <c r="I11" s="38">
        <f>'282ζ'!N10</f>
        <v>7.71</v>
      </c>
      <c r="J11" s="38">
        <f>'282η'!N10</f>
        <v>404.84</v>
      </c>
      <c r="K11" s="38">
        <f>'282θ'!N10</f>
        <v>1686.89</v>
      </c>
      <c r="L11" s="38">
        <f>'282ι'!N10</f>
        <v>0.13</v>
      </c>
      <c r="M11" s="38">
        <f>'282κ'!N10</f>
        <v>2.5099999999999998</v>
      </c>
      <c r="N11" s="38">
        <f>'282λ'!N10</f>
        <v>11</v>
      </c>
      <c r="O11" s="38">
        <f>'282μ1'!N10</f>
        <v>0</v>
      </c>
      <c r="P11" s="38">
        <f>'282μ2'!N10</f>
        <v>0</v>
      </c>
      <c r="Q11" s="38">
        <f t="shared" si="0"/>
        <v>2700.8</v>
      </c>
      <c r="T11" s="17"/>
    </row>
    <row r="12" spans="1:20">
      <c r="A12" s="43">
        <v>2007</v>
      </c>
      <c r="B12" s="38">
        <f>'282α1'!N11</f>
        <v>0</v>
      </c>
      <c r="C12" s="38">
        <f>'282α2'!N11</f>
        <v>0</v>
      </c>
      <c r="D12" s="38">
        <f>'282β1'!N11</f>
        <v>0.38</v>
      </c>
      <c r="E12" s="38">
        <f>'282β2'!N11</f>
        <v>176.28</v>
      </c>
      <c r="F12" s="38">
        <f>'282γ'!N11</f>
        <v>107.15000000000002</v>
      </c>
      <c r="G12" s="38">
        <f>'282δ'!N11</f>
        <v>878.35</v>
      </c>
      <c r="H12" s="38">
        <f>'282ε'!N11</f>
        <v>18.59</v>
      </c>
      <c r="I12" s="38">
        <f>'282ζ'!N11</f>
        <v>129.27000000000001</v>
      </c>
      <c r="J12" s="38">
        <f>'282η'!N11</f>
        <v>1.83</v>
      </c>
      <c r="K12" s="38">
        <f>'282θ'!N11</f>
        <v>0</v>
      </c>
      <c r="L12" s="38">
        <f>'282ι'!N11</f>
        <v>0</v>
      </c>
      <c r="M12" s="38">
        <f>'282κ'!N11</f>
        <v>1290.1899999999998</v>
      </c>
      <c r="N12" s="38">
        <f>'282λ'!N11</f>
        <v>88.490000000000009</v>
      </c>
      <c r="O12" s="38">
        <f>'282μ1'!N11</f>
        <v>0</v>
      </c>
      <c r="P12" s="38">
        <f>'282μ2'!N11</f>
        <v>0</v>
      </c>
      <c r="Q12" s="38">
        <f t="shared" si="0"/>
        <v>2690.5299999999997</v>
      </c>
      <c r="T12" s="17"/>
    </row>
    <row r="13" spans="1:20">
      <c r="A13" s="43">
        <v>2008</v>
      </c>
      <c r="B13" s="38">
        <f>'282α1'!N12</f>
        <v>97.160000000000011</v>
      </c>
      <c r="C13" s="38">
        <f>'282α2'!N12</f>
        <v>0</v>
      </c>
      <c r="D13" s="38">
        <f>'282β1'!N12</f>
        <v>0</v>
      </c>
      <c r="E13" s="38">
        <f>'282β2'!N12</f>
        <v>0</v>
      </c>
      <c r="F13" s="38">
        <f>'282γ'!N12</f>
        <v>0</v>
      </c>
      <c r="G13" s="38">
        <f>'282δ'!N12</f>
        <v>0</v>
      </c>
      <c r="H13" s="38">
        <f>'282ε'!N12</f>
        <v>0.87</v>
      </c>
      <c r="I13" s="38">
        <f>'282ζ'!N12</f>
        <v>17.7</v>
      </c>
      <c r="J13" s="38">
        <f>'282η'!N12</f>
        <v>0</v>
      </c>
      <c r="K13" s="38">
        <f>'282θ'!N12</f>
        <v>0</v>
      </c>
      <c r="L13" s="38">
        <f>'282ι'!N12</f>
        <v>0</v>
      </c>
      <c r="M13" s="38">
        <f>'282κ'!N12</f>
        <v>0</v>
      </c>
      <c r="N13" s="38">
        <f>'282λ'!N12</f>
        <v>38.18</v>
      </c>
      <c r="O13" s="38">
        <f>'282μ1'!N12</f>
        <v>2.0699999999999998</v>
      </c>
      <c r="P13" s="38">
        <f>'282μ2'!N12</f>
        <v>17.7</v>
      </c>
      <c r="Q13" s="38">
        <f t="shared" si="0"/>
        <v>173.68</v>
      </c>
      <c r="T13" s="17"/>
    </row>
    <row r="14" spans="1:20">
      <c r="A14" s="43">
        <v>2009</v>
      </c>
      <c r="B14" s="38">
        <f>'282α1'!N13</f>
        <v>442.21999999999997</v>
      </c>
      <c r="C14" s="38">
        <f>'282α2'!N13</f>
        <v>0</v>
      </c>
      <c r="D14" s="38">
        <f>'282β1'!N13</f>
        <v>0</v>
      </c>
      <c r="E14" s="38">
        <f>'282β2'!N13</f>
        <v>0</v>
      </c>
      <c r="F14" s="38">
        <f>'282γ'!N13</f>
        <v>0</v>
      </c>
      <c r="G14" s="38">
        <f>'282δ'!N13</f>
        <v>0</v>
      </c>
      <c r="H14" s="38">
        <f>'282ε'!N13</f>
        <v>0</v>
      </c>
      <c r="I14" s="38">
        <f>'282ζ'!N13</f>
        <v>0.16</v>
      </c>
      <c r="J14" s="38">
        <f>'282η'!N13</f>
        <v>2.09</v>
      </c>
      <c r="K14" s="38">
        <f>'282θ'!N13</f>
        <v>24.31</v>
      </c>
      <c r="L14" s="38">
        <f>'282ι'!N13</f>
        <v>0</v>
      </c>
      <c r="M14" s="38">
        <f>'282κ'!N13</f>
        <v>0</v>
      </c>
      <c r="N14" s="38">
        <f>'282λ'!N13</f>
        <v>48.879999999999995</v>
      </c>
      <c r="O14" s="38">
        <f>'282μ1'!N13</f>
        <v>2.09</v>
      </c>
      <c r="P14" s="38">
        <f>'282μ2'!N13</f>
        <v>24.31</v>
      </c>
      <c r="Q14" s="38">
        <f t="shared" si="0"/>
        <v>544.05999999999995</v>
      </c>
      <c r="T14" s="17"/>
    </row>
    <row r="15" spans="1:20">
      <c r="A15" s="43">
        <v>2010</v>
      </c>
      <c r="B15" s="38">
        <f>'282α1'!N14</f>
        <v>177.5</v>
      </c>
      <c r="C15" s="38">
        <f>'282α2'!N14</f>
        <v>0</v>
      </c>
      <c r="D15" s="38">
        <f>'282β1'!N14</f>
        <v>111.88999999999999</v>
      </c>
      <c r="E15" s="38">
        <f>'282β2'!N14</f>
        <v>40.46</v>
      </c>
      <c r="F15" s="38">
        <f>'282γ'!N14</f>
        <v>0</v>
      </c>
      <c r="G15" s="38">
        <f>'282δ'!N14</f>
        <v>0</v>
      </c>
      <c r="H15" s="38">
        <f>'282ε'!N14</f>
        <v>20.689999999999998</v>
      </c>
      <c r="I15" s="38">
        <f>'282ζ'!N14</f>
        <v>7.8</v>
      </c>
      <c r="J15" s="38">
        <f>'282η'!N14</f>
        <v>456.21</v>
      </c>
      <c r="K15" s="38">
        <f>'282θ'!N14</f>
        <v>0</v>
      </c>
      <c r="L15" s="38">
        <f>'282ι'!N14</f>
        <v>0</v>
      </c>
      <c r="M15" s="38">
        <f>'282κ'!N14</f>
        <v>0</v>
      </c>
      <c r="N15" s="38">
        <f>'282λ'!N14</f>
        <v>178.16</v>
      </c>
      <c r="O15" s="38">
        <f>'282μ1'!N14</f>
        <v>0</v>
      </c>
      <c r="P15" s="38">
        <f>'282μ2'!N14</f>
        <v>0</v>
      </c>
      <c r="Q15" s="38">
        <f t="shared" si="0"/>
        <v>992.70999999999992</v>
      </c>
      <c r="T15" s="17"/>
    </row>
    <row r="16" spans="1:20">
      <c r="A16" s="43">
        <v>2011</v>
      </c>
      <c r="B16" s="38">
        <f>'282α1'!N15</f>
        <v>0</v>
      </c>
      <c r="C16" s="38">
        <f>'282α2'!N15</f>
        <v>0</v>
      </c>
      <c r="D16" s="38">
        <f>'282β1'!N15</f>
        <v>0</v>
      </c>
      <c r="E16" s="38">
        <f>'282β2'!N15</f>
        <v>0</v>
      </c>
      <c r="F16" s="38">
        <f>'282γ'!N15</f>
        <v>0</v>
      </c>
      <c r="G16" s="38">
        <f>'282δ'!N15</f>
        <v>0</v>
      </c>
      <c r="H16" s="38">
        <f>'282ε'!N15</f>
        <v>0</v>
      </c>
      <c r="I16" s="38">
        <f>'282ζ'!N15</f>
        <v>0</v>
      </c>
      <c r="J16" s="38">
        <f>'282η'!N15</f>
        <v>44.23</v>
      </c>
      <c r="K16" s="38">
        <f>'282θ'!N15</f>
        <v>390.98</v>
      </c>
      <c r="L16" s="38">
        <f>'282ι'!N15</f>
        <v>0</v>
      </c>
      <c r="M16" s="38">
        <f>'282κ'!N15</f>
        <v>0</v>
      </c>
      <c r="N16" s="38">
        <f>'282λ'!N15</f>
        <v>26.03</v>
      </c>
      <c r="O16" s="38">
        <f>'282μ1'!N15</f>
        <v>0</v>
      </c>
      <c r="P16" s="38">
        <f>'282μ2'!N15</f>
        <v>0</v>
      </c>
      <c r="Q16" s="38">
        <f t="shared" si="0"/>
        <v>461.24</v>
      </c>
      <c r="T16" s="17"/>
    </row>
    <row r="17" spans="1:21">
      <c r="A17" s="43">
        <v>2012</v>
      </c>
      <c r="B17" s="38">
        <f>'282α1'!N16</f>
        <v>2.4</v>
      </c>
      <c r="C17" s="38">
        <f>'282α2'!N16</f>
        <v>0</v>
      </c>
      <c r="D17" s="38">
        <f>'282β1'!N16</f>
        <v>0</v>
      </c>
      <c r="E17" s="38">
        <f>'282β2'!N16</f>
        <v>0</v>
      </c>
      <c r="F17" s="38">
        <f>'282γ'!N16</f>
        <v>0</v>
      </c>
      <c r="G17" s="38">
        <f>'282δ'!N16</f>
        <v>0</v>
      </c>
      <c r="H17" s="38">
        <f>'282ε'!N16</f>
        <v>45.15</v>
      </c>
      <c r="I17" s="38">
        <f>'282ζ'!N16</f>
        <v>0</v>
      </c>
      <c r="J17" s="38">
        <f>'282η'!N16</f>
        <v>0</v>
      </c>
      <c r="K17" s="38">
        <f>'282θ'!N16</f>
        <v>0</v>
      </c>
      <c r="L17" s="38">
        <f>'282ι'!N16</f>
        <v>0</v>
      </c>
      <c r="M17" s="38">
        <f>'282κ'!N16</f>
        <v>0</v>
      </c>
      <c r="N17" s="38">
        <f>'282λ'!N16</f>
        <v>4.26</v>
      </c>
      <c r="O17" s="38">
        <f>'282μ1'!N16</f>
        <v>0</v>
      </c>
      <c r="P17" s="38">
        <f>'282μ2'!N16</f>
        <v>0</v>
      </c>
      <c r="Q17" s="38">
        <f t="shared" si="0"/>
        <v>51.809999999999995</v>
      </c>
      <c r="T17" s="17"/>
    </row>
    <row r="18" spans="1:21" ht="15.75">
      <c r="A18" s="43">
        <v>2013</v>
      </c>
      <c r="B18" s="38">
        <f>'282α1'!N17</f>
        <v>0</v>
      </c>
      <c r="C18" s="38">
        <f>'282α2'!N17</f>
        <v>0</v>
      </c>
      <c r="D18" s="38">
        <f>'282β1'!N17</f>
        <v>0</v>
      </c>
      <c r="E18" s="38">
        <f>'282β2'!N17</f>
        <v>0</v>
      </c>
      <c r="F18" s="38">
        <f>'282γ'!N17</f>
        <v>0</v>
      </c>
      <c r="G18" s="38">
        <f>'282δ'!N17</f>
        <v>0</v>
      </c>
      <c r="H18" s="38">
        <f>'282ε'!N17</f>
        <v>0</v>
      </c>
      <c r="I18" s="38">
        <f>'282ζ'!N17</f>
        <v>0</v>
      </c>
      <c r="J18" s="38">
        <f>'282η'!N17</f>
        <v>0</v>
      </c>
      <c r="K18" s="38">
        <f>'282θ'!N17</f>
        <v>0</v>
      </c>
      <c r="L18" s="38">
        <f>'282ι'!N17</f>
        <v>0</v>
      </c>
      <c r="M18" s="38">
        <f>'282κ'!N17</f>
        <v>0</v>
      </c>
      <c r="N18" s="38">
        <f>'282λ'!N17</f>
        <v>0</v>
      </c>
      <c r="O18" s="38">
        <f>'282μ1'!N17</f>
        <v>0</v>
      </c>
      <c r="P18" s="38">
        <f>'282μ2'!N17</f>
        <v>0</v>
      </c>
      <c r="Q18" s="38">
        <f t="shared" si="0"/>
        <v>0</v>
      </c>
      <c r="R18" s="16" t="s">
        <v>1</v>
      </c>
      <c r="S18" s="16" t="s">
        <v>2</v>
      </c>
      <c r="T18" s="17"/>
      <c r="U18" s="135" t="s">
        <v>179</v>
      </c>
    </row>
    <row r="19" spans="1:21" s="32" customFormat="1" ht="15.75">
      <c r="A19" s="14" t="s">
        <v>16</v>
      </c>
      <c r="B19" s="30">
        <f t="shared" ref="B19:J19" si="1">SUM(B3:B18)</f>
        <v>999.06</v>
      </c>
      <c r="C19" s="68">
        <f t="shared" si="1"/>
        <v>258.45</v>
      </c>
      <c r="D19" s="30">
        <f t="shared" si="1"/>
        <v>562.99</v>
      </c>
      <c r="E19" s="68">
        <f t="shared" si="1"/>
        <v>474.41</v>
      </c>
      <c r="F19" s="30">
        <f t="shared" si="1"/>
        <v>456.69000000000005</v>
      </c>
      <c r="G19" s="68">
        <f t="shared" si="1"/>
        <v>3172.0099999999998</v>
      </c>
      <c r="H19" s="30">
        <f t="shared" si="1"/>
        <v>356.41999999999996</v>
      </c>
      <c r="I19" s="68">
        <f t="shared" si="1"/>
        <v>1177.8200000000002</v>
      </c>
      <c r="J19" s="30">
        <f t="shared" si="1"/>
        <v>983.98</v>
      </c>
      <c r="K19" s="68">
        <f t="shared" ref="K19" si="2">SUM(K3:K18)</f>
        <v>2285.1000000000004</v>
      </c>
      <c r="L19" s="30">
        <f t="shared" ref="L19" si="3">SUM(L3:L18)</f>
        <v>2.5899999999999994</v>
      </c>
      <c r="M19" s="68">
        <f>SUM(M3:M18)</f>
        <v>1857.9699999999998</v>
      </c>
      <c r="N19" s="30">
        <f>SUM(N3:N18)</f>
        <v>1086.8</v>
      </c>
      <c r="O19" s="30">
        <f>SUM(O3:O18)</f>
        <v>5.08</v>
      </c>
      <c r="P19" s="68">
        <f>SUM(P3:P18)</f>
        <v>54.79</v>
      </c>
      <c r="Q19" s="31">
        <f>SUM(Q3:Q18)</f>
        <v>13734.159999999998</v>
      </c>
      <c r="T19" s="17"/>
      <c r="U19" s="99">
        <f>C19+E19+G19+I19+K19+M19+P19</f>
        <v>9280.5500000000011</v>
      </c>
    </row>
    <row r="21" spans="1:21">
      <c r="Q21" s="17"/>
      <c r="T21" s="19"/>
    </row>
    <row r="22" spans="1:21" ht="15.75">
      <c r="A22" s="516" t="s">
        <v>44</v>
      </c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</row>
    <row r="23" spans="1:21" ht="15.75">
      <c r="A23" s="514" t="s">
        <v>30</v>
      </c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</row>
    <row r="24" spans="1:21" ht="15.75">
      <c r="A24" s="515" t="s">
        <v>43</v>
      </c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</row>
    <row r="25" spans="1:21" ht="15.75">
      <c r="A25" s="514" t="s">
        <v>25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</row>
    <row r="26" spans="1:21" ht="15.75">
      <c r="A26" s="517" t="s">
        <v>184</v>
      </c>
      <c r="B26" s="517"/>
      <c r="C26" s="517"/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</row>
    <row r="27" spans="1:21" ht="15.75">
      <c r="A27" s="518" t="s">
        <v>185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</row>
    <row r="28" spans="1:21" ht="15.75">
      <c r="A28" s="517" t="s">
        <v>187</v>
      </c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7"/>
      <c r="Q28" s="517"/>
    </row>
    <row r="29" spans="1:21" ht="15.75">
      <c r="A29" s="518" t="s">
        <v>188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</row>
    <row r="30" spans="1:21" ht="15.75">
      <c r="A30" s="515" t="s">
        <v>189</v>
      </c>
      <c r="B30" s="515"/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</row>
    <row r="31" spans="1:21" ht="15.75">
      <c r="A31" s="514" t="s">
        <v>192</v>
      </c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</row>
    <row r="32" spans="1:21" ht="15.75">
      <c r="A32" s="515" t="s">
        <v>193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</row>
    <row r="33" spans="1:17" ht="15.75">
      <c r="A33" s="514" t="s">
        <v>195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</row>
    <row r="34" spans="1:17" ht="15.75">
      <c r="A34" s="515" t="s">
        <v>196</v>
      </c>
      <c r="B34" s="515"/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</row>
    <row r="35" spans="1:17" ht="15.75">
      <c r="A35" s="515" t="s">
        <v>198</v>
      </c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</row>
    <row r="36" spans="1:17" ht="15.75">
      <c r="A36" s="514" t="s">
        <v>199</v>
      </c>
      <c r="B36" s="514"/>
      <c r="C36" s="514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</row>
    <row r="37" spans="1:17" ht="15.75">
      <c r="A37" s="515" t="s">
        <v>239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</row>
  </sheetData>
  <mergeCells count="30">
    <mergeCell ref="A37:Q37"/>
    <mergeCell ref="A35:Q35"/>
    <mergeCell ref="A36:Q36"/>
    <mergeCell ref="A1:A2"/>
    <mergeCell ref="B1:C1"/>
    <mergeCell ref="D1:E1"/>
    <mergeCell ref="F1:F2"/>
    <mergeCell ref="G1:G2"/>
    <mergeCell ref="H1:H2"/>
    <mergeCell ref="I1:I2"/>
    <mergeCell ref="K1:K2"/>
    <mergeCell ref="J1:J2"/>
    <mergeCell ref="L1:L2"/>
    <mergeCell ref="M1:M2"/>
    <mergeCell ref="N1:N2"/>
    <mergeCell ref="O1:P1"/>
    <mergeCell ref="Q1:Q2"/>
    <mergeCell ref="A23:Q23"/>
    <mergeCell ref="A34:Q34"/>
    <mergeCell ref="A22:Q22"/>
    <mergeCell ref="A24:Q24"/>
    <mergeCell ref="A25:Q25"/>
    <mergeCell ref="A30:Q30"/>
    <mergeCell ref="A32:Q32"/>
    <mergeCell ref="A33:Q33"/>
    <mergeCell ref="A26:Q26"/>
    <mergeCell ref="A27:Q27"/>
    <mergeCell ref="A28:Q28"/>
    <mergeCell ref="A29:Q29"/>
    <mergeCell ref="A31:Q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44"/>
  <sheetViews>
    <sheetView workbookViewId="0">
      <pane ySplit="1" topLeftCell="A2" activePane="bottomLeft" state="frozen"/>
      <selection pane="bottomLeft" activeCell="M21" sqref="M21"/>
    </sheetView>
  </sheetViews>
  <sheetFormatPr defaultRowHeight="12.75"/>
  <cols>
    <col min="1" max="1" width="5" style="4" bestFit="1" customWidth="1"/>
    <col min="2" max="2" width="6.88671875" style="4" bestFit="1" customWidth="1"/>
    <col min="3" max="3" width="7.21875" style="4" bestFit="1" customWidth="1"/>
    <col min="4" max="4" width="8.44140625" style="4" bestFit="1" customWidth="1"/>
    <col min="5" max="5" width="6.44140625" style="4" bestFit="1" customWidth="1"/>
    <col min="6" max="6" width="9" style="4" bestFit="1" customWidth="1"/>
    <col min="7" max="7" width="8" style="4" bestFit="1" customWidth="1"/>
    <col min="8" max="8" width="6.44140625" style="4" bestFit="1" customWidth="1"/>
    <col min="9" max="9" width="5" style="4" bestFit="1" customWidth="1"/>
    <col min="10" max="10" width="5.6640625" style="4" bestFit="1" customWidth="1"/>
    <col min="11" max="12" width="5" style="4" bestFit="1" customWidth="1"/>
    <col min="13" max="14" width="7.21875" style="4" bestFit="1" customWidth="1"/>
    <col min="15" max="15" width="6.88671875" style="4" customWidth="1"/>
    <col min="16" max="16" width="5.88671875" style="4" customWidth="1"/>
    <col min="17" max="17" width="5.21875" style="4" customWidth="1"/>
    <col min="18" max="18" width="5.5546875" style="4" customWidth="1"/>
    <col min="19" max="19" width="6.21875" style="4" customWidth="1"/>
    <col min="20" max="21" width="5.6640625" style="4" bestFit="1" customWidth="1"/>
    <col min="22" max="22" width="4.21875" style="4" customWidth="1"/>
    <col min="23" max="23" width="8" style="4" bestFit="1" customWidth="1"/>
    <col min="24" max="24" width="5.44140625" style="4" customWidth="1"/>
    <col min="25" max="25" width="9.33203125" style="4" bestFit="1" customWidth="1"/>
    <col min="26" max="26" width="6" style="4" customWidth="1"/>
    <col min="27" max="27" width="4.88671875" style="4" customWidth="1"/>
    <col min="28" max="28" width="6.5546875" style="4" customWidth="1"/>
    <col min="29" max="29" width="5.5546875" style="4" customWidth="1"/>
    <col min="30" max="16384" width="8.88671875" style="4"/>
  </cols>
  <sheetData>
    <row r="1" spans="1:29" ht="12.75" customHeight="1" thickBot="1">
      <c r="A1" s="66" t="s">
        <v>46</v>
      </c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308" t="s">
        <v>3</v>
      </c>
      <c r="O1" s="309" t="s">
        <v>241</v>
      </c>
      <c r="Q1" s="305">
        <v>1</v>
      </c>
      <c r="R1" s="305">
        <v>2</v>
      </c>
      <c r="S1" s="305">
        <v>3</v>
      </c>
      <c r="T1" s="305">
        <v>4</v>
      </c>
      <c r="U1" s="305">
        <v>5</v>
      </c>
      <c r="V1" s="305">
        <v>6</v>
      </c>
      <c r="W1" s="305">
        <v>7</v>
      </c>
      <c r="X1" s="305">
        <v>8</v>
      </c>
      <c r="Y1" s="305">
        <v>9</v>
      </c>
      <c r="Z1" s="305">
        <v>10</v>
      </c>
      <c r="AA1" s="305">
        <v>11</v>
      </c>
      <c r="AB1" s="305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0"/>
      <c r="K2" s="70"/>
      <c r="L2" s="70"/>
      <c r="M2" s="70"/>
      <c r="N2" s="70">
        <f>SUM(B2:M2)</f>
        <v>0</v>
      </c>
      <c r="O2" s="72">
        <f>AC2</f>
        <v>0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7">
        <f>SUM(Q2:AB2)</f>
        <v>0</v>
      </c>
    </row>
    <row r="3" spans="1:29">
      <c r="A3" s="3">
        <v>1999</v>
      </c>
      <c r="B3" s="5"/>
      <c r="C3" s="5"/>
      <c r="D3" s="5"/>
      <c r="E3" s="5"/>
      <c r="F3" s="5">
        <v>9.9</v>
      </c>
      <c r="G3" s="5"/>
      <c r="H3" s="5"/>
      <c r="I3" s="5"/>
      <c r="J3" s="5"/>
      <c r="K3" s="5"/>
      <c r="L3" s="5"/>
      <c r="M3" s="5"/>
      <c r="N3" s="70">
        <f t="shared" ref="N3:N17" si="0">SUM(B3:M3)</f>
        <v>9.9</v>
      </c>
      <c r="O3" s="407">
        <f t="shared" ref="O3:O17" si="1">AC3</f>
        <v>0</v>
      </c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7">
        <f t="shared" ref="AC3:AC17" si="2">SUM(Q3:AB3)</f>
        <v>0</v>
      </c>
    </row>
    <row r="4" spans="1:29">
      <c r="A4" s="3">
        <v>2000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0">
        <f t="shared" si="0"/>
        <v>0</v>
      </c>
      <c r="O4" s="132">
        <f t="shared" si="1"/>
        <v>0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7">
        <f t="shared" si="2"/>
        <v>0</v>
      </c>
    </row>
    <row r="5" spans="1:29">
      <c r="A5" s="3">
        <v>2001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0">
        <f t="shared" si="0"/>
        <v>0</v>
      </c>
      <c r="O5" s="132">
        <f t="shared" si="1"/>
        <v>0</v>
      </c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7">
        <f t="shared" si="2"/>
        <v>0</v>
      </c>
    </row>
    <row r="6" spans="1:29">
      <c r="A6" s="3">
        <v>2002</v>
      </c>
      <c r="B6" s="5"/>
      <c r="C6" s="5"/>
      <c r="D6" s="5"/>
      <c r="E6" s="5"/>
      <c r="F6" s="5">
        <v>5.71</v>
      </c>
      <c r="G6" s="5"/>
      <c r="H6" s="5"/>
      <c r="I6" s="5"/>
      <c r="J6" s="5"/>
      <c r="K6" s="5"/>
      <c r="L6" s="5"/>
      <c r="M6" s="5">
        <v>3.16</v>
      </c>
      <c r="N6" s="70">
        <f t="shared" si="0"/>
        <v>8.870000000000001</v>
      </c>
      <c r="O6" s="132">
        <f t="shared" si="1"/>
        <v>115</v>
      </c>
      <c r="Q6" s="292"/>
      <c r="R6" s="292"/>
      <c r="S6" s="292"/>
      <c r="T6" s="292"/>
      <c r="U6" s="292">
        <v>76</v>
      </c>
      <c r="V6" s="292"/>
      <c r="W6" s="292"/>
      <c r="X6" s="292"/>
      <c r="Y6" s="292"/>
      <c r="Z6" s="292"/>
      <c r="AA6" s="292"/>
      <c r="AB6" s="292">
        <v>39</v>
      </c>
      <c r="AC6" s="297">
        <f t="shared" si="2"/>
        <v>115</v>
      </c>
    </row>
    <row r="7" spans="1:29">
      <c r="A7" s="3">
        <v>2003</v>
      </c>
      <c r="B7" s="86"/>
      <c r="C7" s="86"/>
      <c r="D7" s="86"/>
      <c r="E7" s="86"/>
      <c r="F7" s="86"/>
      <c r="G7" s="86">
        <v>0.27</v>
      </c>
      <c r="H7" s="86"/>
      <c r="I7" s="86"/>
      <c r="J7" s="86"/>
      <c r="K7" s="86"/>
      <c r="L7" s="86"/>
      <c r="M7" s="86"/>
      <c r="N7" s="70">
        <f t="shared" si="0"/>
        <v>0.27</v>
      </c>
      <c r="O7" s="132">
        <f t="shared" si="1"/>
        <v>3</v>
      </c>
      <c r="Q7" s="292"/>
      <c r="R7" s="292"/>
      <c r="S7" s="292"/>
      <c r="T7" s="292"/>
      <c r="U7" s="292"/>
      <c r="V7" s="292">
        <v>3</v>
      </c>
      <c r="W7" s="292"/>
      <c r="X7" s="292"/>
      <c r="Y7" s="292"/>
      <c r="Z7" s="292"/>
      <c r="AA7" s="292"/>
      <c r="AB7" s="292"/>
      <c r="AC7" s="297">
        <f t="shared" si="2"/>
        <v>3</v>
      </c>
    </row>
    <row r="8" spans="1:29">
      <c r="A8" s="3">
        <v>2004</v>
      </c>
      <c r="B8" s="86"/>
      <c r="C8" s="86">
        <v>39.15</v>
      </c>
      <c r="D8" s="86"/>
      <c r="E8" s="86"/>
      <c r="F8" s="86"/>
      <c r="G8" s="86"/>
      <c r="H8" s="86">
        <v>16.59</v>
      </c>
      <c r="I8" s="86"/>
      <c r="J8" s="86"/>
      <c r="K8" s="86"/>
      <c r="L8" s="86"/>
      <c r="M8" s="86"/>
      <c r="N8" s="70">
        <f t="shared" si="0"/>
        <v>55.739999999999995</v>
      </c>
      <c r="O8" s="132"/>
      <c r="Q8" s="292"/>
      <c r="R8" s="292">
        <v>434</v>
      </c>
      <c r="S8" s="292"/>
      <c r="T8" s="292"/>
      <c r="U8" s="292"/>
      <c r="V8" s="292"/>
      <c r="W8" s="292">
        <v>177</v>
      </c>
      <c r="X8" s="292"/>
      <c r="Y8" s="292"/>
      <c r="Z8" s="292"/>
      <c r="AA8" s="292"/>
      <c r="AB8" s="292"/>
      <c r="AC8" s="297">
        <f t="shared" si="2"/>
        <v>611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0">
        <f t="shared" si="0"/>
        <v>0</v>
      </c>
      <c r="O9" s="13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>
        <v>404.84</v>
      </c>
      <c r="G10" s="5"/>
      <c r="H10" s="5"/>
      <c r="I10" s="5"/>
      <c r="J10" s="5"/>
      <c r="K10" s="5"/>
      <c r="L10" s="5"/>
      <c r="M10" s="5"/>
      <c r="N10" s="70">
        <f t="shared" si="0"/>
        <v>404.84</v>
      </c>
      <c r="O10" s="132">
        <f t="shared" si="1"/>
        <v>3582</v>
      </c>
      <c r="Q10" s="292"/>
      <c r="R10" s="292"/>
      <c r="S10" s="292"/>
      <c r="T10" s="292"/>
      <c r="U10" s="292">
        <v>3582</v>
      </c>
      <c r="V10" s="292"/>
      <c r="W10" s="292"/>
      <c r="X10" s="292"/>
      <c r="Y10" s="292"/>
      <c r="Z10" s="292"/>
      <c r="AA10" s="292"/>
      <c r="AB10" s="292"/>
      <c r="AC10" s="297">
        <f t="shared" si="2"/>
        <v>3582</v>
      </c>
    </row>
    <row r="11" spans="1:29">
      <c r="A11" s="3">
        <v>2007</v>
      </c>
      <c r="B11" s="5"/>
      <c r="C11" s="5"/>
      <c r="D11" s="5">
        <v>1.83</v>
      </c>
      <c r="E11" s="5"/>
      <c r="F11" s="5"/>
      <c r="G11" s="5"/>
      <c r="H11" s="5"/>
      <c r="I11" s="5"/>
      <c r="J11" s="5"/>
      <c r="K11" s="5"/>
      <c r="L11" s="5"/>
      <c r="M11" s="5"/>
      <c r="N11" s="70">
        <f t="shared" si="0"/>
        <v>1.83</v>
      </c>
      <c r="O11" s="132">
        <f t="shared" si="1"/>
        <v>15</v>
      </c>
      <c r="Q11" s="292"/>
      <c r="R11" s="292"/>
      <c r="S11" s="292">
        <v>15</v>
      </c>
      <c r="T11" s="292"/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15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13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>
        <v>2.09</v>
      </c>
      <c r="K13" s="5"/>
      <c r="L13" s="5"/>
      <c r="M13" s="5"/>
      <c r="N13" s="70">
        <f t="shared" si="0"/>
        <v>2.09</v>
      </c>
      <c r="O13" s="132">
        <f t="shared" si="1"/>
        <v>13</v>
      </c>
      <c r="Q13" s="291"/>
      <c r="R13" s="291"/>
      <c r="S13" s="291"/>
      <c r="T13" s="291"/>
      <c r="U13" s="291"/>
      <c r="V13" s="291"/>
      <c r="W13" s="291"/>
      <c r="X13" s="291">
        <v>13</v>
      </c>
      <c r="Y13" s="291"/>
      <c r="Z13" s="291"/>
      <c r="AA13" s="291"/>
      <c r="AB13" s="291"/>
      <c r="AC13" s="297">
        <f t="shared" si="2"/>
        <v>13</v>
      </c>
    </row>
    <row r="14" spans="1:29">
      <c r="A14" s="3">
        <v>2010</v>
      </c>
      <c r="B14" s="5"/>
      <c r="C14" s="5"/>
      <c r="D14" s="5"/>
      <c r="E14" s="5"/>
      <c r="F14" s="5">
        <v>13.21</v>
      </c>
      <c r="G14" s="5"/>
      <c r="H14" s="5"/>
      <c r="I14" s="5"/>
      <c r="J14" s="5"/>
      <c r="K14" s="5"/>
      <c r="L14" s="5"/>
      <c r="M14" s="5">
        <v>443</v>
      </c>
      <c r="N14" s="70">
        <f t="shared" si="0"/>
        <v>456.21</v>
      </c>
      <c r="O14" s="132">
        <f t="shared" si="1"/>
        <v>2511</v>
      </c>
      <c r="Q14" s="291"/>
      <c r="R14" s="291"/>
      <c r="S14" s="291"/>
      <c r="T14" s="291"/>
      <c r="U14" s="291">
        <v>76</v>
      </c>
      <c r="V14" s="291"/>
      <c r="W14" s="291"/>
      <c r="X14" s="291"/>
      <c r="Y14" s="291"/>
      <c r="Z14" s="291"/>
      <c r="AA14" s="291"/>
      <c r="AB14" s="291">
        <v>2435</v>
      </c>
      <c r="AC14" s="301">
        <f t="shared" si="2"/>
        <v>2511</v>
      </c>
    </row>
    <row r="15" spans="1:29">
      <c r="A15" s="3">
        <v>2011</v>
      </c>
      <c r="B15" s="5"/>
      <c r="C15" s="5"/>
      <c r="D15" s="5">
        <v>1.1200000000000001</v>
      </c>
      <c r="E15" s="5">
        <v>43.11</v>
      </c>
      <c r="F15" s="5"/>
      <c r="G15" s="5"/>
      <c r="H15" s="5"/>
      <c r="I15" s="5"/>
      <c r="J15" s="5"/>
      <c r="K15" s="5"/>
      <c r="L15" s="5"/>
      <c r="M15" s="5"/>
      <c r="N15" s="70">
        <f t="shared" si="0"/>
        <v>44.23</v>
      </c>
      <c r="O15" s="132">
        <f t="shared" si="1"/>
        <v>236</v>
      </c>
      <c r="Q15" s="292"/>
      <c r="R15" s="292"/>
      <c r="S15" s="292">
        <v>6</v>
      </c>
      <c r="T15" s="292">
        <v>230</v>
      </c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236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 t="shared" si="0"/>
        <v>0</v>
      </c>
      <c r="O16" s="13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 t="shared" si="0"/>
        <v>0</v>
      </c>
      <c r="O17" s="13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983.98</v>
      </c>
      <c r="O18" s="407">
        <v>9029</v>
      </c>
      <c r="S18" s="286"/>
      <c r="T18" s="305"/>
      <c r="U18" s="288" t="s">
        <v>443</v>
      </c>
      <c r="V18" s="305"/>
      <c r="W18" s="305" t="s">
        <v>3</v>
      </c>
      <c r="X18" s="305"/>
      <c r="Y18" s="305" t="s">
        <v>444</v>
      </c>
    </row>
    <row r="19" spans="1:29">
      <c r="O19" s="257">
        <v>46063</v>
      </c>
      <c r="S19" s="289" t="s">
        <v>445</v>
      </c>
      <c r="T19" s="290">
        <v>5555</v>
      </c>
      <c r="U19" s="291">
        <v>888</v>
      </c>
      <c r="V19" s="292"/>
      <c r="W19" s="292">
        <f>T19*U19</f>
        <v>4932840</v>
      </c>
      <c r="X19" s="1"/>
      <c r="Y19" s="291">
        <f>O18*W19/N18</f>
        <v>45263737.433687672</v>
      </c>
    </row>
    <row r="20" spans="1:29" ht="15.75">
      <c r="A20" s="741" t="s">
        <v>190</v>
      </c>
      <c r="B20" s="741"/>
      <c r="C20" s="741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O20" s="298" t="s">
        <v>302</v>
      </c>
      <c r="S20" s="289" t="s">
        <v>446</v>
      </c>
      <c r="T20" s="291">
        <v>5555</v>
      </c>
      <c r="U20" s="291">
        <v>444</v>
      </c>
      <c r="V20" s="292"/>
      <c r="W20" s="292">
        <f>T20*U20</f>
        <v>2466420</v>
      </c>
      <c r="X20" s="292"/>
      <c r="Y20" s="291">
        <v>44444444</v>
      </c>
    </row>
    <row r="21" spans="1:29">
      <c r="S21" s="289" t="s">
        <v>447</v>
      </c>
      <c r="T21" s="291">
        <v>5555</v>
      </c>
      <c r="U21" s="291">
        <v>111</v>
      </c>
      <c r="V21" s="292"/>
      <c r="W21" s="292">
        <f>T21*U21</f>
        <v>616605</v>
      </c>
      <c r="X21" s="292"/>
      <c r="Y21" s="291">
        <v>55555555</v>
      </c>
    </row>
    <row r="22" spans="1:29" ht="15">
      <c r="A22" s="57" t="s">
        <v>46</v>
      </c>
      <c r="B22" s="2" t="s">
        <v>49</v>
      </c>
      <c r="C22" s="2" t="s">
        <v>56</v>
      </c>
      <c r="D22" s="2" t="s">
        <v>15</v>
      </c>
      <c r="E22" s="58" t="s">
        <v>47</v>
      </c>
      <c r="F22" s="2" t="s">
        <v>48</v>
      </c>
      <c r="S22" s="293"/>
      <c r="T22" s="294"/>
      <c r="U22" s="292"/>
      <c r="V22" s="292"/>
      <c r="W22" s="292">
        <f t="shared" ref="W22" si="3">SUM(W19:W21)</f>
        <v>8015865</v>
      </c>
      <c r="X22" s="292"/>
      <c r="Y22" s="291">
        <f>SUM(Y19:Y21)</f>
        <v>145263736.43368769</v>
      </c>
    </row>
    <row r="23" spans="1:29" ht="15">
      <c r="A23" s="64"/>
      <c r="B23" s="59"/>
      <c r="C23" s="71"/>
      <c r="D23" s="60"/>
      <c r="E23" s="60"/>
      <c r="F23" s="33">
        <f>D23-E23</f>
        <v>0</v>
      </c>
    </row>
    <row r="24" spans="1:29" ht="15.75">
      <c r="A24" s="509">
        <v>1999</v>
      </c>
      <c r="B24" s="131">
        <v>45803</v>
      </c>
      <c r="C24" s="132">
        <v>415</v>
      </c>
      <c r="D24" s="5">
        <v>10.34</v>
      </c>
      <c r="E24" s="5">
        <v>0.44</v>
      </c>
      <c r="F24" s="508">
        <f t="shared" ref="F24:F26" si="4">D24-E24</f>
        <v>9.9</v>
      </c>
      <c r="K24" s="510" t="s">
        <v>290</v>
      </c>
      <c r="L24" s="254"/>
      <c r="M24" s="254"/>
      <c r="N24" s="254"/>
      <c r="O24" s="254"/>
      <c r="P24" s="254"/>
      <c r="Q24" s="511" t="s">
        <v>523</v>
      </c>
    </row>
    <row r="25" spans="1:29" ht="15">
      <c r="A25" s="454"/>
      <c r="B25" s="59"/>
      <c r="C25" s="71"/>
      <c r="D25" s="60"/>
      <c r="E25" s="60"/>
      <c r="F25" s="33"/>
    </row>
    <row r="26" spans="1:29" ht="15.75">
      <c r="A26" s="539">
        <v>2002</v>
      </c>
      <c r="B26" s="59">
        <v>45000</v>
      </c>
      <c r="C26" s="71">
        <v>2046</v>
      </c>
      <c r="D26" s="60">
        <v>5.71</v>
      </c>
      <c r="E26" s="60">
        <v>0</v>
      </c>
      <c r="F26" s="115">
        <f t="shared" si="4"/>
        <v>5.71</v>
      </c>
      <c r="G26" s="179"/>
      <c r="K26" s="137" t="s">
        <v>74</v>
      </c>
    </row>
    <row r="27" spans="1:29" ht="16.5" thickBot="1">
      <c r="A27" s="535"/>
      <c r="B27" s="158">
        <v>45638</v>
      </c>
      <c r="C27" s="156">
        <v>2591</v>
      </c>
      <c r="D27" s="148">
        <v>7.16</v>
      </c>
      <c r="E27" s="148">
        <v>4</v>
      </c>
      <c r="F27" s="157">
        <f t="shared" ref="F27:F42" si="5">D27-E27</f>
        <v>3.16</v>
      </c>
      <c r="G27" s="171"/>
      <c r="K27" s="137" t="s">
        <v>290</v>
      </c>
      <c r="L27" s="137"/>
    </row>
    <row r="28" spans="1:29" ht="16.5" thickBot="1">
      <c r="A28" s="328">
        <v>2003</v>
      </c>
      <c r="B28" s="321">
        <v>45101</v>
      </c>
      <c r="C28" s="322">
        <v>2944</v>
      </c>
      <c r="D28" s="323">
        <v>1.02</v>
      </c>
      <c r="E28" s="323">
        <v>0.75</v>
      </c>
      <c r="F28" s="324">
        <f t="shared" si="5"/>
        <v>0.27</v>
      </c>
      <c r="G28" s="178"/>
      <c r="K28" s="137" t="s">
        <v>157</v>
      </c>
      <c r="L28" s="137"/>
    </row>
    <row r="29" spans="1:29" ht="15">
      <c r="A29" s="537">
        <v>2004</v>
      </c>
      <c r="B29" s="247">
        <v>45690</v>
      </c>
      <c r="C29" s="72">
        <v>3640</v>
      </c>
      <c r="D29" s="70">
        <v>56.48</v>
      </c>
      <c r="E29" s="70">
        <v>29.09</v>
      </c>
      <c r="F29" s="38">
        <f t="shared" si="5"/>
        <v>27.389999999999997</v>
      </c>
      <c r="K29" s="137" t="s">
        <v>475</v>
      </c>
      <c r="L29" s="137"/>
    </row>
    <row r="30" spans="1:29" ht="15">
      <c r="A30" s="534"/>
      <c r="B30" s="131">
        <v>44968</v>
      </c>
      <c r="C30" s="132">
        <v>3650</v>
      </c>
      <c r="D30" s="5">
        <v>6.32</v>
      </c>
      <c r="E30" s="5">
        <v>0.44</v>
      </c>
      <c r="F30" s="20">
        <f>D30-E30</f>
        <v>5.88</v>
      </c>
      <c r="K30" s="137" t="s">
        <v>103</v>
      </c>
      <c r="L30" s="137"/>
    </row>
    <row r="31" spans="1:29" ht="15.75">
      <c r="A31" s="534"/>
      <c r="B31" s="131">
        <v>44968</v>
      </c>
      <c r="C31" s="132">
        <v>3651</v>
      </c>
      <c r="D31" s="5">
        <v>6.32</v>
      </c>
      <c r="E31" s="5">
        <v>0.44</v>
      </c>
      <c r="F31" s="20">
        <f t="shared" ref="F31:F33" si="6">D31-E31</f>
        <v>5.88</v>
      </c>
      <c r="G31" s="99">
        <f>F29+F30+F31</f>
        <v>39.15</v>
      </c>
      <c r="K31" s="137" t="s">
        <v>104</v>
      </c>
      <c r="L31" s="137"/>
    </row>
    <row r="32" spans="1:29" ht="16.5" thickBot="1">
      <c r="A32" s="535"/>
      <c r="B32" s="214">
        <v>45845</v>
      </c>
      <c r="C32" s="215">
        <v>4022</v>
      </c>
      <c r="D32" s="193">
        <v>17.03</v>
      </c>
      <c r="E32" s="193">
        <v>0.44</v>
      </c>
      <c r="F32" s="248">
        <f t="shared" si="6"/>
        <v>16.59</v>
      </c>
      <c r="G32" s="150"/>
      <c r="K32" s="137" t="s">
        <v>492</v>
      </c>
      <c r="L32" s="137"/>
    </row>
    <row r="33" spans="1:12" ht="15.75">
      <c r="A33" s="467">
        <v>2005</v>
      </c>
      <c r="B33" s="153">
        <v>45782</v>
      </c>
      <c r="C33" s="154">
        <v>4802</v>
      </c>
      <c r="D33" s="143">
        <v>5.86</v>
      </c>
      <c r="E33" s="143">
        <v>3.99</v>
      </c>
      <c r="F33" s="391">
        <f t="shared" si="6"/>
        <v>1.87</v>
      </c>
      <c r="G33" s="93"/>
      <c r="K33" s="137" t="s">
        <v>525</v>
      </c>
      <c r="L33" s="137"/>
    </row>
    <row r="34" spans="1:12" ht="15">
      <c r="A34" s="14"/>
      <c r="B34" s="59"/>
      <c r="C34" s="71"/>
      <c r="D34" s="60"/>
      <c r="E34" s="60"/>
      <c r="F34" s="33">
        <f t="shared" si="5"/>
        <v>0</v>
      </c>
      <c r="K34" s="137"/>
      <c r="L34" s="137"/>
    </row>
    <row r="35" spans="1:12" ht="15.75">
      <c r="A35" s="116">
        <v>2006</v>
      </c>
      <c r="B35" s="59">
        <v>45055</v>
      </c>
      <c r="C35" s="71">
        <v>5953</v>
      </c>
      <c r="D35" s="60"/>
      <c r="E35" s="60"/>
      <c r="F35" s="115">
        <v>404.84</v>
      </c>
      <c r="K35" s="137" t="s">
        <v>100</v>
      </c>
      <c r="L35" s="137"/>
    </row>
    <row r="36" spans="1:12" ht="15">
      <c r="A36" s="14"/>
      <c r="B36" s="59"/>
      <c r="C36" s="71"/>
      <c r="D36" s="60"/>
      <c r="E36" s="60"/>
      <c r="F36" s="33">
        <f t="shared" si="5"/>
        <v>0</v>
      </c>
      <c r="K36" s="137"/>
      <c r="L36" s="137"/>
    </row>
    <row r="37" spans="1:12" ht="16.5" thickBot="1">
      <c r="A37" s="213">
        <v>2007</v>
      </c>
      <c r="B37" s="214">
        <v>44987</v>
      </c>
      <c r="C37" s="215">
        <v>6730</v>
      </c>
      <c r="D37" s="193">
        <v>1.83</v>
      </c>
      <c r="E37" s="193"/>
      <c r="F37" s="157">
        <f t="shared" si="5"/>
        <v>1.83</v>
      </c>
      <c r="G37" s="171"/>
      <c r="K37" s="137" t="s">
        <v>160</v>
      </c>
      <c r="L37" s="137"/>
    </row>
    <row r="38" spans="1:12" ht="15">
      <c r="A38" s="12"/>
      <c r="B38" s="153"/>
      <c r="C38" s="154"/>
      <c r="D38" s="143"/>
      <c r="E38" s="143"/>
      <c r="F38" s="162"/>
      <c r="K38" s="137"/>
      <c r="L38" s="137"/>
    </row>
    <row r="39" spans="1:12" ht="16.5" thickBot="1">
      <c r="A39" s="213">
        <v>2009</v>
      </c>
      <c r="B39" s="158">
        <v>45187</v>
      </c>
      <c r="C39" s="156">
        <v>8958</v>
      </c>
      <c r="D39" s="148">
        <v>3.09</v>
      </c>
      <c r="E39" s="148">
        <v>1</v>
      </c>
      <c r="F39" s="157">
        <f t="shared" si="5"/>
        <v>2.09</v>
      </c>
      <c r="G39" s="171"/>
      <c r="K39" s="137" t="s">
        <v>112</v>
      </c>
      <c r="L39" s="137"/>
    </row>
    <row r="40" spans="1:12" ht="15.75">
      <c r="A40" s="537">
        <v>2010</v>
      </c>
      <c r="B40" s="216">
        <v>45065</v>
      </c>
      <c r="C40" s="217">
        <v>9454</v>
      </c>
      <c r="D40" s="165">
        <v>13.21</v>
      </c>
      <c r="E40" s="165"/>
      <c r="F40" s="166">
        <f t="shared" si="5"/>
        <v>13.21</v>
      </c>
      <c r="G40" s="172"/>
      <c r="K40" s="137" t="s">
        <v>109</v>
      </c>
      <c r="L40" s="137"/>
    </row>
    <row r="41" spans="1:12" ht="16.5" thickBot="1">
      <c r="A41" s="535"/>
      <c r="B41" s="168" t="s">
        <v>14</v>
      </c>
      <c r="C41" s="156" t="s">
        <v>14</v>
      </c>
      <c r="D41" s="148">
        <v>443</v>
      </c>
      <c r="E41" s="148"/>
      <c r="F41" s="157">
        <f t="shared" si="5"/>
        <v>443</v>
      </c>
      <c r="G41" s="171"/>
      <c r="K41" s="137" t="s">
        <v>108</v>
      </c>
      <c r="L41" s="137"/>
    </row>
    <row r="42" spans="1:12" ht="15.75">
      <c r="A42" s="538">
        <v>2011</v>
      </c>
      <c r="B42" s="216">
        <v>44988</v>
      </c>
      <c r="C42" s="217">
        <v>10010</v>
      </c>
      <c r="D42" s="165">
        <v>2.12</v>
      </c>
      <c r="E42" s="165">
        <v>1</v>
      </c>
      <c r="F42" s="166">
        <f t="shared" si="5"/>
        <v>1.1200000000000001</v>
      </c>
      <c r="G42" s="172"/>
      <c r="K42" s="137" t="s">
        <v>106</v>
      </c>
      <c r="L42" s="137"/>
    </row>
    <row r="43" spans="1:12" ht="16.5" thickBot="1">
      <c r="A43" s="532"/>
      <c r="B43" s="158">
        <v>45035</v>
      </c>
      <c r="C43" s="156">
        <v>10061</v>
      </c>
      <c r="D43" s="148">
        <v>53.48</v>
      </c>
      <c r="E43" s="148">
        <v>10.37</v>
      </c>
      <c r="F43" s="157">
        <f t="shared" ref="F43" si="7">D43-E43</f>
        <v>43.11</v>
      </c>
      <c r="G43" s="171"/>
      <c r="K43" s="1"/>
    </row>
    <row r="44" spans="1:12" ht="15">
      <c r="A44" s="12"/>
      <c r="B44" s="153"/>
      <c r="C44" s="154"/>
      <c r="D44" s="143"/>
      <c r="E44" s="143"/>
      <c r="F44" s="162"/>
      <c r="K44" s="1"/>
    </row>
  </sheetData>
  <mergeCells count="5">
    <mergeCell ref="A20:M20"/>
    <mergeCell ref="A40:A41"/>
    <mergeCell ref="A42:A43"/>
    <mergeCell ref="A26:A27"/>
    <mergeCell ref="A29:A3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177"/>
  <sheetViews>
    <sheetView workbookViewId="0">
      <pane ySplit="1" topLeftCell="A2" activePane="bottomLeft" state="frozen"/>
      <selection pane="bottomLeft" activeCell="U19" sqref="U19"/>
    </sheetView>
  </sheetViews>
  <sheetFormatPr defaultRowHeight="12.75"/>
  <cols>
    <col min="1" max="1" width="5" style="4" bestFit="1" customWidth="1"/>
    <col min="2" max="2" width="6.88671875" style="4" bestFit="1" customWidth="1"/>
    <col min="3" max="3" width="7.21875" style="4" bestFit="1" customWidth="1"/>
    <col min="4" max="4" width="8.44140625" style="4" bestFit="1" customWidth="1"/>
    <col min="5" max="5" width="7.21875" style="4" bestFit="1" customWidth="1"/>
    <col min="6" max="7" width="10.44140625" style="4" bestFit="1" customWidth="1"/>
    <col min="8" max="8" width="5.6640625" style="4" bestFit="1" customWidth="1"/>
    <col min="9" max="9" width="5" style="4" bestFit="1" customWidth="1"/>
    <col min="10" max="10" width="6.44140625" style="4" bestFit="1" customWidth="1"/>
    <col min="11" max="11" width="3.77734375" style="4" bestFit="1" customWidth="1"/>
    <col min="12" max="12" width="5.6640625" style="4" bestFit="1" customWidth="1"/>
    <col min="13" max="13" width="6.44140625" style="4" bestFit="1" customWidth="1"/>
    <col min="14" max="14" width="8.44140625" style="4" bestFit="1" customWidth="1"/>
    <col min="15" max="15" width="8" style="4" customWidth="1"/>
    <col min="16" max="16" width="4.44140625" style="4" customWidth="1"/>
    <col min="17" max="17" width="5.109375" style="4" customWidth="1"/>
    <col min="18" max="18" width="5.6640625" style="4" bestFit="1" customWidth="1"/>
    <col min="19" max="19" width="6.109375" style="4" customWidth="1"/>
    <col min="20" max="20" width="5.6640625" style="4" bestFit="1" customWidth="1"/>
    <col min="21" max="21" width="6.33203125" style="4" bestFit="1" customWidth="1"/>
    <col min="22" max="22" width="4.6640625" style="4" bestFit="1" customWidth="1"/>
    <col min="23" max="23" width="8" style="4" bestFit="1" customWidth="1"/>
    <col min="24" max="24" width="1.44140625" style="4" bestFit="1" customWidth="1"/>
    <col min="25" max="25" width="9.33203125" style="4" bestFit="1" customWidth="1"/>
    <col min="26" max="26" width="2.109375" style="4" bestFit="1" customWidth="1"/>
    <col min="27" max="27" width="4" style="4" bestFit="1" customWidth="1"/>
    <col min="28" max="28" width="4.6640625" style="4" bestFit="1" customWidth="1"/>
    <col min="29" max="29" width="6.33203125" style="4" bestFit="1" customWidth="1"/>
    <col min="30" max="16384" width="8.88671875" style="4"/>
  </cols>
  <sheetData>
    <row r="1" spans="1:29" ht="12.75" customHeight="1" thickBot="1">
      <c r="A1" s="66" t="s">
        <v>46</v>
      </c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308" t="s">
        <v>3</v>
      </c>
      <c r="O1" s="309" t="s">
        <v>241</v>
      </c>
      <c r="Q1" s="307">
        <v>1</v>
      </c>
      <c r="R1" s="307">
        <v>2</v>
      </c>
      <c r="S1" s="307">
        <v>3</v>
      </c>
      <c r="T1" s="307">
        <v>4</v>
      </c>
      <c r="U1" s="307">
        <v>5</v>
      </c>
      <c r="V1" s="307">
        <v>6</v>
      </c>
      <c r="W1" s="307">
        <v>7</v>
      </c>
      <c r="X1" s="307">
        <v>8</v>
      </c>
      <c r="Y1" s="307">
        <v>9</v>
      </c>
      <c r="Z1" s="307">
        <v>10</v>
      </c>
      <c r="AA1" s="307">
        <v>11</v>
      </c>
      <c r="AB1" s="30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0"/>
      <c r="K2" s="70"/>
      <c r="L2" s="70"/>
      <c r="M2" s="70">
        <v>6.82</v>
      </c>
      <c r="N2" s="70">
        <f>SUM(B2:M2)</f>
        <v>6.82</v>
      </c>
      <c r="O2" s="72">
        <f>AC2</f>
        <v>192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>
        <v>192</v>
      </c>
      <c r="AC2" s="297">
        <f>SUM(Q2:AB2)</f>
        <v>192</v>
      </c>
    </row>
    <row r="3" spans="1:29">
      <c r="A3" s="3">
        <v>1999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0">
        <f t="shared" ref="N3:N17" si="0">SUM(B3:M3)</f>
        <v>0</v>
      </c>
      <c r="O3" s="132">
        <f t="shared" ref="O3:O17" si="1">AC3</f>
        <v>0</v>
      </c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7">
        <f t="shared" ref="AC3:AC17" si="2">SUM(Q3:AB3)</f>
        <v>0</v>
      </c>
    </row>
    <row r="4" spans="1:29">
      <c r="A4" s="3">
        <v>2000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0">
        <f t="shared" si="0"/>
        <v>0</v>
      </c>
      <c r="O4" s="132">
        <f t="shared" si="1"/>
        <v>0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7">
        <f t="shared" si="2"/>
        <v>0</v>
      </c>
    </row>
    <row r="5" spans="1:29">
      <c r="A5" s="3">
        <v>2001</v>
      </c>
      <c r="B5" s="5"/>
      <c r="C5" s="5"/>
      <c r="D5" s="5"/>
      <c r="E5" s="5"/>
      <c r="F5" s="5"/>
      <c r="G5" s="5">
        <v>14.78</v>
      </c>
      <c r="H5" s="5"/>
      <c r="I5" s="5"/>
      <c r="J5" s="5"/>
      <c r="K5" s="5"/>
      <c r="L5" s="5"/>
      <c r="M5" s="5"/>
      <c r="N5" s="70">
        <f t="shared" si="0"/>
        <v>14.78</v>
      </c>
      <c r="O5" s="132">
        <f t="shared" si="1"/>
        <v>271</v>
      </c>
      <c r="Q5" s="292"/>
      <c r="R5" s="292"/>
      <c r="S5" s="292"/>
      <c r="T5" s="292"/>
      <c r="U5" s="292"/>
      <c r="V5" s="292">
        <v>271</v>
      </c>
      <c r="W5" s="292"/>
      <c r="X5" s="292"/>
      <c r="Y5" s="292"/>
      <c r="Z5" s="292"/>
      <c r="AA5" s="292"/>
      <c r="AB5" s="292"/>
      <c r="AC5" s="297">
        <f t="shared" si="2"/>
        <v>271</v>
      </c>
    </row>
    <row r="6" spans="1:29">
      <c r="A6" s="3">
        <v>2002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0">
        <f t="shared" si="0"/>
        <v>0</v>
      </c>
      <c r="O6" s="132">
        <f t="shared" si="1"/>
        <v>0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7">
        <f t="shared" si="2"/>
        <v>0</v>
      </c>
    </row>
    <row r="7" spans="1:29">
      <c r="A7" s="3">
        <v>2003</v>
      </c>
      <c r="B7" s="86"/>
      <c r="C7" s="86"/>
      <c r="D7" s="86"/>
      <c r="E7" s="86"/>
      <c r="F7" s="86"/>
      <c r="G7" s="86"/>
      <c r="H7" s="86"/>
      <c r="I7" s="86"/>
      <c r="J7" s="86">
        <v>23.77</v>
      </c>
      <c r="K7" s="86"/>
      <c r="L7" s="86"/>
      <c r="M7" s="86"/>
      <c r="N7" s="70">
        <f t="shared" si="0"/>
        <v>23.77</v>
      </c>
      <c r="O7" s="132">
        <f t="shared" si="1"/>
        <v>340</v>
      </c>
      <c r="Q7" s="292"/>
      <c r="R7" s="292"/>
      <c r="S7" s="292"/>
      <c r="T7" s="292"/>
      <c r="U7" s="292"/>
      <c r="V7" s="292"/>
      <c r="W7" s="292"/>
      <c r="X7" s="292"/>
      <c r="Y7" s="291">
        <v>340</v>
      </c>
      <c r="Z7" s="292"/>
      <c r="AA7" s="292"/>
      <c r="AB7" s="292"/>
      <c r="AC7" s="297">
        <f t="shared" si="2"/>
        <v>340</v>
      </c>
    </row>
    <row r="8" spans="1:29">
      <c r="A8" s="3">
        <v>2004</v>
      </c>
      <c r="B8" s="86"/>
      <c r="C8" s="86">
        <v>78.900000000000006</v>
      </c>
      <c r="D8" s="86"/>
      <c r="E8" s="86"/>
      <c r="F8" s="86"/>
      <c r="G8" s="86"/>
      <c r="H8" s="86">
        <v>6.03</v>
      </c>
      <c r="I8" s="86"/>
      <c r="J8" s="86"/>
      <c r="K8" s="86"/>
      <c r="L8" s="86">
        <v>5.76</v>
      </c>
      <c r="M8" s="86">
        <v>46.86</v>
      </c>
      <c r="N8" s="70">
        <f t="shared" si="0"/>
        <v>137.55000000000001</v>
      </c>
      <c r="O8" s="132">
        <f t="shared" si="1"/>
        <v>1854</v>
      </c>
      <c r="Q8" s="292"/>
      <c r="R8" s="292">
        <v>1084</v>
      </c>
      <c r="S8" s="292"/>
      <c r="T8" s="292"/>
      <c r="U8" s="292"/>
      <c r="V8" s="292"/>
      <c r="W8" s="292">
        <v>79</v>
      </c>
      <c r="X8" s="292"/>
      <c r="Y8" s="292"/>
      <c r="Z8" s="292"/>
      <c r="AA8" s="292">
        <v>73</v>
      </c>
      <c r="AB8" s="292">
        <v>618</v>
      </c>
      <c r="AC8" s="297">
        <f t="shared" si="2"/>
        <v>1854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0">
        <f t="shared" si="0"/>
        <v>0</v>
      </c>
      <c r="O9" s="13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>
        <v>1686.89</v>
      </c>
      <c r="G10" s="5"/>
      <c r="H10" s="5"/>
      <c r="I10" s="5"/>
      <c r="J10" s="5"/>
      <c r="K10" s="5"/>
      <c r="L10" s="5"/>
      <c r="M10" s="5"/>
      <c r="N10" s="70">
        <f t="shared" si="0"/>
        <v>1686.89</v>
      </c>
      <c r="O10" s="132">
        <f t="shared" si="1"/>
        <v>18478</v>
      </c>
      <c r="Q10" s="292"/>
      <c r="R10" s="292"/>
      <c r="S10" s="292"/>
      <c r="T10" s="292"/>
      <c r="U10" s="292">
        <v>18478</v>
      </c>
      <c r="V10" s="292"/>
      <c r="W10" s="292"/>
      <c r="X10" s="292"/>
      <c r="Y10" s="292"/>
      <c r="Z10" s="292"/>
      <c r="AA10" s="292"/>
      <c r="AB10" s="292"/>
      <c r="AC10" s="297">
        <f t="shared" si="2"/>
        <v>18478</v>
      </c>
    </row>
    <row r="11" spans="1:29">
      <c r="A11" s="3">
        <v>2007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0">
        <f t="shared" si="0"/>
        <v>0</v>
      </c>
      <c r="O11" s="132">
        <f t="shared" si="1"/>
        <v>0</v>
      </c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0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13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>
        <v>24.31</v>
      </c>
      <c r="K13" s="5"/>
      <c r="L13" s="5"/>
      <c r="M13" s="5"/>
      <c r="N13" s="70">
        <f t="shared" si="0"/>
        <v>24.31</v>
      </c>
      <c r="O13" s="132">
        <f t="shared" si="1"/>
        <v>184</v>
      </c>
      <c r="Q13" s="291"/>
      <c r="R13" s="291"/>
      <c r="S13" s="291"/>
      <c r="T13" s="291"/>
      <c r="U13" s="291"/>
      <c r="V13" s="291"/>
      <c r="W13" s="291"/>
      <c r="X13" s="291"/>
      <c r="Y13" s="291">
        <v>184</v>
      </c>
      <c r="Z13" s="291"/>
      <c r="AA13" s="291"/>
      <c r="AB13" s="291"/>
      <c r="AC13" s="297">
        <f t="shared" si="2"/>
        <v>184</v>
      </c>
    </row>
    <row r="14" spans="1:29">
      <c r="A14" s="3">
        <v>2010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0">
        <f t="shared" si="0"/>
        <v>0</v>
      </c>
      <c r="O14" s="132">
        <f t="shared" si="1"/>
        <v>0</v>
      </c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301">
        <f t="shared" si="2"/>
        <v>0</v>
      </c>
    </row>
    <row r="15" spans="1:29">
      <c r="A15" s="3">
        <v>2011</v>
      </c>
      <c r="B15" s="5"/>
      <c r="C15" s="5"/>
      <c r="D15" s="5"/>
      <c r="E15" s="5">
        <v>390.98</v>
      </c>
      <c r="F15" s="5"/>
      <c r="G15" s="5"/>
      <c r="H15" s="5"/>
      <c r="I15" s="5"/>
      <c r="J15" s="5"/>
      <c r="K15" s="5"/>
      <c r="L15" s="5"/>
      <c r="M15" s="5"/>
      <c r="N15" s="70">
        <f t="shared" si="0"/>
        <v>390.98</v>
      </c>
      <c r="O15" s="132">
        <f t="shared" si="1"/>
        <v>2583</v>
      </c>
      <c r="Q15" s="292"/>
      <c r="R15" s="292"/>
      <c r="S15" s="292"/>
      <c r="T15" s="292">
        <v>2583</v>
      </c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2583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 t="shared" si="0"/>
        <v>0</v>
      </c>
      <c r="O16" s="13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 t="shared" si="0"/>
        <v>0</v>
      </c>
      <c r="O17" s="13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2285.1000000000004</v>
      </c>
      <c r="O18" s="132">
        <f>SUM(O2:O17)</f>
        <v>23902</v>
      </c>
      <c r="S18" s="286"/>
      <c r="T18" s="307"/>
      <c r="U18" s="288"/>
      <c r="V18" s="307"/>
      <c r="W18" s="307"/>
      <c r="X18" s="307"/>
      <c r="Y18" s="307"/>
    </row>
    <row r="19" spans="1:29">
      <c r="O19" s="257">
        <v>46063</v>
      </c>
    </row>
    <row r="20" spans="1:29">
      <c r="O20" s="298" t="s">
        <v>302</v>
      </c>
    </row>
    <row r="21" spans="1:29" ht="15.75" customHeight="1">
      <c r="A21" s="536" t="s">
        <v>191</v>
      </c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</row>
    <row r="22" spans="1:29" s="1" customFormat="1" ht="11.25">
      <c r="S22" s="286"/>
      <c r="T22" s="329"/>
      <c r="U22" s="288" t="s">
        <v>443</v>
      </c>
      <c r="V22" s="329"/>
      <c r="W22" s="329" t="s">
        <v>3</v>
      </c>
      <c r="X22" s="329"/>
      <c r="Y22" s="329" t="s">
        <v>444</v>
      </c>
    </row>
    <row r="23" spans="1:29" s="1" customFormat="1" ht="11.25">
      <c r="A23" s="2" t="s">
        <v>46</v>
      </c>
      <c r="B23" s="2" t="s">
        <v>49</v>
      </c>
      <c r="C23" s="2" t="s">
        <v>56</v>
      </c>
      <c r="D23" s="2" t="s">
        <v>15</v>
      </c>
      <c r="E23" s="2" t="s">
        <v>47</v>
      </c>
      <c r="F23" s="2" t="s">
        <v>48</v>
      </c>
      <c r="S23" s="289" t="s">
        <v>445</v>
      </c>
      <c r="T23" s="290">
        <v>5555</v>
      </c>
      <c r="U23" s="291">
        <v>666</v>
      </c>
      <c r="V23" s="292"/>
      <c r="W23" s="292">
        <f>T23*U23</f>
        <v>3699630</v>
      </c>
      <c r="Y23" s="291">
        <f>O18*W23/N18</f>
        <v>38697893.422607318</v>
      </c>
    </row>
    <row r="24" spans="1:29" s="1" customFormat="1" ht="11.25">
      <c r="A24" s="742">
        <v>1998</v>
      </c>
      <c r="B24" s="744">
        <v>44195</v>
      </c>
      <c r="C24" s="746">
        <v>223</v>
      </c>
      <c r="D24" s="335">
        <v>5.72</v>
      </c>
      <c r="E24" s="335">
        <v>0</v>
      </c>
      <c r="F24" s="335">
        <f>D24-E24</f>
        <v>5.72</v>
      </c>
      <c r="G24" s="336"/>
      <c r="H24" s="337"/>
      <c r="I24" s="212" t="s">
        <v>59</v>
      </c>
      <c r="J24" s="337"/>
      <c r="K24" s="337"/>
      <c r="L24" s="337"/>
      <c r="M24" s="337"/>
      <c r="S24" s="289" t="s">
        <v>446</v>
      </c>
      <c r="T24" s="291">
        <v>5555</v>
      </c>
      <c r="U24" s="291">
        <v>333</v>
      </c>
      <c r="V24" s="292"/>
      <c r="W24" s="292">
        <f>T24*U24</f>
        <v>1849815</v>
      </c>
      <c r="X24" s="292"/>
      <c r="Y24" s="291">
        <v>44444444</v>
      </c>
    </row>
    <row r="25" spans="1:29" s="1" customFormat="1" ht="12" thickBot="1">
      <c r="A25" s="743"/>
      <c r="B25" s="745"/>
      <c r="C25" s="747"/>
      <c r="D25" s="338">
        <v>1.1000000000000001</v>
      </c>
      <c r="E25" s="338">
        <v>0</v>
      </c>
      <c r="F25" s="338">
        <f t="shared" ref="F25" si="3">D25-E25</f>
        <v>1.1000000000000001</v>
      </c>
      <c r="G25" s="339">
        <f>F24+F25</f>
        <v>6.82</v>
      </c>
      <c r="H25" s="337"/>
      <c r="I25" s="212"/>
      <c r="J25" s="337"/>
      <c r="K25" s="337"/>
      <c r="L25" s="337"/>
      <c r="M25" s="337"/>
      <c r="S25" s="289" t="s">
        <v>447</v>
      </c>
      <c r="T25" s="291">
        <v>5555</v>
      </c>
      <c r="U25" s="291">
        <v>111</v>
      </c>
      <c r="V25" s="292"/>
      <c r="W25" s="292">
        <f>T25*U25</f>
        <v>616605</v>
      </c>
      <c r="X25" s="292"/>
      <c r="Y25" s="291">
        <v>55555555</v>
      </c>
    </row>
    <row r="26" spans="1:29" s="1" customFormat="1" ht="11.25">
      <c r="A26" s="754">
        <v>2001</v>
      </c>
      <c r="B26" s="752">
        <v>45095</v>
      </c>
      <c r="C26" s="753">
        <v>1614</v>
      </c>
      <c r="D26" s="340">
        <v>12.4</v>
      </c>
      <c r="E26" s="340">
        <v>0</v>
      </c>
      <c r="F26" s="340">
        <f>D26-E26</f>
        <v>12.4</v>
      </c>
      <c r="G26" s="341"/>
      <c r="I26" s="137"/>
      <c r="S26" s="293"/>
      <c r="T26" s="294"/>
      <c r="U26" s="292"/>
      <c r="V26" s="292"/>
      <c r="W26" s="292">
        <f t="shared" ref="W26" si="4">SUM(W23:W25)</f>
        <v>6166050</v>
      </c>
      <c r="X26" s="292"/>
      <c r="Y26" s="291">
        <f>SUM(Y23:Y25)</f>
        <v>138697892.4226073</v>
      </c>
    </row>
    <row r="27" spans="1:29" s="1" customFormat="1" ht="12" thickBot="1">
      <c r="A27" s="755"/>
      <c r="B27" s="745"/>
      <c r="C27" s="747"/>
      <c r="D27" s="338">
        <v>2.38</v>
      </c>
      <c r="E27" s="338">
        <v>0</v>
      </c>
      <c r="F27" s="338">
        <f t="shared" ref="F27:F28" si="5">D27-E27</f>
        <v>2.38</v>
      </c>
      <c r="G27" s="339">
        <f>F26+F27</f>
        <v>14.780000000000001</v>
      </c>
      <c r="I27" s="137" t="s">
        <v>60</v>
      </c>
    </row>
    <row r="28" spans="1:29" s="1" customFormat="1" ht="11.25">
      <c r="A28" s="756">
        <v>2003</v>
      </c>
      <c r="B28" s="752">
        <v>45544</v>
      </c>
      <c r="C28" s="753">
        <v>3293</v>
      </c>
      <c r="D28" s="340">
        <v>19.940000000000001</v>
      </c>
      <c r="E28" s="340">
        <v>0</v>
      </c>
      <c r="F28" s="340">
        <f t="shared" si="5"/>
        <v>19.940000000000001</v>
      </c>
      <c r="G28" s="341"/>
      <c r="I28" s="137"/>
    </row>
    <row r="29" spans="1:29" s="1" customFormat="1" ht="12" thickBot="1">
      <c r="A29" s="743"/>
      <c r="B29" s="745"/>
      <c r="C29" s="747"/>
      <c r="D29" s="342">
        <v>3.83</v>
      </c>
      <c r="E29" s="342">
        <v>0</v>
      </c>
      <c r="F29" s="342">
        <f>D29-E29</f>
        <v>3.83</v>
      </c>
      <c r="G29" s="343">
        <f>F28+F29</f>
        <v>23.770000000000003</v>
      </c>
      <c r="I29" s="137" t="s">
        <v>60</v>
      </c>
    </row>
    <row r="30" spans="1:29" s="1" customFormat="1" ht="11.25">
      <c r="A30" s="754">
        <v>2004</v>
      </c>
      <c r="B30" s="748">
        <v>44968</v>
      </c>
      <c r="C30" s="750">
        <v>3650</v>
      </c>
      <c r="D30" s="351">
        <v>33.090000000000003</v>
      </c>
      <c r="E30" s="351">
        <v>0</v>
      </c>
      <c r="F30" s="351">
        <f>D30-E30</f>
        <v>33.090000000000003</v>
      </c>
      <c r="G30" s="336"/>
      <c r="I30" s="137"/>
    </row>
    <row r="31" spans="1:29" s="1" customFormat="1" ht="15" customHeight="1">
      <c r="A31" s="766"/>
      <c r="B31" s="749"/>
      <c r="C31" s="751"/>
      <c r="D31" s="351">
        <v>6.36</v>
      </c>
      <c r="E31" s="351"/>
      <c r="F31" s="351">
        <f t="shared" ref="F31" si="6">D31-E31</f>
        <v>6.36</v>
      </c>
      <c r="G31" s="345"/>
      <c r="I31" s="137" t="s">
        <v>102</v>
      </c>
    </row>
    <row r="32" spans="1:29" s="1" customFormat="1" ht="15" customHeight="1">
      <c r="A32" s="766"/>
      <c r="B32" s="748">
        <v>44968</v>
      </c>
      <c r="C32" s="750">
        <v>3651</v>
      </c>
      <c r="D32" s="351">
        <v>33.090000000000003</v>
      </c>
      <c r="E32" s="351">
        <v>0</v>
      </c>
      <c r="F32" s="351">
        <f>D32-E32</f>
        <v>33.090000000000003</v>
      </c>
      <c r="G32" s="336"/>
      <c r="I32" s="137"/>
    </row>
    <row r="33" spans="1:9" s="1" customFormat="1" ht="15" customHeight="1">
      <c r="A33" s="766"/>
      <c r="B33" s="749"/>
      <c r="C33" s="751"/>
      <c r="D33" s="351">
        <v>6.36</v>
      </c>
      <c r="E33" s="351"/>
      <c r="F33" s="351">
        <f t="shared" ref="F33:F35" si="7">D33-E33</f>
        <v>6.36</v>
      </c>
      <c r="G33" s="345">
        <f>SUM(F30:F33)</f>
        <v>78.900000000000006</v>
      </c>
      <c r="I33" s="137" t="s">
        <v>102</v>
      </c>
    </row>
    <row r="34" spans="1:9" s="1" customFormat="1" ht="15" customHeight="1">
      <c r="A34" s="766"/>
      <c r="B34" s="349">
        <v>45845</v>
      </c>
      <c r="C34" s="350">
        <v>4070</v>
      </c>
      <c r="D34" s="351">
        <v>6.03</v>
      </c>
      <c r="E34" s="351">
        <v>0</v>
      </c>
      <c r="F34" s="387">
        <f t="shared" si="7"/>
        <v>6.03</v>
      </c>
      <c r="I34" s="137" t="s">
        <v>493</v>
      </c>
    </row>
    <row r="35" spans="1:9" s="1" customFormat="1" ht="15" customHeight="1">
      <c r="A35" s="766"/>
      <c r="B35" s="388">
        <v>45972</v>
      </c>
      <c r="C35" s="389">
        <v>4463</v>
      </c>
      <c r="D35" s="351">
        <v>5.76</v>
      </c>
      <c r="E35" s="351">
        <v>0</v>
      </c>
      <c r="F35" s="387">
        <f t="shared" si="7"/>
        <v>5.76</v>
      </c>
      <c r="I35" s="137" t="s">
        <v>493</v>
      </c>
    </row>
    <row r="36" spans="1:9" s="1" customFormat="1" ht="15" customHeight="1">
      <c r="A36" s="766"/>
      <c r="B36" s="748">
        <v>46003</v>
      </c>
      <c r="C36" s="750">
        <v>4483</v>
      </c>
      <c r="D36" s="351">
        <v>62.9</v>
      </c>
      <c r="E36" s="351">
        <v>23.59</v>
      </c>
      <c r="F36" s="351">
        <f>D36-E36</f>
        <v>39.31</v>
      </c>
      <c r="G36" s="336"/>
      <c r="I36" s="137"/>
    </row>
    <row r="37" spans="1:9" s="1" customFormat="1" ht="15.75" customHeight="1" thickBot="1">
      <c r="A37" s="755"/>
      <c r="B37" s="764"/>
      <c r="C37" s="765"/>
      <c r="D37" s="390">
        <v>12.09</v>
      </c>
      <c r="E37" s="390">
        <v>4.54</v>
      </c>
      <c r="F37" s="390">
        <f t="shared" ref="F37" si="8">D37-E37</f>
        <v>7.55</v>
      </c>
      <c r="G37" s="339">
        <f>F36+F37</f>
        <v>46.86</v>
      </c>
      <c r="I37" s="137"/>
    </row>
    <row r="38" spans="1:9" s="1" customFormat="1" ht="11.25">
      <c r="A38" s="757">
        <v>2006</v>
      </c>
      <c r="B38" s="760">
        <v>45055</v>
      </c>
      <c r="C38" s="762">
        <v>5953</v>
      </c>
      <c r="D38" s="344">
        <v>1431.47</v>
      </c>
      <c r="E38" s="344"/>
      <c r="F38" s="344">
        <f t="shared" ref="F38:F49" si="9">D38-E38</f>
        <v>1431.47</v>
      </c>
      <c r="I38" s="137" t="s">
        <v>100</v>
      </c>
    </row>
    <row r="39" spans="1:9" s="1" customFormat="1" ht="11.25">
      <c r="A39" s="757"/>
      <c r="B39" s="761"/>
      <c r="C39" s="763"/>
      <c r="D39" s="335">
        <v>250.24</v>
      </c>
      <c r="E39" s="335"/>
      <c r="F39" s="335">
        <f t="shared" si="9"/>
        <v>250.24</v>
      </c>
      <c r="G39" s="345"/>
      <c r="I39" s="137"/>
    </row>
    <row r="40" spans="1:9" s="1" customFormat="1" ht="11.25">
      <c r="A40" s="758"/>
      <c r="B40" s="346">
        <v>45058</v>
      </c>
      <c r="C40" s="347">
        <v>6000</v>
      </c>
      <c r="D40" s="335">
        <v>5.18</v>
      </c>
      <c r="E40" s="335">
        <v>0</v>
      </c>
      <c r="F40" s="335">
        <f t="shared" si="9"/>
        <v>5.18</v>
      </c>
      <c r="G40" s="345">
        <f>F38+F39+F40</f>
        <v>1686.89</v>
      </c>
      <c r="I40" s="137" t="s">
        <v>101</v>
      </c>
    </row>
    <row r="41" spans="1:9" s="1" customFormat="1" ht="11.25">
      <c r="A41" s="2"/>
      <c r="B41" s="346"/>
      <c r="C41" s="347"/>
      <c r="D41" s="335"/>
      <c r="E41" s="335"/>
      <c r="F41" s="335">
        <f t="shared" si="9"/>
        <v>0</v>
      </c>
      <c r="I41" s="137"/>
    </row>
    <row r="42" spans="1:9" s="1" customFormat="1" ht="11.25">
      <c r="A42" s="348">
        <v>2008</v>
      </c>
      <c r="B42" s="349"/>
      <c r="C42" s="350"/>
      <c r="D42" s="351"/>
      <c r="E42" s="351"/>
      <c r="F42" s="351"/>
      <c r="I42" s="137"/>
    </row>
    <row r="43" spans="1:9" s="1" customFormat="1" ht="12" thickBot="1">
      <c r="A43" s="352">
        <v>2009</v>
      </c>
      <c r="B43" s="353">
        <v>45187</v>
      </c>
      <c r="C43" s="354">
        <v>8958</v>
      </c>
      <c r="D43" s="338">
        <v>24.31</v>
      </c>
      <c r="E43" s="338">
        <v>0</v>
      </c>
      <c r="F43" s="355">
        <f t="shared" si="9"/>
        <v>24.31</v>
      </c>
      <c r="G43" s="356"/>
      <c r="I43" s="137" t="s">
        <v>112</v>
      </c>
    </row>
    <row r="44" spans="1:9" s="1" customFormat="1" ht="11.25">
      <c r="A44" s="357"/>
      <c r="B44" s="358"/>
      <c r="C44" s="359"/>
      <c r="D44" s="344"/>
      <c r="E44" s="344"/>
      <c r="F44" s="344">
        <f t="shared" si="9"/>
        <v>0</v>
      </c>
      <c r="I44" s="137"/>
    </row>
    <row r="45" spans="1:9" s="1" customFormat="1" ht="11.25">
      <c r="A45" s="759">
        <v>2011</v>
      </c>
      <c r="B45" s="744">
        <v>45035</v>
      </c>
      <c r="C45" s="746">
        <v>10061</v>
      </c>
      <c r="D45" s="335">
        <v>388.56</v>
      </c>
      <c r="E45" s="335">
        <v>61.9</v>
      </c>
      <c r="F45" s="335">
        <f t="shared" ref="F45:F46" si="10">D45-E45</f>
        <v>326.66000000000003</v>
      </c>
      <c r="G45" s="360"/>
      <c r="I45" s="137"/>
    </row>
    <row r="46" spans="1:9" s="1" customFormat="1" ht="12" thickBot="1">
      <c r="A46" s="755"/>
      <c r="B46" s="745"/>
      <c r="C46" s="747"/>
      <c r="D46" s="338">
        <v>74.72</v>
      </c>
      <c r="E46" s="338">
        <v>10.4</v>
      </c>
      <c r="F46" s="338">
        <f t="shared" si="10"/>
        <v>64.319999999999993</v>
      </c>
      <c r="G46" s="339">
        <f>F45+F46</f>
        <v>390.98</v>
      </c>
      <c r="I46" s="137" t="s">
        <v>106</v>
      </c>
    </row>
    <row r="47" spans="1:9" s="1" customFormat="1" ht="11.25">
      <c r="A47" s="357"/>
      <c r="B47" s="358"/>
      <c r="C47" s="359"/>
      <c r="D47" s="344"/>
      <c r="E47" s="344"/>
      <c r="F47" s="344"/>
    </row>
    <row r="48" spans="1:9" s="1" customFormat="1" ht="11.25">
      <c r="A48" s="2"/>
      <c r="B48" s="346"/>
      <c r="C48" s="347"/>
      <c r="D48" s="335"/>
      <c r="E48" s="335"/>
      <c r="F48" s="335"/>
    </row>
    <row r="49" spans="1:6" s="1" customFormat="1" ht="11.25">
      <c r="A49" s="2"/>
      <c r="B49" s="346"/>
      <c r="C49" s="347"/>
      <c r="D49" s="335"/>
      <c r="E49" s="335"/>
      <c r="F49" s="335">
        <f t="shared" si="9"/>
        <v>0</v>
      </c>
    </row>
    <row r="50" spans="1:6" s="1" customFormat="1" ht="11.25"/>
    <row r="51" spans="1:6" s="1" customFormat="1" ht="11.25"/>
    <row r="52" spans="1:6" s="1" customFormat="1" ht="11.25"/>
    <row r="53" spans="1:6" s="1" customFormat="1" ht="11.25"/>
    <row r="54" spans="1:6" s="1" customFormat="1" ht="11.25"/>
    <row r="55" spans="1:6" s="1" customFormat="1" ht="11.25"/>
    <row r="56" spans="1:6" s="1" customFormat="1" ht="11.25"/>
    <row r="57" spans="1:6" s="1" customFormat="1" ht="11.25"/>
    <row r="58" spans="1:6" s="1" customFormat="1" ht="11.25"/>
    <row r="59" spans="1:6" s="1" customFormat="1" ht="11.25"/>
    <row r="60" spans="1:6" s="1" customFormat="1" ht="11.25"/>
    <row r="61" spans="1:6" s="1" customFormat="1" ht="11.25"/>
    <row r="62" spans="1:6" s="1" customFormat="1" ht="11.25"/>
    <row r="63" spans="1:6" s="1" customFormat="1" ht="11.25"/>
    <row r="64" spans="1:6" s="1" customFormat="1" ht="11.25"/>
    <row r="65" s="1" customFormat="1" ht="11.25"/>
    <row r="66" s="1" customFormat="1" ht="11.25"/>
    <row r="67" s="1" customFormat="1" ht="11.25"/>
    <row r="68" s="1" customFormat="1" ht="11.25"/>
    <row r="69" s="1" customFormat="1" ht="11.25"/>
    <row r="70" s="1" customFormat="1" ht="11.25"/>
    <row r="71" s="1" customFormat="1" ht="11.25"/>
    <row r="72" s="1" customFormat="1" ht="11.25"/>
    <row r="73" s="1" customFormat="1" ht="11.25"/>
    <row r="74" s="1" customFormat="1" ht="11.25"/>
    <row r="75" s="1" customFormat="1" ht="11.25"/>
    <row r="76" s="1" customFormat="1" ht="11.25"/>
    <row r="77" s="1" customFormat="1" ht="11.25"/>
    <row r="78" s="1" customFormat="1" ht="11.25"/>
    <row r="79" s="1" customFormat="1" ht="11.25"/>
    <row r="80" s="1" customFormat="1" ht="11.25"/>
    <row r="81" s="1" customFormat="1" ht="11.25"/>
    <row r="82" s="1" customFormat="1" ht="11.25"/>
    <row r="83" s="1" customFormat="1" ht="11.25"/>
    <row r="84" s="1" customFormat="1" ht="11.25"/>
    <row r="85" s="1" customFormat="1" ht="11.25"/>
    <row r="86" s="1" customFormat="1" ht="11.25"/>
    <row r="87" s="1" customFormat="1" ht="11.25"/>
    <row r="88" s="1" customFormat="1" ht="11.25"/>
    <row r="89" s="1" customFormat="1" ht="11.25"/>
    <row r="90" s="1" customFormat="1" ht="11.25"/>
    <row r="91" s="1" customFormat="1" ht="11.25"/>
    <row r="92" s="1" customFormat="1" ht="11.25"/>
    <row r="93" s="1" customFormat="1" ht="11.25"/>
    <row r="94" s="1" customFormat="1" ht="11.25"/>
    <row r="95" s="1" customFormat="1" ht="11.25"/>
    <row r="96" s="1" customFormat="1" ht="11.25"/>
    <row r="97" s="1" customFormat="1" ht="11.25"/>
    <row r="98" s="1" customFormat="1" ht="11.25"/>
    <row r="99" s="1" customFormat="1" ht="11.25"/>
    <row r="100" s="1" customFormat="1" ht="11.25"/>
    <row r="101" s="1" customFormat="1" ht="11.25"/>
    <row r="102" s="1" customFormat="1" ht="11.25"/>
    <row r="103" s="1" customFormat="1" ht="11.25"/>
    <row r="104" s="1" customFormat="1" ht="11.25"/>
    <row r="105" s="1" customFormat="1" ht="11.25"/>
    <row r="106" s="1" customFormat="1" ht="11.25"/>
    <row r="107" s="1" customFormat="1" ht="11.25"/>
    <row r="108" s="1" customFormat="1" ht="11.25"/>
    <row r="109" s="1" customFormat="1" ht="11.25"/>
    <row r="110" s="1" customFormat="1" ht="11.25"/>
    <row r="111" s="1" customFormat="1" ht="11.25"/>
    <row r="112" s="1" customFormat="1" ht="11.25"/>
    <row r="113" s="1" customFormat="1" ht="11.25"/>
    <row r="114" s="1" customFormat="1" ht="11.25"/>
    <row r="115" s="1" customFormat="1" ht="11.25"/>
    <row r="116" s="1" customFormat="1" ht="11.25"/>
    <row r="117" s="1" customFormat="1" ht="11.25"/>
    <row r="118" s="1" customFormat="1" ht="11.25"/>
    <row r="119" s="1" customFormat="1" ht="11.25"/>
    <row r="120" s="1" customFormat="1" ht="11.25"/>
    <row r="121" s="1" customFormat="1" ht="11.25"/>
    <row r="122" s="1" customFormat="1" ht="11.25"/>
    <row r="123" s="1" customFormat="1" ht="11.25"/>
    <row r="124" s="1" customFormat="1" ht="11.25"/>
    <row r="125" s="1" customFormat="1" ht="11.25"/>
    <row r="126" s="1" customFormat="1" ht="11.25"/>
    <row r="127" s="1" customFormat="1" ht="11.25"/>
    <row r="128" s="1" customFormat="1" ht="11.25"/>
    <row r="129" s="1" customFormat="1" ht="11.25"/>
    <row r="130" s="1" customFormat="1" ht="11.25"/>
    <row r="131" s="1" customFormat="1" ht="11.25"/>
    <row r="132" s="1" customFormat="1" ht="11.25"/>
    <row r="133" s="1" customFormat="1" ht="11.25"/>
    <row r="134" s="1" customFormat="1" ht="11.25"/>
    <row r="135" s="1" customFormat="1" ht="11.25"/>
    <row r="136" s="1" customFormat="1" ht="11.25"/>
    <row r="137" s="1" customFormat="1" ht="11.25"/>
    <row r="138" s="1" customFormat="1" ht="11.25"/>
    <row r="139" s="1" customFormat="1" ht="11.25"/>
    <row r="140" s="1" customFormat="1" ht="11.25"/>
    <row r="141" s="1" customFormat="1" ht="11.25"/>
    <row r="142" s="1" customFormat="1" ht="11.25"/>
    <row r="143" s="1" customFormat="1" ht="11.25"/>
    <row r="144" s="1" customFormat="1" ht="11.25"/>
    <row r="145" s="1" customFormat="1" ht="11.25"/>
    <row r="146" s="1" customFormat="1" ht="11.25"/>
    <row r="147" s="1" customFormat="1" ht="11.25"/>
    <row r="148" s="1" customFormat="1" ht="11.25"/>
    <row r="149" s="1" customFormat="1" ht="11.25"/>
    <row r="150" s="1" customFormat="1" ht="11.25"/>
    <row r="151" s="1" customFormat="1" ht="11.25"/>
    <row r="152" s="1" customFormat="1" ht="11.25"/>
    <row r="153" s="1" customFormat="1" ht="11.25"/>
    <row r="154" s="1" customFormat="1" ht="11.25"/>
    <row r="155" s="1" customFormat="1" ht="11.25"/>
    <row r="156" s="1" customFormat="1" ht="11.25"/>
    <row r="157" s="1" customFormat="1" ht="11.25"/>
    <row r="158" s="1" customFormat="1" ht="11.25"/>
    <row r="159" s="1" customFormat="1" ht="11.25"/>
    <row r="160" s="1" customFormat="1" ht="11.25"/>
    <row r="161" s="1" customFormat="1" ht="11.25"/>
    <row r="162" s="1" customFormat="1" ht="11.25"/>
    <row r="163" s="1" customFormat="1" ht="11.25"/>
    <row r="164" s="1" customFormat="1" ht="11.25"/>
    <row r="165" s="1" customFormat="1" ht="11.25"/>
    <row r="166" s="1" customFormat="1" ht="11.25"/>
    <row r="167" s="1" customFormat="1" ht="11.25"/>
    <row r="168" s="1" customFormat="1" ht="11.25"/>
    <row r="169" s="1" customFormat="1" ht="11.25"/>
    <row r="170" s="1" customFormat="1" ht="11.25"/>
    <row r="171" s="1" customFormat="1" ht="11.25"/>
    <row r="172" s="1" customFormat="1" ht="11.25"/>
    <row r="173" s="1" customFormat="1" ht="11.25"/>
    <row r="174" s="1" customFormat="1" ht="11.25"/>
    <row r="175" s="1" customFormat="1" ht="11.25"/>
    <row r="176" s="1" customFormat="1" ht="11.25"/>
    <row r="177" s="1" customFormat="1" ht="11.25"/>
  </sheetData>
  <mergeCells count="23">
    <mergeCell ref="A38:A40"/>
    <mergeCell ref="A45:A46"/>
    <mergeCell ref="B45:B46"/>
    <mergeCell ref="C45:C46"/>
    <mergeCell ref="B32:B33"/>
    <mergeCell ref="C32:C33"/>
    <mergeCell ref="B38:B39"/>
    <mergeCell ref="C38:C39"/>
    <mergeCell ref="B36:B37"/>
    <mergeCell ref="C36:C37"/>
    <mergeCell ref="A30:A37"/>
    <mergeCell ref="A24:A25"/>
    <mergeCell ref="A21:N21"/>
    <mergeCell ref="B24:B25"/>
    <mergeCell ref="C24:C25"/>
    <mergeCell ref="B30:B31"/>
    <mergeCell ref="C30:C31"/>
    <mergeCell ref="B26:B27"/>
    <mergeCell ref="C26:C27"/>
    <mergeCell ref="A26:A27"/>
    <mergeCell ref="B28:B29"/>
    <mergeCell ref="C28:C29"/>
    <mergeCell ref="A28:A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selection activeCell="L34" sqref="L34"/>
    </sheetView>
  </sheetViews>
  <sheetFormatPr defaultRowHeight="15"/>
  <cols>
    <col min="1" max="1" width="5" style="11" bestFit="1" customWidth="1"/>
    <col min="2" max="2" width="7" style="11" bestFit="1" customWidth="1"/>
    <col min="3" max="3" width="3.88671875" style="11" bestFit="1" customWidth="1"/>
    <col min="4" max="4" width="7" style="11" bestFit="1" customWidth="1"/>
    <col min="5" max="8" width="3.88671875" style="11" bestFit="1" customWidth="1"/>
    <col min="9" max="10" width="7" style="11" bestFit="1" customWidth="1"/>
    <col min="11" max="11" width="4.88671875" style="11" bestFit="1" customWidth="1"/>
    <col min="12" max="13" width="7" style="11" bestFit="1" customWidth="1"/>
    <col min="14" max="14" width="8.109375" style="11" bestFit="1" customWidth="1"/>
    <col min="15" max="15" width="7.21875" style="11" bestFit="1" customWidth="1"/>
    <col min="16" max="16" width="6.21875" style="11" customWidth="1"/>
    <col min="17" max="17" width="8.88671875" style="11"/>
    <col min="18" max="18" width="9" style="11" bestFit="1" customWidth="1"/>
    <col min="19" max="16384" width="8.88671875" style="11"/>
  </cols>
  <sheetData>
    <row r="1" spans="1:26" ht="12.75" customHeight="1">
      <c r="A1" s="22"/>
      <c r="B1" s="23" t="s">
        <v>4</v>
      </c>
      <c r="C1" s="24" t="s">
        <v>5</v>
      </c>
      <c r="D1" s="23" t="s">
        <v>6</v>
      </c>
      <c r="E1" s="25" t="s">
        <v>7</v>
      </c>
      <c r="F1" s="23" t="s">
        <v>2</v>
      </c>
      <c r="G1" s="24" t="s">
        <v>8</v>
      </c>
      <c r="H1" s="23" t="s">
        <v>9</v>
      </c>
      <c r="I1" s="25" t="s">
        <v>10</v>
      </c>
      <c r="J1" s="23" t="s">
        <v>11</v>
      </c>
      <c r="K1" s="24" t="s">
        <v>12</v>
      </c>
      <c r="L1" s="23" t="s">
        <v>13</v>
      </c>
      <c r="M1" s="25" t="s">
        <v>14</v>
      </c>
      <c r="N1" s="21" t="s">
        <v>3</v>
      </c>
    </row>
    <row r="2" spans="1:26">
      <c r="A2" s="12">
        <v>1998</v>
      </c>
      <c r="B2" s="13"/>
      <c r="C2" s="13"/>
      <c r="D2" s="13"/>
      <c r="E2" s="13"/>
      <c r="F2" s="13"/>
      <c r="G2" s="13"/>
      <c r="H2" s="13"/>
      <c r="I2" s="38"/>
      <c r="J2" s="38"/>
      <c r="K2" s="38"/>
      <c r="L2" s="38"/>
      <c r="M2" s="38"/>
      <c r="N2" s="38">
        <f t="shared" ref="N2:N17" si="0">SUM(B2:M2)</f>
        <v>0</v>
      </c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14">
        <v>1999</v>
      </c>
      <c r="B3" s="20"/>
      <c r="C3" s="20"/>
      <c r="D3" s="20">
        <v>1.47</v>
      </c>
      <c r="E3" s="20"/>
      <c r="F3" s="20"/>
      <c r="G3" s="20"/>
      <c r="H3" s="20"/>
      <c r="I3" s="20"/>
      <c r="J3" s="20"/>
      <c r="K3" s="20"/>
      <c r="L3" s="20"/>
      <c r="M3" s="20"/>
      <c r="N3" s="38">
        <f t="shared" si="0"/>
        <v>1.47</v>
      </c>
      <c r="O3" s="17"/>
      <c r="S3" s="17"/>
      <c r="T3" s="17"/>
      <c r="U3" s="17"/>
      <c r="V3" s="17"/>
      <c r="W3" s="17"/>
      <c r="X3" s="17"/>
      <c r="Y3" s="17"/>
      <c r="Z3" s="17"/>
    </row>
    <row r="4" spans="1:26">
      <c r="A4" s="14">
        <v>2000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>
        <v>0.02</v>
      </c>
      <c r="M4" s="20">
        <v>0.73</v>
      </c>
      <c r="N4" s="38">
        <f t="shared" si="0"/>
        <v>0.75</v>
      </c>
      <c r="O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14">
        <v>2001</v>
      </c>
      <c r="B5" s="20"/>
      <c r="C5" s="20"/>
      <c r="D5" s="20"/>
      <c r="E5" s="20"/>
      <c r="F5" s="20"/>
      <c r="G5" s="20"/>
      <c r="H5" s="20"/>
      <c r="I5" s="20">
        <v>0.01</v>
      </c>
      <c r="J5" s="20"/>
      <c r="K5" s="20"/>
      <c r="L5" s="20"/>
      <c r="M5" s="20"/>
      <c r="N5" s="38">
        <f t="shared" si="0"/>
        <v>0.01</v>
      </c>
      <c r="O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4">
        <v>2002</v>
      </c>
      <c r="B6" s="20"/>
      <c r="C6" s="20"/>
      <c r="D6" s="20"/>
      <c r="E6" s="20"/>
      <c r="F6" s="20"/>
      <c r="G6" s="20"/>
      <c r="H6" s="20"/>
      <c r="I6" s="20"/>
      <c r="J6" s="20">
        <v>0.1</v>
      </c>
      <c r="K6" s="20"/>
      <c r="L6" s="20"/>
      <c r="M6" s="20"/>
      <c r="N6" s="38">
        <f t="shared" si="0"/>
        <v>0.1</v>
      </c>
      <c r="O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4">
        <v>2003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38">
        <f t="shared" si="0"/>
        <v>0</v>
      </c>
      <c r="O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>
      <c r="A8" s="14">
        <v>2004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8">
        <f t="shared" si="0"/>
        <v>0</v>
      </c>
      <c r="O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4">
        <v>2005</v>
      </c>
      <c r="B9" s="20"/>
      <c r="C9" s="20"/>
      <c r="D9" s="20"/>
      <c r="E9" s="20"/>
      <c r="F9" s="20"/>
      <c r="G9" s="20"/>
      <c r="H9" s="20"/>
      <c r="I9" s="20"/>
      <c r="J9" s="20">
        <v>0.03</v>
      </c>
      <c r="K9" s="20"/>
      <c r="L9" s="20"/>
      <c r="M9" s="20">
        <v>0.1</v>
      </c>
      <c r="N9" s="38">
        <f t="shared" si="0"/>
        <v>0.13</v>
      </c>
      <c r="O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14">
        <v>2006</v>
      </c>
      <c r="B10" s="20"/>
      <c r="C10" s="20"/>
      <c r="D10" s="20">
        <v>0.13</v>
      </c>
      <c r="E10" s="20"/>
      <c r="F10" s="20"/>
      <c r="G10" s="20"/>
      <c r="H10" s="20"/>
      <c r="I10" s="20"/>
      <c r="J10" s="20"/>
      <c r="K10" s="20"/>
      <c r="L10" s="20"/>
      <c r="M10" s="20"/>
      <c r="N10" s="38">
        <f t="shared" si="0"/>
        <v>0.13</v>
      </c>
      <c r="O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>
      <c r="A11" s="14">
        <v>2007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8">
        <f t="shared" si="0"/>
        <v>0</v>
      </c>
      <c r="O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>
      <c r="A12" s="14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8">
        <f t="shared" si="0"/>
        <v>0</v>
      </c>
      <c r="O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>
      <c r="A13" s="14">
        <v>2009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8">
        <f t="shared" si="0"/>
        <v>0</v>
      </c>
      <c r="O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>
      <c r="A14" s="14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8">
        <f t="shared" si="0"/>
        <v>0</v>
      </c>
      <c r="O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14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8">
        <f t="shared" si="0"/>
        <v>0</v>
      </c>
      <c r="O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14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8">
        <f t="shared" si="0"/>
        <v>0</v>
      </c>
      <c r="O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16" ht="15.75">
      <c r="A17" s="14">
        <v>2013</v>
      </c>
      <c r="B17" s="20"/>
      <c r="C17" s="20"/>
      <c r="D17" s="20"/>
      <c r="E17" s="20"/>
      <c r="F17" s="20"/>
      <c r="G17" s="15"/>
      <c r="H17" s="15"/>
      <c r="I17" s="15"/>
      <c r="J17" s="15"/>
      <c r="K17" s="15"/>
      <c r="L17" s="15"/>
      <c r="M17" s="15"/>
      <c r="N17" s="38">
        <f t="shared" si="0"/>
        <v>0</v>
      </c>
      <c r="O17" s="16" t="s">
        <v>1</v>
      </c>
      <c r="P17" s="16" t="s">
        <v>2</v>
      </c>
    </row>
    <row r="18" spans="1:16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6">
        <f>SUM(N2:N17)</f>
        <v>2.5899999999999994</v>
      </c>
    </row>
    <row r="22" spans="1:16" ht="15.75" customHeight="1">
      <c r="A22" s="536" t="s">
        <v>194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</row>
    <row r="23" spans="1:16" ht="1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</sheetData>
  <mergeCells count="1">
    <mergeCell ref="A22:N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A22" sqref="A22:N22"/>
    </sheetView>
  </sheetViews>
  <sheetFormatPr defaultRowHeight="15"/>
  <cols>
    <col min="1" max="1" width="5" style="11" bestFit="1" customWidth="1"/>
    <col min="2" max="2" width="7" style="11" bestFit="1" customWidth="1"/>
    <col min="3" max="3" width="3.88671875" style="11" bestFit="1" customWidth="1"/>
    <col min="4" max="4" width="7" style="11" bestFit="1" customWidth="1"/>
    <col min="5" max="5" width="9" style="11" bestFit="1" customWidth="1"/>
    <col min="6" max="6" width="3.88671875" style="11" bestFit="1" customWidth="1"/>
    <col min="7" max="7" width="10.44140625" style="11" bestFit="1" customWidth="1"/>
    <col min="8" max="8" width="3.88671875" style="11" bestFit="1" customWidth="1"/>
    <col min="9" max="9" width="9" style="11" bestFit="1" customWidth="1"/>
    <col min="10" max="10" width="8" style="11" bestFit="1" customWidth="1"/>
    <col min="11" max="11" width="7" style="11" bestFit="1" customWidth="1"/>
    <col min="12" max="12" width="9" style="11" bestFit="1" customWidth="1"/>
    <col min="13" max="13" width="8" style="11" bestFit="1" customWidth="1"/>
    <col min="14" max="14" width="10.44140625" style="11" bestFit="1" customWidth="1"/>
    <col min="15" max="15" width="7.21875" style="11" bestFit="1" customWidth="1"/>
    <col min="16" max="16" width="7" style="11" bestFit="1" customWidth="1"/>
    <col min="17" max="17" width="8.88671875" style="11"/>
    <col min="18" max="18" width="19.77734375" style="11" bestFit="1" customWidth="1"/>
    <col min="19" max="16384" width="8.88671875" style="11"/>
  </cols>
  <sheetData>
    <row r="1" spans="1:18" ht="15.75" thickBot="1">
      <c r="A1" s="51"/>
      <c r="B1" s="52" t="s">
        <v>4</v>
      </c>
      <c r="C1" s="53" t="s">
        <v>5</v>
      </c>
      <c r="D1" s="52" t="s">
        <v>6</v>
      </c>
      <c r="E1" s="54" t="s">
        <v>7</v>
      </c>
      <c r="F1" s="52" t="s">
        <v>2</v>
      </c>
      <c r="G1" s="53" t="s">
        <v>8</v>
      </c>
      <c r="H1" s="52" t="s">
        <v>9</v>
      </c>
      <c r="I1" s="54" t="s">
        <v>10</v>
      </c>
      <c r="J1" s="52" t="s">
        <v>11</v>
      </c>
      <c r="K1" s="53" t="s">
        <v>12</v>
      </c>
      <c r="L1" s="52" t="s">
        <v>13</v>
      </c>
      <c r="M1" s="54" t="s">
        <v>14</v>
      </c>
      <c r="N1" s="55" t="s">
        <v>3</v>
      </c>
    </row>
    <row r="2" spans="1:18">
      <c r="A2" s="12">
        <v>1998</v>
      </c>
      <c r="B2" s="13"/>
      <c r="C2" s="13"/>
      <c r="D2" s="13"/>
      <c r="E2" s="13"/>
      <c r="F2" s="13"/>
      <c r="G2" s="13"/>
      <c r="H2" s="13"/>
      <c r="I2" s="38"/>
      <c r="J2" s="38"/>
      <c r="K2" s="38"/>
      <c r="L2" s="38"/>
      <c r="M2" s="38"/>
      <c r="N2" s="38">
        <f t="shared" ref="N2:N17" si="0">SUM(B2:M2)</f>
        <v>0</v>
      </c>
    </row>
    <row r="3" spans="1:18">
      <c r="A3" s="14">
        <v>1999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38">
        <f t="shared" si="0"/>
        <v>0</v>
      </c>
      <c r="O3" s="17"/>
    </row>
    <row r="4" spans="1:18">
      <c r="A4" s="14">
        <v>2000</v>
      </c>
      <c r="B4" s="20"/>
      <c r="C4" s="20"/>
      <c r="D4" s="20"/>
      <c r="E4" s="20"/>
      <c r="F4" s="20"/>
      <c r="G4" s="20"/>
      <c r="H4" s="20"/>
      <c r="I4" s="20"/>
      <c r="J4" s="20"/>
      <c r="K4" s="20">
        <v>2.93</v>
      </c>
      <c r="L4" s="20"/>
      <c r="M4" s="20"/>
      <c r="N4" s="38">
        <f t="shared" si="0"/>
        <v>2.93</v>
      </c>
      <c r="O4" s="17"/>
    </row>
    <row r="5" spans="1:18">
      <c r="A5" s="14">
        <v>2001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8">
        <f t="shared" si="0"/>
        <v>0</v>
      </c>
      <c r="O5" s="17"/>
    </row>
    <row r="6" spans="1:18">
      <c r="A6" s="14">
        <v>2002</v>
      </c>
      <c r="B6" s="20"/>
      <c r="C6" s="20"/>
      <c r="D6" s="20"/>
      <c r="E6" s="20"/>
      <c r="F6" s="20"/>
      <c r="G6" s="20"/>
      <c r="H6" s="20"/>
      <c r="I6" s="20">
        <v>258.76</v>
      </c>
      <c r="J6" s="20"/>
      <c r="K6" s="20"/>
      <c r="L6" s="20"/>
      <c r="M6" s="20"/>
      <c r="N6" s="38">
        <f t="shared" si="0"/>
        <v>258.76</v>
      </c>
      <c r="O6" s="17"/>
    </row>
    <row r="7" spans="1:18">
      <c r="A7" s="14">
        <v>2003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38">
        <f t="shared" si="0"/>
        <v>0</v>
      </c>
      <c r="O7" s="17"/>
    </row>
    <row r="8" spans="1:18">
      <c r="A8" s="14">
        <v>2004</v>
      </c>
      <c r="B8" s="42"/>
      <c r="C8" s="42"/>
      <c r="D8" s="42"/>
      <c r="E8" s="42">
        <v>300.93</v>
      </c>
      <c r="F8" s="42"/>
      <c r="G8" s="42"/>
      <c r="H8" s="42"/>
      <c r="I8" s="42"/>
      <c r="J8" s="42"/>
      <c r="K8" s="42"/>
      <c r="L8" s="42"/>
      <c r="M8" s="42">
        <v>1.47</v>
      </c>
      <c r="N8" s="38">
        <f t="shared" si="0"/>
        <v>302.40000000000003</v>
      </c>
      <c r="O8" s="17"/>
    </row>
    <row r="9" spans="1:18">
      <c r="A9" s="14">
        <v>2005</v>
      </c>
      <c r="B9" s="20"/>
      <c r="C9" s="20"/>
      <c r="D9" s="20"/>
      <c r="E9" s="20">
        <v>0.18</v>
      </c>
      <c r="F9" s="20"/>
      <c r="G9" s="20">
        <v>1</v>
      </c>
      <c r="H9" s="20"/>
      <c r="I9" s="20"/>
      <c r="J9" s="20"/>
      <c r="K9" s="20"/>
      <c r="L9" s="42"/>
      <c r="M9" s="20"/>
      <c r="N9" s="38">
        <f t="shared" si="0"/>
        <v>1.18</v>
      </c>
      <c r="O9" s="17"/>
    </row>
    <row r="10" spans="1:18">
      <c r="A10" s="14">
        <v>2006</v>
      </c>
      <c r="B10" s="20">
        <v>2.5099999999999998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8">
        <f t="shared" si="0"/>
        <v>2.5099999999999998</v>
      </c>
      <c r="O10" s="17"/>
    </row>
    <row r="11" spans="1:18">
      <c r="A11" s="14">
        <v>2007</v>
      </c>
      <c r="B11" s="20"/>
      <c r="C11" s="20"/>
      <c r="D11" s="20"/>
      <c r="E11" s="20"/>
      <c r="F11" s="20"/>
      <c r="G11" s="20">
        <v>1290.07</v>
      </c>
      <c r="H11" s="50"/>
      <c r="I11" s="50"/>
      <c r="J11" s="20"/>
      <c r="K11" s="20">
        <v>0.12</v>
      </c>
      <c r="L11" s="50"/>
      <c r="M11" s="20"/>
      <c r="N11" s="38">
        <f t="shared" si="0"/>
        <v>1290.1899999999998</v>
      </c>
      <c r="O11" s="17"/>
      <c r="R11" s="56" t="s">
        <v>45</v>
      </c>
    </row>
    <row r="12" spans="1:18">
      <c r="A12" s="14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8">
        <f t="shared" si="0"/>
        <v>0</v>
      </c>
      <c r="O12" s="17"/>
    </row>
    <row r="13" spans="1:18">
      <c r="A13" s="14">
        <v>2009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8">
        <f t="shared" si="0"/>
        <v>0</v>
      </c>
      <c r="O13" s="17"/>
    </row>
    <row r="14" spans="1:18">
      <c r="A14" s="14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8">
        <f t="shared" si="0"/>
        <v>0</v>
      </c>
      <c r="O14" s="17"/>
    </row>
    <row r="15" spans="1:18">
      <c r="A15" s="14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8">
        <f t="shared" si="0"/>
        <v>0</v>
      </c>
      <c r="O15" s="17"/>
    </row>
    <row r="16" spans="1:18">
      <c r="A16" s="14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8">
        <f t="shared" si="0"/>
        <v>0</v>
      </c>
      <c r="O16" s="17"/>
    </row>
    <row r="17" spans="1:15">
      <c r="A17" s="14">
        <v>2013</v>
      </c>
      <c r="B17" s="20"/>
      <c r="C17" s="20"/>
      <c r="D17" s="20"/>
      <c r="E17" s="20"/>
      <c r="F17" s="20"/>
      <c r="G17" s="15"/>
      <c r="H17" s="15"/>
      <c r="I17" s="15"/>
      <c r="J17" s="15"/>
      <c r="K17" s="15"/>
      <c r="L17" s="15"/>
      <c r="M17" s="15"/>
      <c r="N17" s="38">
        <f t="shared" si="0"/>
        <v>0</v>
      </c>
      <c r="O17" s="17"/>
    </row>
    <row r="18" spans="1: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6">
        <f>SUM(N2:N17)</f>
        <v>1857.9699999999998</v>
      </c>
      <c r="O18" s="17"/>
    </row>
    <row r="19" spans="1:15">
      <c r="O19" s="17"/>
    </row>
    <row r="20" spans="1:15">
      <c r="O20" s="17"/>
    </row>
    <row r="22" spans="1:15" ht="15.75" customHeight="1">
      <c r="A22" s="536" t="s">
        <v>550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</row>
    <row r="23" spans="1:15" ht="1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</sheetData>
  <mergeCells count="1">
    <mergeCell ref="A22:N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138"/>
  <sheetViews>
    <sheetView workbookViewId="0">
      <pane ySplit="1" topLeftCell="A8" activePane="bottomLeft" state="frozen"/>
      <selection pane="bottomLeft" activeCell="N30" sqref="N30"/>
    </sheetView>
  </sheetViews>
  <sheetFormatPr defaultRowHeight="15"/>
  <cols>
    <col min="1" max="1" width="5" style="11" bestFit="1" customWidth="1"/>
    <col min="2" max="2" width="9.77734375" style="11" bestFit="1" customWidth="1"/>
    <col min="3" max="3" width="7.21875" style="11" bestFit="1" customWidth="1"/>
    <col min="4" max="4" width="6.44140625" style="11" bestFit="1" customWidth="1"/>
    <col min="5" max="5" width="7.21875" style="11" bestFit="1" customWidth="1"/>
    <col min="6" max="6" width="6.44140625" style="11" bestFit="1" customWidth="1"/>
    <col min="7" max="7" width="7.44140625" style="11" customWidth="1"/>
    <col min="8" max="13" width="6.44140625" style="11" bestFit="1" customWidth="1"/>
    <col min="14" max="14" width="8.44140625" style="11" bestFit="1" customWidth="1"/>
    <col min="15" max="15" width="7.44140625" style="11" bestFit="1" customWidth="1"/>
    <col min="16" max="16" width="3.21875" style="11" bestFit="1" customWidth="1"/>
    <col min="17" max="17" width="4.6640625" style="11" bestFit="1" customWidth="1"/>
    <col min="18" max="18" width="5.6640625" style="11" bestFit="1" customWidth="1"/>
    <col min="19" max="19" width="4.6640625" style="11" customWidth="1"/>
    <col min="20" max="20" width="5.6640625" style="11" bestFit="1" customWidth="1"/>
    <col min="21" max="22" width="4.6640625" style="11" bestFit="1" customWidth="1"/>
    <col min="23" max="23" width="8" style="11" bestFit="1" customWidth="1"/>
    <col min="24" max="24" width="4.6640625" style="11" bestFit="1" customWidth="1"/>
    <col min="25" max="25" width="9.33203125" style="11" bestFit="1" customWidth="1"/>
    <col min="26" max="28" width="4.6640625" style="11" bestFit="1" customWidth="1"/>
    <col min="29" max="29" width="5.6640625" style="11" bestFit="1" customWidth="1"/>
    <col min="30" max="16384" width="8.88671875" style="11"/>
  </cols>
  <sheetData>
    <row r="1" spans="1:29" ht="12.75" customHeight="1" thickBot="1">
      <c r="A1" s="66"/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408" t="s">
        <v>3</v>
      </c>
      <c r="O1" s="408" t="s">
        <v>241</v>
      </c>
      <c r="P1" s="4"/>
      <c r="Q1" s="307">
        <v>1</v>
      </c>
      <c r="R1" s="307">
        <v>2</v>
      </c>
      <c r="S1" s="307">
        <v>3</v>
      </c>
      <c r="T1" s="307">
        <v>4</v>
      </c>
      <c r="U1" s="307">
        <v>5</v>
      </c>
      <c r="V1" s="307">
        <v>6</v>
      </c>
      <c r="W1" s="307">
        <v>7</v>
      </c>
      <c r="X1" s="307">
        <v>8</v>
      </c>
      <c r="Y1" s="307">
        <v>9</v>
      </c>
      <c r="Z1" s="307">
        <v>10</v>
      </c>
      <c r="AA1" s="307">
        <v>11</v>
      </c>
      <c r="AB1" s="307">
        <v>12</v>
      </c>
      <c r="AC1" s="1"/>
    </row>
    <row r="2" spans="1:29">
      <c r="A2" s="8">
        <v>1998</v>
      </c>
      <c r="B2" s="409"/>
      <c r="C2" s="409"/>
      <c r="D2" s="409"/>
      <c r="E2" s="409"/>
      <c r="F2" s="409"/>
      <c r="G2" s="409"/>
      <c r="H2" s="409"/>
      <c r="I2" s="70"/>
      <c r="J2" s="70"/>
      <c r="K2" s="70">
        <v>16.68</v>
      </c>
      <c r="L2" s="70"/>
      <c r="M2" s="70"/>
      <c r="N2" s="70">
        <f t="shared" ref="N2:N17" si="0">SUM(B2:M2)</f>
        <v>16.68</v>
      </c>
      <c r="O2" s="72">
        <f>AC2</f>
        <v>388</v>
      </c>
      <c r="P2" s="4"/>
      <c r="Q2" s="292"/>
      <c r="R2" s="292"/>
      <c r="S2" s="292"/>
      <c r="T2" s="292"/>
      <c r="U2" s="292"/>
      <c r="V2" s="292"/>
      <c r="W2" s="292"/>
      <c r="X2" s="292"/>
      <c r="Y2" s="292"/>
      <c r="Z2" s="292">
        <v>388</v>
      </c>
      <c r="AA2" s="292"/>
      <c r="AB2" s="292"/>
      <c r="AC2" s="297">
        <f>SUM(Q2:AB2)</f>
        <v>388</v>
      </c>
    </row>
    <row r="3" spans="1:29">
      <c r="A3" s="3">
        <v>1999</v>
      </c>
      <c r="B3" s="5"/>
      <c r="C3" s="5"/>
      <c r="D3" s="5"/>
      <c r="E3" s="5"/>
      <c r="F3" s="5"/>
      <c r="G3" s="5">
        <v>5.58</v>
      </c>
      <c r="H3" s="5"/>
      <c r="I3" s="5">
        <v>5.71</v>
      </c>
      <c r="J3" s="5"/>
      <c r="K3" s="5"/>
      <c r="L3" s="5"/>
      <c r="M3" s="5"/>
      <c r="N3" s="70">
        <f t="shared" si="0"/>
        <v>11.29</v>
      </c>
      <c r="O3" s="132">
        <f t="shared" ref="O3:O17" si="1">AC3</f>
        <v>224</v>
      </c>
      <c r="P3" s="4"/>
      <c r="Q3" s="292"/>
      <c r="R3" s="292"/>
      <c r="S3" s="292"/>
      <c r="T3" s="292"/>
      <c r="U3" s="292"/>
      <c r="V3" s="292">
        <v>113</v>
      </c>
      <c r="W3" s="292"/>
      <c r="X3" s="292">
        <v>111</v>
      </c>
      <c r="Y3" s="292"/>
      <c r="Z3" s="292"/>
      <c r="AA3" s="292"/>
      <c r="AB3" s="292"/>
      <c r="AC3" s="297">
        <f t="shared" ref="AC3:AC17" si="2">SUM(Q3:AB3)</f>
        <v>224</v>
      </c>
    </row>
    <row r="4" spans="1:29">
      <c r="A4" s="3">
        <v>2000</v>
      </c>
      <c r="B4" s="5"/>
      <c r="C4" s="5"/>
      <c r="D4" s="5">
        <v>1.58</v>
      </c>
      <c r="E4" s="5"/>
      <c r="F4" s="5"/>
      <c r="G4" s="5"/>
      <c r="H4" s="5"/>
      <c r="I4" s="5">
        <v>1.59</v>
      </c>
      <c r="J4" s="5"/>
      <c r="K4" s="5"/>
      <c r="L4" s="5">
        <v>13.55</v>
      </c>
      <c r="M4" s="5">
        <v>4.5199999999999996</v>
      </c>
      <c r="N4" s="70">
        <f t="shared" si="0"/>
        <v>21.24</v>
      </c>
      <c r="O4" s="132">
        <f t="shared" si="1"/>
        <v>336</v>
      </c>
      <c r="P4" s="4"/>
      <c r="Q4" s="292"/>
      <c r="R4" s="292"/>
      <c r="S4" s="292">
        <v>27</v>
      </c>
      <c r="T4" s="292"/>
      <c r="U4" s="292"/>
      <c r="V4" s="292"/>
      <c r="W4" s="292"/>
      <c r="X4" s="292">
        <v>26</v>
      </c>
      <c r="Y4" s="292"/>
      <c r="Z4" s="292"/>
      <c r="AA4" s="292">
        <v>213</v>
      </c>
      <c r="AB4" s="292">
        <v>70</v>
      </c>
      <c r="AC4" s="297">
        <f t="shared" si="2"/>
        <v>336</v>
      </c>
    </row>
    <row r="5" spans="1:29" s="45" customFormat="1">
      <c r="A5" s="91">
        <v>2001</v>
      </c>
      <c r="B5" s="5"/>
      <c r="C5" s="5"/>
      <c r="D5" s="5"/>
      <c r="E5" s="5">
        <v>20.079999999999998</v>
      </c>
      <c r="F5" s="5"/>
      <c r="G5" s="5">
        <v>1.1499999999999999</v>
      </c>
      <c r="H5" s="5">
        <v>1.59</v>
      </c>
      <c r="I5" s="5">
        <v>11.56</v>
      </c>
      <c r="J5" s="5">
        <v>3.09</v>
      </c>
      <c r="K5" s="5"/>
      <c r="L5" s="5">
        <v>10.86</v>
      </c>
      <c r="M5" s="5">
        <v>6.65</v>
      </c>
      <c r="N5" s="70">
        <f t="shared" si="0"/>
        <v>54.98</v>
      </c>
      <c r="O5" s="132">
        <f t="shared" si="1"/>
        <v>787</v>
      </c>
      <c r="P5" s="4"/>
      <c r="Q5" s="292"/>
      <c r="R5" s="292"/>
      <c r="S5" s="292"/>
      <c r="T5" s="292">
        <v>298</v>
      </c>
      <c r="U5" s="292"/>
      <c r="V5" s="292">
        <v>17</v>
      </c>
      <c r="W5" s="292">
        <v>23</v>
      </c>
      <c r="X5" s="292">
        <v>165</v>
      </c>
      <c r="Y5" s="292">
        <v>43</v>
      </c>
      <c r="Z5" s="292"/>
      <c r="AA5" s="292">
        <v>150</v>
      </c>
      <c r="AB5" s="292">
        <v>91</v>
      </c>
      <c r="AC5" s="297">
        <f t="shared" si="2"/>
        <v>787</v>
      </c>
    </row>
    <row r="6" spans="1:29" s="45" customFormat="1">
      <c r="A6" s="91">
        <v>2002</v>
      </c>
      <c r="B6" s="5"/>
      <c r="C6" s="5"/>
      <c r="D6" s="5">
        <v>3.16</v>
      </c>
      <c r="E6" s="5"/>
      <c r="F6" s="5"/>
      <c r="G6" s="5"/>
      <c r="H6" s="5">
        <v>41.8</v>
      </c>
      <c r="I6" s="5"/>
      <c r="J6" s="5">
        <v>14.08</v>
      </c>
      <c r="K6" s="5">
        <v>4.8600000000000003</v>
      </c>
      <c r="L6" s="5">
        <v>7.36</v>
      </c>
      <c r="M6" s="5"/>
      <c r="N6" s="70">
        <f t="shared" si="0"/>
        <v>71.259999999999991</v>
      </c>
      <c r="O6" s="132">
        <f t="shared" si="1"/>
        <v>908</v>
      </c>
      <c r="P6" s="4"/>
      <c r="Q6" s="292"/>
      <c r="R6" s="292"/>
      <c r="S6" s="292">
        <v>42</v>
      </c>
      <c r="T6" s="292"/>
      <c r="U6" s="292"/>
      <c r="V6" s="292"/>
      <c r="W6" s="292">
        <v>537</v>
      </c>
      <c r="X6" s="292"/>
      <c r="Y6" s="292">
        <v>178</v>
      </c>
      <c r="Z6" s="292">
        <v>60</v>
      </c>
      <c r="AA6" s="292">
        <v>91</v>
      </c>
      <c r="AB6" s="292"/>
      <c r="AC6" s="297">
        <f t="shared" si="2"/>
        <v>908</v>
      </c>
    </row>
    <row r="7" spans="1:29" s="45" customFormat="1">
      <c r="A7" s="91">
        <v>2003</v>
      </c>
      <c r="B7" s="86"/>
      <c r="C7" s="86"/>
      <c r="D7" s="86"/>
      <c r="E7" s="86"/>
      <c r="F7" s="86">
        <v>10.24</v>
      </c>
      <c r="G7" s="5"/>
      <c r="H7" s="86"/>
      <c r="I7" s="86">
        <v>30.86</v>
      </c>
      <c r="J7" s="86"/>
      <c r="K7" s="86">
        <v>3.16</v>
      </c>
      <c r="L7" s="86">
        <v>2.15</v>
      </c>
      <c r="M7" s="86">
        <v>26.12</v>
      </c>
      <c r="N7" s="70">
        <f t="shared" ref="N7" si="3">SUM(B7:M7)</f>
        <v>72.53</v>
      </c>
      <c r="O7" s="132">
        <f t="shared" si="1"/>
        <v>824</v>
      </c>
      <c r="P7" s="4"/>
      <c r="Q7" s="292"/>
      <c r="R7" s="292"/>
      <c r="S7" s="292"/>
      <c r="T7" s="292"/>
      <c r="U7" s="291">
        <v>120</v>
      </c>
      <c r="V7" s="291"/>
      <c r="W7" s="292"/>
      <c r="X7" s="292">
        <v>354</v>
      </c>
      <c r="Y7" s="291"/>
      <c r="Z7" s="292">
        <v>36</v>
      </c>
      <c r="AA7" s="292">
        <v>24</v>
      </c>
      <c r="AB7" s="291">
        <v>290</v>
      </c>
      <c r="AC7" s="297">
        <f t="shared" si="2"/>
        <v>824</v>
      </c>
    </row>
    <row r="8" spans="1:29" s="45" customFormat="1">
      <c r="A8" s="91">
        <v>2004</v>
      </c>
      <c r="B8" s="86">
        <v>4.3099999999999996</v>
      </c>
      <c r="C8" s="86">
        <v>133.06</v>
      </c>
      <c r="D8" s="86">
        <v>3.99</v>
      </c>
      <c r="E8" s="86"/>
      <c r="F8" s="86">
        <v>1.79</v>
      </c>
      <c r="G8" s="86">
        <v>3.23</v>
      </c>
      <c r="H8" s="86"/>
      <c r="I8" s="86">
        <v>23.5</v>
      </c>
      <c r="J8" s="86">
        <v>27.29</v>
      </c>
      <c r="K8" s="86">
        <v>38.44</v>
      </c>
      <c r="L8" s="86"/>
      <c r="M8" s="86">
        <v>32.32</v>
      </c>
      <c r="N8" s="70">
        <f t="shared" si="0"/>
        <v>267.93</v>
      </c>
      <c r="O8" s="132">
        <f t="shared" si="1"/>
        <v>2885</v>
      </c>
      <c r="P8" s="4"/>
      <c r="Q8" s="297">
        <v>48</v>
      </c>
      <c r="R8" s="297">
        <v>1476</v>
      </c>
      <c r="S8" s="297">
        <v>44</v>
      </c>
      <c r="T8" s="292"/>
      <c r="U8" s="297">
        <v>19</v>
      </c>
      <c r="V8" s="297">
        <v>35</v>
      </c>
      <c r="W8" s="292"/>
      <c r="X8" s="297">
        <v>248</v>
      </c>
      <c r="Y8" s="297">
        <v>286</v>
      </c>
      <c r="Z8" s="297">
        <v>399</v>
      </c>
      <c r="AA8" s="292"/>
      <c r="AB8" s="297">
        <v>330</v>
      </c>
      <c r="AC8" s="297">
        <f t="shared" si="2"/>
        <v>2885</v>
      </c>
    </row>
    <row r="9" spans="1:29" s="45" customFormat="1">
      <c r="A9" s="91">
        <v>2005</v>
      </c>
      <c r="B9" s="5"/>
      <c r="C9" s="5"/>
      <c r="D9" s="5">
        <v>60.47</v>
      </c>
      <c r="E9" s="5"/>
      <c r="F9" s="5">
        <v>47.57</v>
      </c>
      <c r="G9" s="5"/>
      <c r="H9" s="5">
        <v>23.23</v>
      </c>
      <c r="I9" s="5">
        <v>1.83</v>
      </c>
      <c r="J9" s="5">
        <v>5.3</v>
      </c>
      <c r="K9" s="5">
        <v>16.55</v>
      </c>
      <c r="L9" s="5">
        <v>9.5</v>
      </c>
      <c r="M9" s="5">
        <v>11.44</v>
      </c>
      <c r="N9" s="70">
        <f t="shared" si="0"/>
        <v>175.89000000000001</v>
      </c>
      <c r="O9" s="132">
        <f t="shared" si="1"/>
        <v>908</v>
      </c>
      <c r="P9" s="4"/>
      <c r="Q9" s="292"/>
      <c r="R9" s="292"/>
      <c r="S9" s="292">
        <v>397</v>
      </c>
      <c r="T9" s="292"/>
      <c r="U9" s="292">
        <v>461</v>
      </c>
      <c r="V9" s="292"/>
      <c r="W9" s="292"/>
      <c r="X9" s="292">
        <v>50</v>
      </c>
      <c r="Y9" s="292"/>
      <c r="Z9" s="292"/>
      <c r="AA9" s="292"/>
      <c r="AB9" s="292"/>
      <c r="AC9" s="297">
        <f t="shared" si="2"/>
        <v>908</v>
      </c>
    </row>
    <row r="10" spans="1:29" s="45" customFormat="1">
      <c r="A10" s="91">
        <v>2006</v>
      </c>
      <c r="B10" s="5"/>
      <c r="C10" s="5"/>
      <c r="D10" s="5"/>
      <c r="E10" s="5">
        <v>1.1599999999999999</v>
      </c>
      <c r="F10" s="5"/>
      <c r="G10" s="5"/>
      <c r="H10" s="5"/>
      <c r="I10" s="5"/>
      <c r="J10" s="5"/>
      <c r="K10" s="5"/>
      <c r="L10" s="5"/>
      <c r="M10" s="5">
        <v>9.84</v>
      </c>
      <c r="N10" s="70">
        <f t="shared" si="0"/>
        <v>11</v>
      </c>
      <c r="O10" s="132">
        <f t="shared" si="1"/>
        <v>90</v>
      </c>
      <c r="P10" s="4"/>
      <c r="Q10" s="292"/>
      <c r="R10" s="292"/>
      <c r="S10" s="292">
        <v>10</v>
      </c>
      <c r="T10" s="292"/>
      <c r="U10" s="292"/>
      <c r="V10" s="292"/>
      <c r="W10" s="292"/>
      <c r="X10" s="292"/>
      <c r="Y10" s="292"/>
      <c r="Z10" s="292"/>
      <c r="AA10" s="292"/>
      <c r="AB10" s="292">
        <v>80</v>
      </c>
      <c r="AC10" s="297">
        <f t="shared" si="2"/>
        <v>90</v>
      </c>
    </row>
    <row r="11" spans="1:29" s="45" customFormat="1">
      <c r="A11" s="91">
        <v>2007</v>
      </c>
      <c r="B11" s="5">
        <v>25.79</v>
      </c>
      <c r="C11" s="5">
        <v>5.26</v>
      </c>
      <c r="D11" s="5">
        <v>5.38</v>
      </c>
      <c r="E11" s="5"/>
      <c r="F11" s="5"/>
      <c r="G11" s="5"/>
      <c r="H11" s="5">
        <v>16.2</v>
      </c>
      <c r="I11" s="5">
        <v>7.32</v>
      </c>
      <c r="J11" s="5">
        <v>16.32</v>
      </c>
      <c r="K11" s="5">
        <v>6.82</v>
      </c>
      <c r="L11" s="5">
        <v>5.4</v>
      </c>
      <c r="M11" s="5"/>
      <c r="N11" s="70">
        <f t="shared" si="0"/>
        <v>88.490000000000009</v>
      </c>
      <c r="O11" s="132">
        <f t="shared" si="1"/>
        <v>679</v>
      </c>
      <c r="P11" s="4"/>
      <c r="Q11" s="292">
        <v>207</v>
      </c>
      <c r="R11" s="292">
        <v>42</v>
      </c>
      <c r="S11" s="292">
        <v>42</v>
      </c>
      <c r="T11" s="292"/>
      <c r="U11" s="292"/>
      <c r="V11" s="292"/>
      <c r="W11" s="292">
        <v>123</v>
      </c>
      <c r="X11" s="292">
        <v>55</v>
      </c>
      <c r="Y11" s="292">
        <v>121</v>
      </c>
      <c r="Z11" s="292">
        <v>50</v>
      </c>
      <c r="AA11" s="292">
        <v>39</v>
      </c>
      <c r="AB11" s="292"/>
      <c r="AC11" s="297">
        <f t="shared" si="2"/>
        <v>679</v>
      </c>
    </row>
    <row r="12" spans="1:29" s="45" customFormat="1">
      <c r="A12" s="91">
        <v>2008</v>
      </c>
      <c r="B12" s="5"/>
      <c r="C12" s="5"/>
      <c r="D12" s="5"/>
      <c r="E12" s="5"/>
      <c r="F12" s="5"/>
      <c r="G12" s="5"/>
      <c r="H12" s="5"/>
      <c r="I12" s="5">
        <v>9.5</v>
      </c>
      <c r="J12" s="5"/>
      <c r="K12" s="5">
        <v>17.88</v>
      </c>
      <c r="L12" s="5">
        <v>10.8</v>
      </c>
      <c r="M12" s="5"/>
      <c r="N12" s="70">
        <f t="shared" si="0"/>
        <v>38.18</v>
      </c>
      <c r="O12" s="132">
        <f t="shared" si="1"/>
        <v>250</v>
      </c>
      <c r="P12" s="4"/>
      <c r="Q12" s="292"/>
      <c r="R12" s="292"/>
      <c r="S12" s="292"/>
      <c r="T12" s="292"/>
      <c r="U12" s="292"/>
      <c r="V12" s="292"/>
      <c r="W12" s="292"/>
      <c r="X12" s="292">
        <v>63</v>
      </c>
      <c r="Y12" s="292"/>
      <c r="Z12" s="292">
        <v>117</v>
      </c>
      <c r="AA12" s="292">
        <v>70</v>
      </c>
      <c r="AB12" s="292"/>
      <c r="AC12" s="297">
        <f t="shared" si="2"/>
        <v>250</v>
      </c>
    </row>
    <row r="13" spans="1:29" s="45" customFormat="1">
      <c r="A13" s="91">
        <v>2009</v>
      </c>
      <c r="B13" s="5"/>
      <c r="C13" s="5"/>
      <c r="D13" s="5">
        <v>10.82</v>
      </c>
      <c r="E13" s="5"/>
      <c r="F13" s="5"/>
      <c r="G13" s="5"/>
      <c r="H13" s="5"/>
      <c r="I13" s="5">
        <v>10.16</v>
      </c>
      <c r="J13" s="5">
        <v>8.1</v>
      </c>
      <c r="K13" s="5">
        <v>18</v>
      </c>
      <c r="L13" s="5"/>
      <c r="M13" s="5">
        <v>1.8</v>
      </c>
      <c r="N13" s="70">
        <f t="shared" si="0"/>
        <v>48.879999999999995</v>
      </c>
      <c r="O13" s="132">
        <f t="shared" si="1"/>
        <v>296</v>
      </c>
      <c r="P13" s="4"/>
      <c r="Q13" s="291"/>
      <c r="R13" s="291"/>
      <c r="S13" s="291">
        <v>68</v>
      </c>
      <c r="T13" s="291"/>
      <c r="U13" s="291"/>
      <c r="V13" s="291"/>
      <c r="W13" s="291"/>
      <c r="X13" s="291">
        <v>61</v>
      </c>
      <c r="Y13" s="291">
        <v>49</v>
      </c>
      <c r="Z13" s="291">
        <v>107</v>
      </c>
      <c r="AA13" s="291"/>
      <c r="AB13" s="291">
        <v>11</v>
      </c>
      <c r="AC13" s="297">
        <f t="shared" si="2"/>
        <v>296</v>
      </c>
    </row>
    <row r="14" spans="1:29" s="45" customFormat="1">
      <c r="A14" s="91">
        <v>2010</v>
      </c>
      <c r="B14" s="5"/>
      <c r="C14" s="5">
        <v>27</v>
      </c>
      <c r="D14" s="5">
        <v>25.93</v>
      </c>
      <c r="E14" s="5">
        <v>91.85</v>
      </c>
      <c r="F14" s="5">
        <v>10.96</v>
      </c>
      <c r="G14" s="5">
        <v>20.7</v>
      </c>
      <c r="H14" s="5"/>
      <c r="I14" s="5"/>
      <c r="J14" s="5"/>
      <c r="K14" s="5"/>
      <c r="L14" s="5"/>
      <c r="M14" s="5">
        <v>1.72</v>
      </c>
      <c r="N14" s="70">
        <f t="shared" si="0"/>
        <v>178.16</v>
      </c>
      <c r="O14" s="132">
        <f t="shared" si="1"/>
        <v>1021</v>
      </c>
      <c r="P14" s="4"/>
      <c r="Q14" s="291"/>
      <c r="R14" s="291">
        <v>157</v>
      </c>
      <c r="S14" s="291">
        <v>150</v>
      </c>
      <c r="T14" s="291">
        <v>526</v>
      </c>
      <c r="U14" s="291">
        <v>62</v>
      </c>
      <c r="V14" s="291">
        <v>117</v>
      </c>
      <c r="W14" s="291"/>
      <c r="X14" s="291"/>
      <c r="Y14" s="291"/>
      <c r="Z14" s="291"/>
      <c r="AA14" s="291"/>
      <c r="AB14" s="291">
        <v>9</v>
      </c>
      <c r="AC14" s="297">
        <f t="shared" si="2"/>
        <v>1021</v>
      </c>
    </row>
    <row r="15" spans="1:29">
      <c r="A15" s="3">
        <v>2011</v>
      </c>
      <c r="B15" s="5"/>
      <c r="C15" s="5"/>
      <c r="D15" s="5">
        <v>23.91</v>
      </c>
      <c r="E15" s="5">
        <v>2.12</v>
      </c>
      <c r="F15" s="5"/>
      <c r="G15" s="5"/>
      <c r="H15" s="5"/>
      <c r="I15" s="5"/>
      <c r="J15" s="5"/>
      <c r="K15" s="5"/>
      <c r="L15" s="5"/>
      <c r="M15" s="5"/>
      <c r="N15" s="70">
        <f t="shared" si="0"/>
        <v>26.03</v>
      </c>
      <c r="O15" s="132">
        <f t="shared" si="1"/>
        <v>137</v>
      </c>
      <c r="P15" s="4"/>
      <c r="Q15" s="292"/>
      <c r="R15" s="292"/>
      <c r="S15" s="292">
        <v>126</v>
      </c>
      <c r="T15" s="292">
        <v>11</v>
      </c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137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>
        <v>4.26</v>
      </c>
      <c r="J16" s="5"/>
      <c r="K16" s="5"/>
      <c r="L16" s="5"/>
      <c r="M16" s="5"/>
      <c r="N16" s="70">
        <f t="shared" si="0"/>
        <v>4.26</v>
      </c>
      <c r="O16" s="132">
        <f t="shared" si="1"/>
        <v>20</v>
      </c>
      <c r="P16" s="4"/>
      <c r="Q16" s="292"/>
      <c r="R16" s="292"/>
      <c r="S16" s="292"/>
      <c r="T16" s="292"/>
      <c r="U16" s="292"/>
      <c r="V16" s="292"/>
      <c r="W16" s="292"/>
      <c r="X16" s="292">
        <v>20</v>
      </c>
      <c r="Y16" s="292"/>
      <c r="Z16" s="292"/>
      <c r="AA16" s="292"/>
      <c r="AB16" s="292"/>
      <c r="AC16" s="297">
        <f t="shared" si="2"/>
        <v>20</v>
      </c>
    </row>
    <row r="17" spans="1:29">
      <c r="A17" s="3">
        <v>2013</v>
      </c>
      <c r="B17" s="5"/>
      <c r="C17" s="5"/>
      <c r="D17" s="5"/>
      <c r="E17" s="5"/>
      <c r="F17" s="5"/>
      <c r="G17" s="410"/>
      <c r="H17" s="410"/>
      <c r="I17" s="410"/>
      <c r="J17" s="410"/>
      <c r="K17" s="410"/>
      <c r="L17" s="410"/>
      <c r="M17" s="410"/>
      <c r="N17" s="70">
        <f t="shared" si="0"/>
        <v>0</v>
      </c>
      <c r="O17" s="13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1086.8</v>
      </c>
      <c r="O18" s="132">
        <f>SUM(O2:O17)</f>
        <v>9753</v>
      </c>
      <c r="P18" s="4"/>
      <c r="Q18" s="4"/>
      <c r="R18" s="4"/>
      <c r="S18" s="286"/>
      <c r="T18" s="307"/>
      <c r="U18" s="288"/>
      <c r="V18" s="307"/>
      <c r="W18" s="307"/>
      <c r="X18" s="307"/>
      <c r="Y18" s="307"/>
      <c r="Z18" s="4"/>
      <c r="AA18" s="4"/>
      <c r="AB18" s="4"/>
      <c r="AC18" s="4"/>
    </row>
    <row r="19" spans="1:29">
      <c r="N19" s="298" t="s">
        <v>302</v>
      </c>
      <c r="O19" s="257">
        <v>46063</v>
      </c>
      <c r="R19" s="17"/>
    </row>
    <row r="20" spans="1:29" ht="15.75" customHeight="1">
      <c r="A20" s="536" t="s">
        <v>196</v>
      </c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406">
        <v>13203</v>
      </c>
      <c r="R20" s="17"/>
    </row>
    <row r="21" spans="1:29">
      <c r="R21" s="45"/>
      <c r="S21" s="286"/>
      <c r="T21" s="307"/>
      <c r="U21" s="288" t="s">
        <v>443</v>
      </c>
      <c r="V21" s="307"/>
      <c r="W21" s="307" t="s">
        <v>3</v>
      </c>
      <c r="X21" s="307"/>
      <c r="Y21" s="307" t="s">
        <v>444</v>
      </c>
    </row>
    <row r="22" spans="1:29" ht="15.75" thickBot="1">
      <c r="A22" s="411">
        <v>1998</v>
      </c>
      <c r="B22" s="171" t="s">
        <v>176</v>
      </c>
      <c r="C22" s="171"/>
      <c r="D22" s="412">
        <v>16.68</v>
      </c>
      <c r="E22" s="4"/>
      <c r="F22" s="4"/>
      <c r="G22" s="474" t="s">
        <v>222</v>
      </c>
      <c r="H22" s="475"/>
      <c r="I22" s="475"/>
      <c r="R22" s="45"/>
      <c r="S22" s="289" t="s">
        <v>445</v>
      </c>
      <c r="T22" s="290">
        <v>5555</v>
      </c>
      <c r="U22" s="291">
        <v>999</v>
      </c>
      <c r="V22" s="292"/>
      <c r="W22" s="292">
        <f>T22*U22</f>
        <v>5549445</v>
      </c>
      <c r="X22" s="1"/>
      <c r="Y22" s="291">
        <f>O20*W22/N18</f>
        <v>67417484.665991902</v>
      </c>
    </row>
    <row r="23" spans="1:29">
      <c r="A23" s="771">
        <v>1999</v>
      </c>
      <c r="B23" s="413" t="s">
        <v>126</v>
      </c>
      <c r="C23" s="413"/>
      <c r="D23" s="414">
        <v>1.58</v>
      </c>
      <c r="E23" s="413"/>
      <c r="F23" s="413"/>
      <c r="G23" s="476" t="s">
        <v>223</v>
      </c>
      <c r="H23" s="477"/>
      <c r="I23" s="477"/>
      <c r="J23" s="114"/>
      <c r="K23" s="114"/>
      <c r="L23" s="114"/>
      <c r="M23" s="114"/>
      <c r="R23" s="45"/>
      <c r="S23" s="289" t="s">
        <v>446</v>
      </c>
      <c r="T23" s="291">
        <v>5555</v>
      </c>
      <c r="U23" s="291">
        <v>555</v>
      </c>
      <c r="V23" s="292"/>
      <c r="W23" s="292">
        <f>T23*U23</f>
        <v>3083025</v>
      </c>
      <c r="X23" s="292"/>
      <c r="Y23" s="291">
        <v>66666666</v>
      </c>
    </row>
    <row r="24" spans="1:29">
      <c r="A24" s="767"/>
      <c r="B24" s="415" t="s">
        <v>181</v>
      </c>
      <c r="C24" s="415"/>
      <c r="D24" s="416">
        <v>4</v>
      </c>
      <c r="E24" s="417">
        <f>SUM(D23:D24)</f>
        <v>5.58</v>
      </c>
      <c r="F24" s="413"/>
      <c r="G24" s="476" t="s">
        <v>224</v>
      </c>
      <c r="H24" s="477"/>
      <c r="I24" s="477"/>
      <c r="J24" s="114"/>
      <c r="K24" s="114"/>
      <c r="L24" s="114"/>
      <c r="M24" s="114"/>
      <c r="R24" s="45"/>
      <c r="S24" s="289" t="s">
        <v>447</v>
      </c>
      <c r="T24" s="291">
        <v>5555</v>
      </c>
      <c r="U24" s="291">
        <v>222</v>
      </c>
      <c r="V24" s="292"/>
      <c r="W24" s="292">
        <f>T24*U24</f>
        <v>1233210</v>
      </c>
      <c r="X24" s="292"/>
      <c r="Y24" s="291">
        <v>77777777</v>
      </c>
    </row>
    <row r="25" spans="1:29">
      <c r="A25" s="767"/>
      <c r="B25" s="399" t="s">
        <v>182</v>
      </c>
      <c r="C25" s="399"/>
      <c r="D25" s="418">
        <v>4.12</v>
      </c>
      <c r="E25" s="399"/>
      <c r="F25" s="399"/>
      <c r="G25" s="476" t="s">
        <v>225</v>
      </c>
      <c r="H25" s="478"/>
      <c r="I25" s="478"/>
      <c r="J25" s="109"/>
      <c r="K25" s="109"/>
      <c r="L25" s="109"/>
      <c r="M25" s="109"/>
      <c r="R25" s="45"/>
      <c r="S25" s="293"/>
      <c r="T25" s="294"/>
      <c r="U25" s="292"/>
      <c r="V25" s="292"/>
      <c r="W25" s="292">
        <f t="shared" ref="W25" si="4">SUM(W22:W24)</f>
        <v>9865680</v>
      </c>
      <c r="X25" s="292"/>
      <c r="Y25" s="291">
        <f>SUM(Y22:Y24)</f>
        <v>211861927.6659919</v>
      </c>
    </row>
    <row r="26" spans="1:29" ht="15.75" thickBot="1">
      <c r="A26" s="768"/>
      <c r="B26" s="401" t="s">
        <v>125</v>
      </c>
      <c r="C26" s="401"/>
      <c r="D26" s="419">
        <v>1.59</v>
      </c>
      <c r="E26" s="420">
        <f>SUM(D25:D26)</f>
        <v>5.71</v>
      </c>
      <c r="F26" s="399"/>
      <c r="G26" s="476" t="s">
        <v>226</v>
      </c>
      <c r="H26" s="478"/>
      <c r="I26" s="478"/>
      <c r="J26" s="140"/>
      <c r="K26" s="140"/>
      <c r="L26" s="140"/>
      <c r="M26" s="140"/>
      <c r="R26" s="45"/>
      <c r="S26" s="44"/>
      <c r="T26" s="45"/>
      <c r="U26" s="45"/>
      <c r="V26" s="45"/>
      <c r="W26" s="45"/>
      <c r="X26" s="45"/>
      <c r="Y26" s="45"/>
    </row>
    <row r="27" spans="1:29">
      <c r="A27" s="772">
        <v>2000</v>
      </c>
      <c r="B27" s="421" t="s">
        <v>202</v>
      </c>
      <c r="C27" s="421"/>
      <c r="D27" s="422">
        <v>1.58</v>
      </c>
      <c r="E27" s="423"/>
      <c r="F27" s="424"/>
      <c r="G27" s="479" t="s">
        <v>227</v>
      </c>
      <c r="H27" s="480"/>
      <c r="I27" s="480"/>
      <c r="J27" s="111"/>
      <c r="K27" s="111"/>
      <c r="L27" s="111"/>
      <c r="M27" s="111"/>
    </row>
    <row r="28" spans="1:29">
      <c r="A28" s="769"/>
      <c r="B28" s="425" t="s">
        <v>124</v>
      </c>
      <c r="C28" s="425"/>
      <c r="D28" s="426">
        <v>1.59</v>
      </c>
      <c r="E28" s="427"/>
      <c r="F28" s="424"/>
      <c r="G28" s="479" t="s">
        <v>228</v>
      </c>
      <c r="H28" s="480"/>
      <c r="I28" s="480"/>
      <c r="J28" s="111"/>
      <c r="K28" s="111"/>
      <c r="L28" s="111"/>
      <c r="M28" s="111"/>
    </row>
    <row r="29" spans="1:29">
      <c r="A29" s="769"/>
      <c r="B29" s="425" t="s">
        <v>208</v>
      </c>
      <c r="C29" s="425"/>
      <c r="D29" s="426">
        <v>13.55</v>
      </c>
      <c r="E29" s="427"/>
      <c r="F29" s="424"/>
      <c r="G29" s="479" t="s">
        <v>229</v>
      </c>
      <c r="H29" s="480"/>
      <c r="I29" s="480"/>
      <c r="J29" s="111"/>
      <c r="K29" s="111"/>
      <c r="L29" s="111"/>
      <c r="M29" s="111"/>
    </row>
    <row r="30" spans="1:29">
      <c r="A30" s="769"/>
      <c r="B30" s="428" t="s">
        <v>123</v>
      </c>
      <c r="C30" s="428"/>
      <c r="D30" s="398">
        <v>0.32</v>
      </c>
      <c r="E30" s="398"/>
      <c r="F30" s="429"/>
      <c r="G30" s="479" t="s">
        <v>230</v>
      </c>
      <c r="H30" s="481"/>
      <c r="I30" s="481"/>
      <c r="J30" s="110"/>
      <c r="K30" s="110"/>
      <c r="L30" s="110"/>
      <c r="M30" s="110"/>
    </row>
    <row r="31" spans="1:29" ht="15.75" thickBot="1">
      <c r="A31" s="770"/>
      <c r="B31" s="400" t="s">
        <v>122</v>
      </c>
      <c r="C31" s="400"/>
      <c r="D31" s="397">
        <v>4.2</v>
      </c>
      <c r="E31" s="430">
        <f>D30+D31</f>
        <v>4.5200000000000005</v>
      </c>
      <c r="F31" s="429"/>
      <c r="G31" s="479" t="s">
        <v>231</v>
      </c>
      <c r="H31" s="481"/>
      <c r="I31" s="481"/>
      <c r="J31" s="110"/>
      <c r="K31" s="110"/>
      <c r="L31" s="110"/>
      <c r="M31" s="110"/>
    </row>
    <row r="32" spans="1:29">
      <c r="A32" s="771">
        <v>2001</v>
      </c>
      <c r="B32" s="424" t="s">
        <v>121</v>
      </c>
      <c r="C32" s="424"/>
      <c r="D32" s="431">
        <v>15.84</v>
      </c>
      <c r="E32" s="431"/>
      <c r="F32" s="429"/>
      <c r="G32" s="476" t="s">
        <v>217</v>
      </c>
      <c r="H32" s="480"/>
      <c r="I32" s="480"/>
      <c r="J32" s="112"/>
      <c r="K32" s="112"/>
      <c r="L32" s="112"/>
      <c r="M32" s="112"/>
      <c r="S32" s="1"/>
    </row>
    <row r="33" spans="1:19">
      <c r="A33" s="774"/>
      <c r="B33" s="399" t="s">
        <v>120</v>
      </c>
      <c r="C33" s="399"/>
      <c r="D33" s="432">
        <v>4.96</v>
      </c>
      <c r="E33" s="433">
        <f>D32+D33</f>
        <v>20.8</v>
      </c>
      <c r="F33" s="429"/>
      <c r="G33" s="476" t="s">
        <v>216</v>
      </c>
      <c r="H33" s="478"/>
      <c r="I33" s="478"/>
      <c r="J33" s="108"/>
      <c r="K33" s="108"/>
      <c r="L33" s="108"/>
      <c r="M33" s="108"/>
      <c r="S33" s="1"/>
    </row>
    <row r="34" spans="1:19">
      <c r="A34" s="774"/>
      <c r="B34" s="399" t="s">
        <v>119</v>
      </c>
      <c r="C34" s="399"/>
      <c r="D34" s="434">
        <v>1.1499999999999999</v>
      </c>
      <c r="E34" s="432"/>
      <c r="F34" s="399"/>
      <c r="G34" s="476" t="s">
        <v>212</v>
      </c>
      <c r="H34" s="478"/>
      <c r="I34" s="478"/>
      <c r="J34" s="108"/>
      <c r="K34" s="108"/>
      <c r="L34" s="108"/>
      <c r="M34" s="108"/>
      <c r="S34" s="1"/>
    </row>
    <row r="35" spans="1:19">
      <c r="A35" s="774"/>
      <c r="B35" s="399" t="s">
        <v>118</v>
      </c>
      <c r="C35" s="399"/>
      <c r="D35" s="433">
        <v>1.59</v>
      </c>
      <c r="E35" s="432"/>
      <c r="F35" s="399"/>
      <c r="G35" s="476" t="s">
        <v>218</v>
      </c>
      <c r="H35" s="478"/>
      <c r="I35" s="478"/>
      <c r="J35" s="108"/>
      <c r="K35" s="108"/>
      <c r="L35" s="108"/>
      <c r="M35" s="108"/>
      <c r="S35" s="1"/>
    </row>
    <row r="36" spans="1:19">
      <c r="A36" s="774"/>
      <c r="B36" s="399" t="s">
        <v>213</v>
      </c>
      <c r="C36" s="399"/>
      <c r="D36" s="435">
        <v>1.34</v>
      </c>
      <c r="E36" s="432"/>
      <c r="F36" s="399"/>
      <c r="G36" s="476" t="s">
        <v>214</v>
      </c>
      <c r="H36" s="478"/>
      <c r="I36" s="478"/>
      <c r="J36" s="108"/>
      <c r="K36" s="108"/>
      <c r="L36" s="108"/>
      <c r="M36" s="108"/>
      <c r="S36" s="1"/>
    </row>
    <row r="37" spans="1:19">
      <c r="A37" s="774"/>
      <c r="B37" s="399" t="s">
        <v>215</v>
      </c>
      <c r="C37" s="399"/>
      <c r="D37" s="435">
        <v>0.32</v>
      </c>
      <c r="E37" s="432"/>
      <c r="F37" s="399"/>
      <c r="G37" s="476" t="s">
        <v>220</v>
      </c>
      <c r="H37" s="478"/>
      <c r="I37" s="478"/>
      <c r="J37" s="108"/>
      <c r="K37" s="108"/>
      <c r="L37" s="108"/>
      <c r="M37" s="108"/>
      <c r="S37" s="1"/>
    </row>
    <row r="38" spans="1:19">
      <c r="A38" s="774"/>
      <c r="B38" s="399" t="s">
        <v>117</v>
      </c>
      <c r="C38" s="399"/>
      <c r="D38" s="435">
        <v>9.9</v>
      </c>
      <c r="E38" s="434">
        <f>D36+D37+D38</f>
        <v>11.56</v>
      </c>
      <c r="F38" s="399"/>
      <c r="G38" s="476" t="s">
        <v>219</v>
      </c>
      <c r="H38" s="478"/>
      <c r="I38" s="478"/>
      <c r="J38" s="108"/>
      <c r="K38" s="108"/>
      <c r="L38" s="108"/>
      <c r="M38" s="108"/>
      <c r="S38" s="1"/>
    </row>
    <row r="39" spans="1:19">
      <c r="A39" s="774"/>
      <c r="B39" s="399" t="s">
        <v>116</v>
      </c>
      <c r="C39" s="399"/>
      <c r="D39" s="433">
        <v>3.09</v>
      </c>
      <c r="E39" s="432"/>
      <c r="F39" s="399"/>
      <c r="G39" s="476" t="s">
        <v>221</v>
      </c>
      <c r="H39" s="478"/>
      <c r="I39" s="478"/>
      <c r="J39" s="108"/>
      <c r="K39" s="108"/>
      <c r="L39" s="108"/>
      <c r="M39" s="108"/>
      <c r="S39" s="1"/>
    </row>
    <row r="40" spans="1:19">
      <c r="A40" s="774"/>
      <c r="B40" s="399" t="s">
        <v>232</v>
      </c>
      <c r="C40" s="399"/>
      <c r="D40" s="435">
        <v>7.89</v>
      </c>
      <c r="E40" s="432"/>
      <c r="F40" s="399"/>
      <c r="G40" s="476" t="s">
        <v>233</v>
      </c>
      <c r="H40" s="478"/>
      <c r="I40" s="478"/>
      <c r="J40" s="108"/>
      <c r="K40" s="108"/>
      <c r="L40" s="108"/>
      <c r="M40" s="108"/>
      <c r="S40" s="1"/>
    </row>
    <row r="41" spans="1:19">
      <c r="A41" s="774"/>
      <c r="B41" s="399" t="s">
        <v>234</v>
      </c>
      <c r="C41" s="399"/>
      <c r="D41" s="435">
        <v>2.97</v>
      </c>
      <c r="E41" s="434">
        <f>D41+D40</f>
        <v>10.86</v>
      </c>
      <c r="F41" s="399"/>
      <c r="G41" s="476" t="s">
        <v>235</v>
      </c>
      <c r="H41" s="478"/>
      <c r="I41" s="478"/>
      <c r="J41" s="108"/>
      <c r="K41" s="108"/>
      <c r="L41" s="108"/>
      <c r="M41" s="108"/>
      <c r="S41" s="1"/>
    </row>
    <row r="42" spans="1:19">
      <c r="A42" s="774"/>
      <c r="B42" s="399" t="s">
        <v>115</v>
      </c>
      <c r="C42" s="399"/>
      <c r="D42" s="435">
        <v>6.34</v>
      </c>
      <c r="E42" s="434"/>
      <c r="F42" s="399"/>
      <c r="G42" s="476" t="s">
        <v>236</v>
      </c>
      <c r="H42" s="478"/>
      <c r="I42" s="478"/>
      <c r="J42" s="108"/>
      <c r="K42" s="108"/>
      <c r="L42" s="108"/>
      <c r="M42" s="108"/>
      <c r="S42" s="1"/>
    </row>
    <row r="43" spans="1:19" ht="15.75" thickBot="1">
      <c r="A43" s="768"/>
      <c r="B43" s="401" t="s">
        <v>237</v>
      </c>
      <c r="C43" s="401"/>
      <c r="D43" s="436">
        <v>0.31</v>
      </c>
      <c r="E43" s="437">
        <f>D43+D42</f>
        <v>6.6499999999999995</v>
      </c>
      <c r="F43" s="399"/>
      <c r="G43" s="476" t="s">
        <v>238</v>
      </c>
      <c r="H43" s="478"/>
      <c r="I43" s="478"/>
      <c r="J43" s="108"/>
      <c r="K43" s="108"/>
      <c r="L43" s="108"/>
      <c r="M43" s="108"/>
      <c r="S43" s="1"/>
    </row>
    <row r="44" spans="1:19">
      <c r="A44" s="772">
        <v>2002</v>
      </c>
      <c r="B44" s="438" t="s">
        <v>262</v>
      </c>
      <c r="C44" s="439"/>
      <c r="D44" s="440">
        <v>3.16</v>
      </c>
      <c r="E44" s="402"/>
      <c r="F44" s="429"/>
      <c r="G44" s="479" t="s">
        <v>263</v>
      </c>
      <c r="H44" s="481"/>
      <c r="I44" s="481"/>
      <c r="J44" s="92"/>
      <c r="K44" s="92"/>
      <c r="L44" s="92"/>
      <c r="M44" s="92"/>
      <c r="N44" s="92"/>
    </row>
    <row r="45" spans="1:19">
      <c r="A45" s="769"/>
      <c r="B45" s="441" t="s">
        <v>65</v>
      </c>
      <c r="C45" s="428"/>
      <c r="D45" s="398">
        <v>3.43</v>
      </c>
      <c r="E45" s="398"/>
      <c r="F45" s="429"/>
      <c r="G45" s="479" t="s">
        <v>267</v>
      </c>
      <c r="H45" s="481"/>
      <c r="I45" s="481"/>
      <c r="J45" s="92"/>
      <c r="K45" s="92"/>
      <c r="L45" s="92"/>
      <c r="M45" s="92"/>
      <c r="N45" s="92"/>
    </row>
    <row r="46" spans="1:19">
      <c r="A46" s="769"/>
      <c r="B46" s="442" t="s">
        <v>66</v>
      </c>
      <c r="C46" s="428"/>
      <c r="D46" s="398">
        <v>8.31</v>
      </c>
      <c r="E46" s="398"/>
      <c r="F46" s="429"/>
      <c r="G46" s="479" t="s">
        <v>268</v>
      </c>
      <c r="H46" s="481"/>
      <c r="I46" s="92"/>
      <c r="J46" s="92"/>
      <c r="K46" s="92"/>
      <c r="L46" s="92"/>
      <c r="M46" s="92"/>
      <c r="N46" s="92"/>
    </row>
    <row r="47" spans="1:19">
      <c r="A47" s="769"/>
      <c r="B47" s="442" t="s">
        <v>67</v>
      </c>
      <c r="C47" s="428"/>
      <c r="D47" s="398">
        <v>9.89</v>
      </c>
      <c r="E47" s="398"/>
      <c r="F47" s="429"/>
      <c r="G47" s="479" t="s">
        <v>269</v>
      </c>
      <c r="H47" s="481"/>
      <c r="I47" s="92"/>
      <c r="J47" s="92"/>
      <c r="K47" s="92"/>
      <c r="L47" s="92"/>
      <c r="M47" s="92"/>
      <c r="N47" s="92"/>
    </row>
    <row r="48" spans="1:19">
      <c r="A48" s="769"/>
      <c r="B48" s="442" t="s">
        <v>68</v>
      </c>
      <c r="C48" s="428"/>
      <c r="D48" s="398">
        <v>5.14</v>
      </c>
      <c r="E48" s="398"/>
      <c r="F48" s="429"/>
      <c r="G48" s="479" t="s">
        <v>270</v>
      </c>
      <c r="H48" s="481"/>
      <c r="I48" s="92"/>
      <c r="J48" s="92"/>
      <c r="K48" s="92"/>
      <c r="L48" s="92"/>
      <c r="M48" s="92"/>
      <c r="N48" s="92"/>
    </row>
    <row r="49" spans="1:14">
      <c r="A49" s="769"/>
      <c r="B49" s="442" t="s">
        <v>69</v>
      </c>
      <c r="C49" s="428"/>
      <c r="D49" s="398">
        <v>5.14</v>
      </c>
      <c r="E49" s="443"/>
      <c r="F49" s="429"/>
      <c r="G49" s="479" t="s">
        <v>271</v>
      </c>
      <c r="H49" s="481"/>
      <c r="I49" s="92"/>
      <c r="J49" s="92"/>
      <c r="K49" s="92"/>
      <c r="L49" s="92"/>
      <c r="M49" s="92"/>
      <c r="N49" s="92"/>
    </row>
    <row r="50" spans="1:14">
      <c r="A50" s="769"/>
      <c r="B50" s="442" t="s">
        <v>273</v>
      </c>
      <c r="C50" s="428"/>
      <c r="D50" s="398">
        <v>9.89</v>
      </c>
      <c r="E50" s="443">
        <f>SUM(D45:D50)</f>
        <v>41.800000000000004</v>
      </c>
      <c r="F50" s="429"/>
      <c r="G50" s="479" t="s">
        <v>272</v>
      </c>
      <c r="H50" s="481"/>
      <c r="I50" s="92"/>
      <c r="J50" s="92"/>
      <c r="K50" s="92"/>
      <c r="L50" s="92"/>
      <c r="M50" s="92"/>
      <c r="N50" s="92"/>
    </row>
    <row r="51" spans="1:14">
      <c r="A51" s="769"/>
      <c r="B51" s="442" t="s">
        <v>70</v>
      </c>
      <c r="C51" s="428"/>
      <c r="D51" s="398">
        <v>13.06</v>
      </c>
      <c r="E51" s="398"/>
      <c r="F51" s="429"/>
      <c r="G51" s="479" t="s">
        <v>277</v>
      </c>
      <c r="H51" s="481"/>
      <c r="I51" s="92"/>
      <c r="J51" s="92"/>
      <c r="K51" s="92"/>
      <c r="L51" s="92"/>
      <c r="M51" s="92"/>
      <c r="N51" s="92"/>
    </row>
    <row r="52" spans="1:14">
      <c r="A52" s="769"/>
      <c r="B52" s="442" t="s">
        <v>71</v>
      </c>
      <c r="C52" s="428"/>
      <c r="D52" s="398">
        <v>1.02</v>
      </c>
      <c r="E52" s="443">
        <f>D51+D52</f>
        <v>14.08</v>
      </c>
      <c r="F52" s="429"/>
      <c r="G52" s="479" t="s">
        <v>278</v>
      </c>
      <c r="H52" s="481"/>
      <c r="I52" s="92"/>
      <c r="J52" s="92"/>
      <c r="K52" s="92"/>
      <c r="L52" s="92"/>
      <c r="M52" s="92"/>
      <c r="N52" s="92"/>
    </row>
    <row r="53" spans="1:14">
      <c r="A53" s="769"/>
      <c r="B53" s="442" t="s">
        <v>72</v>
      </c>
      <c r="C53" s="428"/>
      <c r="D53" s="444">
        <v>1.7</v>
      </c>
      <c r="E53" s="398"/>
      <c r="F53" s="429"/>
      <c r="G53" s="479" t="s">
        <v>282</v>
      </c>
      <c r="H53" s="481"/>
      <c r="I53" s="92"/>
      <c r="J53" s="92"/>
      <c r="K53" s="92"/>
      <c r="L53" s="92"/>
      <c r="M53" s="92"/>
      <c r="N53" s="92"/>
    </row>
    <row r="54" spans="1:14">
      <c r="A54" s="769"/>
      <c r="B54" s="442" t="s">
        <v>281</v>
      </c>
      <c r="C54" s="428"/>
      <c r="D54" s="444">
        <v>3.16</v>
      </c>
      <c r="E54" s="443">
        <f>D53+D54</f>
        <v>4.8600000000000003</v>
      </c>
      <c r="F54" s="429"/>
      <c r="G54" s="479" t="s">
        <v>283</v>
      </c>
      <c r="H54" s="481"/>
      <c r="I54" s="92"/>
      <c r="J54" s="92"/>
      <c r="K54" s="92"/>
      <c r="L54" s="92"/>
      <c r="M54" s="92"/>
      <c r="N54" s="92"/>
    </row>
    <row r="55" spans="1:14">
      <c r="A55" s="769"/>
      <c r="B55" s="442" t="s">
        <v>73</v>
      </c>
      <c r="C55" s="428"/>
      <c r="D55" s="398">
        <v>5.79</v>
      </c>
      <c r="E55" s="398"/>
      <c r="F55" s="429"/>
      <c r="G55" s="479" t="s">
        <v>286</v>
      </c>
      <c r="H55" s="481"/>
      <c r="I55" s="92"/>
      <c r="J55" s="92"/>
      <c r="K55" s="92"/>
      <c r="L55" s="92"/>
      <c r="M55" s="92"/>
      <c r="N55" s="92"/>
    </row>
    <row r="56" spans="1:14" ht="15.75" thickBot="1">
      <c r="A56" s="770"/>
      <c r="B56" s="445" t="s">
        <v>287</v>
      </c>
      <c r="C56" s="400"/>
      <c r="D56" s="397">
        <v>1.57</v>
      </c>
      <c r="E56" s="430">
        <f>SUM(D55:D56)</f>
        <v>7.36</v>
      </c>
      <c r="F56" s="429"/>
      <c r="G56" s="479" t="s">
        <v>288</v>
      </c>
      <c r="H56" s="481"/>
      <c r="I56" s="92"/>
      <c r="J56" s="92"/>
      <c r="K56" s="92"/>
      <c r="L56" s="92"/>
      <c r="M56" s="92"/>
      <c r="N56" s="92"/>
    </row>
    <row r="57" spans="1:14">
      <c r="A57" s="771">
        <v>2003</v>
      </c>
      <c r="B57" s="446" t="s">
        <v>457</v>
      </c>
      <c r="C57" s="439"/>
      <c r="D57" s="440">
        <v>10.24</v>
      </c>
      <c r="E57" s="402"/>
      <c r="F57" s="429"/>
      <c r="G57" s="482" t="s">
        <v>462</v>
      </c>
      <c r="H57" s="481"/>
      <c r="I57" s="92"/>
      <c r="J57" s="92"/>
      <c r="K57" s="92"/>
      <c r="L57" s="92"/>
      <c r="M57" s="92"/>
      <c r="N57" s="92"/>
    </row>
    <row r="58" spans="1:14">
      <c r="A58" s="767"/>
      <c r="B58" s="442" t="s">
        <v>458</v>
      </c>
      <c r="C58" s="428"/>
      <c r="D58" s="444">
        <v>9.89</v>
      </c>
      <c r="E58" s="398"/>
      <c r="F58" s="429"/>
      <c r="G58" s="482" t="s">
        <v>463</v>
      </c>
      <c r="H58" s="481"/>
      <c r="I58" s="92"/>
      <c r="J58" s="92"/>
      <c r="K58" s="92"/>
      <c r="L58" s="92"/>
      <c r="M58" s="92"/>
      <c r="N58" s="92"/>
    </row>
    <row r="59" spans="1:14">
      <c r="A59" s="767"/>
      <c r="B59" s="442" t="s">
        <v>459</v>
      </c>
      <c r="C59" s="428"/>
      <c r="D59" s="444">
        <v>9.89</v>
      </c>
      <c r="E59" s="398"/>
      <c r="F59" s="429"/>
      <c r="G59" s="482" t="s">
        <v>464</v>
      </c>
      <c r="H59" s="481"/>
      <c r="I59" s="92"/>
      <c r="J59" s="92"/>
      <c r="K59" s="92"/>
      <c r="L59" s="92"/>
      <c r="M59" s="92"/>
      <c r="N59" s="92"/>
    </row>
    <row r="60" spans="1:14">
      <c r="A60" s="767"/>
      <c r="B60" s="442" t="s">
        <v>76</v>
      </c>
      <c r="C60" s="428"/>
      <c r="D60" s="398">
        <v>10.14</v>
      </c>
      <c r="E60" s="398"/>
      <c r="F60" s="429"/>
      <c r="G60" s="482" t="s">
        <v>465</v>
      </c>
      <c r="H60" s="481"/>
      <c r="I60" s="92"/>
      <c r="J60" s="92"/>
      <c r="K60" s="92"/>
      <c r="L60" s="92"/>
      <c r="M60" s="92"/>
      <c r="N60" s="92"/>
    </row>
    <row r="61" spans="1:14">
      <c r="A61" s="767"/>
      <c r="B61" s="442" t="s">
        <v>77</v>
      </c>
      <c r="C61" s="428"/>
      <c r="D61" s="398">
        <v>0.94</v>
      </c>
      <c r="E61" s="443">
        <f>D58+D59+D60+D61</f>
        <v>30.860000000000003</v>
      </c>
      <c r="F61" s="429"/>
      <c r="G61" s="482" t="s">
        <v>466</v>
      </c>
      <c r="H61" s="481"/>
      <c r="I61" s="92"/>
      <c r="J61" s="92"/>
      <c r="K61" s="92"/>
      <c r="L61" s="92"/>
      <c r="M61" s="92"/>
      <c r="N61" s="92"/>
    </row>
    <row r="62" spans="1:14">
      <c r="A62" s="767"/>
      <c r="B62" s="442" t="s">
        <v>78</v>
      </c>
      <c r="C62" s="428"/>
      <c r="D62" s="443">
        <v>3.16</v>
      </c>
      <c r="E62" s="398"/>
      <c r="F62" s="429"/>
      <c r="G62" s="119" t="s">
        <v>461</v>
      </c>
      <c r="H62" s="92"/>
      <c r="I62" s="92"/>
      <c r="J62" s="92"/>
      <c r="K62" s="92"/>
      <c r="L62" s="92"/>
      <c r="M62" s="92"/>
      <c r="N62" s="92"/>
    </row>
    <row r="63" spans="1:14">
      <c r="A63" s="767"/>
      <c r="B63" s="442" t="s">
        <v>79</v>
      </c>
      <c r="C63" s="428"/>
      <c r="D63" s="443">
        <v>2.15</v>
      </c>
      <c r="E63" s="398"/>
      <c r="F63" s="429"/>
      <c r="G63" s="119" t="s">
        <v>469</v>
      </c>
      <c r="H63" s="92"/>
      <c r="I63" s="92"/>
      <c r="J63" s="92"/>
      <c r="K63" s="92"/>
      <c r="L63" s="92"/>
      <c r="M63" s="92"/>
      <c r="N63" s="92"/>
    </row>
    <row r="64" spans="1:14">
      <c r="A64" s="767"/>
      <c r="B64" s="442" t="s">
        <v>467</v>
      </c>
      <c r="C64" s="428"/>
      <c r="D64" s="444">
        <v>13.06</v>
      </c>
      <c r="E64" s="398"/>
      <c r="F64" s="429"/>
      <c r="G64" s="119" t="s">
        <v>470</v>
      </c>
      <c r="H64" s="92"/>
      <c r="I64" s="92"/>
      <c r="J64" s="92"/>
      <c r="K64" s="92"/>
      <c r="L64" s="92"/>
      <c r="M64" s="92"/>
      <c r="N64" s="92"/>
    </row>
    <row r="65" spans="1:18" ht="15.75" thickBot="1">
      <c r="A65" s="768"/>
      <c r="B65" s="445" t="s">
        <v>468</v>
      </c>
      <c r="C65" s="400"/>
      <c r="D65" s="436">
        <v>13.06</v>
      </c>
      <c r="E65" s="430">
        <f>D64+D65</f>
        <v>26.12</v>
      </c>
      <c r="F65" s="429"/>
      <c r="G65" s="119" t="s">
        <v>471</v>
      </c>
      <c r="H65" s="92"/>
      <c r="I65" s="92"/>
      <c r="J65" s="92"/>
      <c r="K65" s="92"/>
      <c r="L65" s="92"/>
      <c r="M65" s="92"/>
      <c r="N65" s="92"/>
    </row>
    <row r="66" spans="1:18">
      <c r="A66" s="769">
        <v>2004</v>
      </c>
      <c r="B66" s="442" t="s">
        <v>473</v>
      </c>
      <c r="C66" s="428"/>
      <c r="D66" s="443">
        <v>4.3099999999999996</v>
      </c>
      <c r="E66" s="398"/>
      <c r="F66" s="428"/>
      <c r="G66" s="385" t="s">
        <v>474</v>
      </c>
      <c r="H66" s="92"/>
      <c r="I66" s="92"/>
      <c r="J66" s="92"/>
      <c r="K66" s="92"/>
      <c r="L66" s="92"/>
      <c r="M66" s="92"/>
      <c r="N66" s="92"/>
    </row>
    <row r="67" spans="1:18">
      <c r="A67" s="769"/>
      <c r="B67" s="442" t="s">
        <v>80</v>
      </c>
      <c r="C67" s="428"/>
      <c r="D67" s="398">
        <v>95.04</v>
      </c>
      <c r="E67" s="398"/>
      <c r="F67" s="428"/>
      <c r="G67" s="385" t="s">
        <v>483</v>
      </c>
      <c r="H67" s="92"/>
      <c r="I67" s="92"/>
      <c r="J67" s="92"/>
      <c r="K67" s="92"/>
      <c r="L67" s="92"/>
      <c r="M67" s="92"/>
      <c r="N67" s="92"/>
    </row>
    <row r="68" spans="1:18">
      <c r="A68" s="769"/>
      <c r="B68" s="442" t="s">
        <v>480</v>
      </c>
      <c r="C68" s="428"/>
      <c r="D68" s="398">
        <v>38.020000000000003</v>
      </c>
      <c r="E68" s="443">
        <f>D68+D67</f>
        <v>133.06</v>
      </c>
      <c r="F68" s="428"/>
      <c r="G68" s="385" t="s">
        <v>484</v>
      </c>
      <c r="H68" s="92"/>
      <c r="I68" s="92"/>
      <c r="J68" s="92"/>
      <c r="K68" s="92"/>
      <c r="L68" s="92"/>
      <c r="M68" s="92"/>
      <c r="N68" s="92"/>
    </row>
    <row r="69" spans="1:18">
      <c r="A69" s="769"/>
      <c r="B69" s="442" t="s">
        <v>481</v>
      </c>
      <c r="C69" s="428"/>
      <c r="D69" s="443">
        <v>3.99</v>
      </c>
      <c r="E69" s="443"/>
      <c r="F69" s="428"/>
      <c r="G69" s="385" t="s">
        <v>482</v>
      </c>
      <c r="H69" s="92"/>
      <c r="I69" s="92"/>
      <c r="J69" s="92"/>
      <c r="K69" s="92"/>
      <c r="L69" s="92"/>
      <c r="M69" s="92"/>
      <c r="N69" s="92"/>
    </row>
    <row r="70" spans="1:18">
      <c r="A70" s="769"/>
      <c r="B70" s="442" t="s">
        <v>487</v>
      </c>
      <c r="C70" s="428"/>
      <c r="D70" s="444">
        <v>1.26</v>
      </c>
      <c r="E70" s="443"/>
      <c r="F70" s="428"/>
      <c r="G70" s="385" t="s">
        <v>488</v>
      </c>
      <c r="H70" s="92"/>
      <c r="I70" s="92"/>
      <c r="J70" s="92"/>
      <c r="K70" s="92"/>
      <c r="L70" s="92"/>
      <c r="M70" s="92"/>
      <c r="N70" s="92"/>
    </row>
    <row r="71" spans="1:18">
      <c r="A71" s="769"/>
      <c r="B71" s="442" t="s">
        <v>81</v>
      </c>
      <c r="C71" s="428"/>
      <c r="D71" s="444">
        <v>0.53</v>
      </c>
      <c r="E71" s="443">
        <f>D70+D71</f>
        <v>1.79</v>
      </c>
      <c r="F71" s="428"/>
      <c r="G71" s="385" t="s">
        <v>489</v>
      </c>
      <c r="H71" s="92"/>
      <c r="I71" s="92"/>
      <c r="J71" s="92"/>
      <c r="K71" s="92"/>
      <c r="L71" s="92"/>
      <c r="M71" s="92"/>
      <c r="N71" s="92"/>
    </row>
    <row r="72" spans="1:18">
      <c r="A72" s="769"/>
      <c r="B72" s="442" t="s">
        <v>82</v>
      </c>
      <c r="C72" s="428"/>
      <c r="D72" s="443">
        <v>3.23</v>
      </c>
      <c r="E72" s="398"/>
      <c r="F72" s="428"/>
      <c r="G72" s="385" t="s">
        <v>491</v>
      </c>
      <c r="H72" s="92"/>
      <c r="I72" s="92"/>
      <c r="J72" s="92"/>
      <c r="K72" s="92"/>
      <c r="L72" s="92"/>
      <c r="M72" s="92"/>
      <c r="N72" s="92"/>
    </row>
    <row r="73" spans="1:18">
      <c r="A73" s="769"/>
      <c r="B73" s="442" t="s">
        <v>83</v>
      </c>
      <c r="C73" s="428"/>
      <c r="D73" s="398">
        <v>4.17</v>
      </c>
      <c r="E73" s="398"/>
      <c r="F73" s="428"/>
      <c r="G73" s="385" t="s">
        <v>494</v>
      </c>
      <c r="H73" s="92"/>
      <c r="I73" s="92"/>
      <c r="J73" s="92"/>
      <c r="K73" s="92"/>
      <c r="L73" s="92"/>
      <c r="M73" s="92"/>
      <c r="N73" s="92"/>
    </row>
    <row r="74" spans="1:18">
      <c r="A74" s="769"/>
      <c r="B74" s="442" t="s">
        <v>84</v>
      </c>
      <c r="C74" s="428"/>
      <c r="D74" s="398">
        <v>1.07</v>
      </c>
      <c r="E74" s="443"/>
      <c r="F74" s="428"/>
      <c r="G74" s="385" t="s">
        <v>495</v>
      </c>
      <c r="H74" s="92"/>
      <c r="I74" s="92"/>
      <c r="J74" s="92"/>
      <c r="K74" s="92"/>
      <c r="L74" s="92"/>
      <c r="M74" s="92"/>
      <c r="N74" s="92"/>
    </row>
    <row r="75" spans="1:18">
      <c r="A75" s="769"/>
      <c r="B75" s="442" t="s">
        <v>498</v>
      </c>
      <c r="C75" s="428"/>
      <c r="D75" s="398">
        <v>6.72</v>
      </c>
      <c r="E75" s="443"/>
      <c r="F75" s="428"/>
      <c r="G75" s="385" t="s">
        <v>499</v>
      </c>
      <c r="H75" s="92"/>
      <c r="I75" s="92"/>
      <c r="J75" s="92"/>
      <c r="K75" s="92"/>
      <c r="L75" s="92"/>
      <c r="M75" s="92"/>
      <c r="N75" s="92"/>
      <c r="R75"/>
    </row>
    <row r="76" spans="1:18">
      <c r="A76" s="769"/>
      <c r="B76" s="442" t="s">
        <v>500</v>
      </c>
      <c r="C76" s="428"/>
      <c r="D76" s="398">
        <v>11.54</v>
      </c>
      <c r="E76" s="443">
        <f>D73+D74+D75+D76</f>
        <v>23.5</v>
      </c>
      <c r="F76" s="428"/>
      <c r="G76" s="385" t="s">
        <v>501</v>
      </c>
      <c r="H76" s="92"/>
      <c r="I76" s="92"/>
      <c r="J76" s="92"/>
      <c r="K76" s="92"/>
      <c r="L76" s="92"/>
      <c r="M76" s="92"/>
      <c r="N76" s="92"/>
    </row>
    <row r="77" spans="1:18">
      <c r="A77" s="769"/>
      <c r="B77" s="442" t="s">
        <v>505</v>
      </c>
      <c r="C77" s="428"/>
      <c r="D77" s="398">
        <v>3.23</v>
      </c>
      <c r="E77" s="443"/>
      <c r="F77" s="428"/>
      <c r="G77" s="385" t="s">
        <v>504</v>
      </c>
      <c r="H77" s="92"/>
      <c r="I77" s="92"/>
      <c r="J77" s="92"/>
      <c r="K77" s="92"/>
      <c r="L77" s="92"/>
      <c r="M77" s="92"/>
      <c r="N77" s="92"/>
    </row>
    <row r="78" spans="1:18">
      <c r="A78" s="769"/>
      <c r="B78" s="442" t="s">
        <v>506</v>
      </c>
      <c r="C78" s="428"/>
      <c r="D78" s="398">
        <v>0.01</v>
      </c>
      <c r="E78" s="443"/>
      <c r="F78" s="428"/>
      <c r="G78" s="385" t="s">
        <v>507</v>
      </c>
      <c r="H78" s="92"/>
      <c r="I78" s="92"/>
      <c r="J78" s="92"/>
      <c r="K78" s="92"/>
      <c r="L78" s="92"/>
      <c r="M78" s="92"/>
      <c r="N78" s="92"/>
    </row>
    <row r="79" spans="1:18">
      <c r="A79" s="769"/>
      <c r="B79" s="442" t="s">
        <v>508</v>
      </c>
      <c r="C79" s="428"/>
      <c r="D79" s="398">
        <v>0.25</v>
      </c>
      <c r="E79" s="443"/>
      <c r="F79" s="428"/>
      <c r="G79" s="385" t="s">
        <v>509</v>
      </c>
      <c r="H79" s="92"/>
      <c r="I79" s="92"/>
      <c r="J79" s="92"/>
      <c r="K79" s="92"/>
      <c r="L79" s="92"/>
      <c r="M79" s="92"/>
      <c r="N79" s="92"/>
    </row>
    <row r="80" spans="1:18">
      <c r="A80" s="769"/>
      <c r="B80" s="442" t="s">
        <v>85</v>
      </c>
      <c r="C80" s="428"/>
      <c r="D80" s="398">
        <v>16.25</v>
      </c>
      <c r="E80" s="398"/>
      <c r="F80" s="428"/>
      <c r="G80" s="385" t="s">
        <v>510</v>
      </c>
      <c r="H80" s="92"/>
      <c r="I80" s="92"/>
      <c r="J80" s="92"/>
      <c r="K80" s="92"/>
      <c r="L80" s="92"/>
      <c r="M80" s="92"/>
      <c r="N80" s="92"/>
    </row>
    <row r="81" spans="1:14">
      <c r="A81" s="769"/>
      <c r="B81" s="442" t="s">
        <v>86</v>
      </c>
      <c r="C81" s="428"/>
      <c r="D81" s="398">
        <v>7.55</v>
      </c>
      <c r="E81" s="443">
        <f>D81+D80+D79+D78+D77</f>
        <v>27.290000000000003</v>
      </c>
      <c r="F81" s="428"/>
      <c r="G81" s="385" t="s">
        <v>511</v>
      </c>
      <c r="H81" s="92"/>
      <c r="I81" s="92"/>
      <c r="J81" s="92"/>
      <c r="K81" s="92"/>
      <c r="L81" s="92"/>
      <c r="M81" s="92"/>
      <c r="N81" s="92"/>
    </row>
    <row r="82" spans="1:14">
      <c r="A82" s="769"/>
      <c r="B82" s="442" t="s">
        <v>512</v>
      </c>
      <c r="C82" s="428"/>
      <c r="D82" s="398">
        <v>0.04</v>
      </c>
      <c r="E82" s="443"/>
      <c r="F82" s="428"/>
      <c r="G82" s="385" t="s">
        <v>513</v>
      </c>
      <c r="H82" s="92"/>
      <c r="I82" s="92"/>
      <c r="J82" s="92"/>
      <c r="K82" s="92"/>
      <c r="L82" s="92"/>
      <c r="M82" s="92"/>
      <c r="N82" s="92"/>
    </row>
    <row r="83" spans="1:14">
      <c r="A83" s="769"/>
      <c r="B83" s="442" t="s">
        <v>87</v>
      </c>
      <c r="C83" s="428"/>
      <c r="D83" s="444">
        <v>38.4</v>
      </c>
      <c r="E83" s="443">
        <f>D82+D83</f>
        <v>38.44</v>
      </c>
      <c r="F83" s="428"/>
      <c r="G83" s="385" t="s">
        <v>514</v>
      </c>
      <c r="H83" s="92"/>
      <c r="I83" s="92"/>
      <c r="J83" s="92"/>
      <c r="K83" s="92"/>
      <c r="L83" s="92"/>
      <c r="M83" s="92"/>
      <c r="N83" s="92"/>
    </row>
    <row r="84" spans="1:14">
      <c r="A84" s="769"/>
      <c r="B84" s="442" t="s">
        <v>519</v>
      </c>
      <c r="C84" s="428"/>
      <c r="D84" s="444">
        <v>0.64</v>
      </c>
      <c r="E84" s="443"/>
      <c r="F84" s="428"/>
      <c r="G84" s="385" t="s">
        <v>520</v>
      </c>
      <c r="H84" s="92"/>
      <c r="I84" s="92"/>
      <c r="J84" s="92"/>
      <c r="K84" s="92"/>
      <c r="L84" s="92"/>
      <c r="M84" s="92"/>
      <c r="N84" s="92"/>
    </row>
    <row r="85" spans="1:14">
      <c r="A85" s="769"/>
      <c r="B85" s="442" t="s">
        <v>88</v>
      </c>
      <c r="C85" s="428"/>
      <c r="D85" s="444">
        <v>26.93</v>
      </c>
      <c r="E85" s="398"/>
      <c r="F85" s="428"/>
      <c r="G85" s="385" t="s">
        <v>521</v>
      </c>
      <c r="H85" s="92"/>
      <c r="I85" s="92"/>
      <c r="J85" s="92"/>
      <c r="K85" s="92"/>
      <c r="L85" s="92"/>
      <c r="M85" s="92"/>
      <c r="N85" s="92"/>
    </row>
    <row r="86" spans="1:14" ht="15.75" thickBot="1">
      <c r="A86" s="770"/>
      <c r="B86" s="445" t="s">
        <v>522</v>
      </c>
      <c r="C86" s="400"/>
      <c r="D86" s="436">
        <v>4.75</v>
      </c>
      <c r="E86" s="430">
        <f>D84+D85+D86</f>
        <v>32.32</v>
      </c>
      <c r="F86" s="400"/>
      <c r="G86" s="386" t="s">
        <v>521</v>
      </c>
      <c r="H86" s="92"/>
      <c r="I86" s="92"/>
      <c r="J86" s="92"/>
      <c r="K86" s="92"/>
      <c r="L86" s="92"/>
      <c r="M86" s="92"/>
      <c r="N86" s="92"/>
    </row>
    <row r="87" spans="1:14">
      <c r="A87" s="470">
        <v>2005</v>
      </c>
      <c r="B87" s="447" t="s">
        <v>89</v>
      </c>
      <c r="C87" s="429"/>
      <c r="D87" s="433">
        <v>60.47</v>
      </c>
      <c r="E87" s="448"/>
      <c r="F87" s="429"/>
      <c r="G87" s="119" t="s">
        <v>524</v>
      </c>
      <c r="H87" s="92"/>
      <c r="I87" s="92"/>
      <c r="J87" s="92"/>
      <c r="K87" s="92"/>
      <c r="L87" s="92"/>
      <c r="M87" s="92"/>
      <c r="N87" s="92"/>
    </row>
    <row r="88" spans="1:14">
      <c r="A88" s="471"/>
      <c r="B88" s="447" t="s">
        <v>90</v>
      </c>
      <c r="C88" s="429"/>
      <c r="D88" s="433">
        <v>47.57</v>
      </c>
      <c r="E88" s="448"/>
      <c r="F88" s="429"/>
      <c r="G88" s="119" t="s">
        <v>529</v>
      </c>
      <c r="H88" s="92"/>
      <c r="I88" s="92"/>
      <c r="J88" s="92"/>
      <c r="K88" s="92"/>
      <c r="L88" s="92"/>
      <c r="M88" s="92"/>
      <c r="N88" s="92"/>
    </row>
    <row r="89" spans="1:14">
      <c r="A89" s="471"/>
      <c r="B89" s="447" t="s">
        <v>532</v>
      </c>
      <c r="C89" s="429"/>
      <c r="D89" s="435">
        <v>15.44</v>
      </c>
      <c r="E89" s="448"/>
      <c r="F89" s="429"/>
      <c r="G89" s="119" t="s">
        <v>530</v>
      </c>
      <c r="H89" s="92"/>
      <c r="I89" s="92"/>
      <c r="J89" s="92"/>
      <c r="K89" s="92"/>
      <c r="L89" s="92"/>
      <c r="M89" s="92"/>
      <c r="N89" s="92"/>
    </row>
    <row r="90" spans="1:14">
      <c r="A90" s="471"/>
      <c r="B90" s="447" t="s">
        <v>533</v>
      </c>
      <c r="C90" s="429"/>
      <c r="D90" s="435">
        <v>7.79</v>
      </c>
      <c r="E90" s="433">
        <f>D89+D90</f>
        <v>23.23</v>
      </c>
      <c r="F90" s="429"/>
      <c r="G90" s="119" t="s">
        <v>531</v>
      </c>
      <c r="H90" s="92"/>
      <c r="I90" s="92"/>
      <c r="J90" s="92"/>
      <c r="K90" s="92"/>
      <c r="L90" s="92"/>
      <c r="M90" s="92"/>
      <c r="N90" s="92"/>
    </row>
    <row r="91" spans="1:14">
      <c r="A91" s="471"/>
      <c r="B91" s="447" t="s">
        <v>91</v>
      </c>
      <c r="C91" s="429"/>
      <c r="D91" s="433">
        <v>1.83</v>
      </c>
      <c r="E91" s="448"/>
      <c r="F91" s="429"/>
      <c r="G91" s="119" t="s">
        <v>534</v>
      </c>
      <c r="H91" s="92"/>
      <c r="I91" s="92"/>
      <c r="J91" s="92"/>
      <c r="K91" s="92"/>
      <c r="L91" s="92"/>
      <c r="M91" s="92"/>
      <c r="N91" s="92"/>
    </row>
    <row r="92" spans="1:14">
      <c r="A92" s="468"/>
      <c r="B92" s="447" t="s">
        <v>536</v>
      </c>
      <c r="C92" s="429"/>
      <c r="D92" s="433">
        <v>5.3</v>
      </c>
      <c r="E92" s="448"/>
      <c r="F92" s="429"/>
      <c r="G92" s="119" t="s">
        <v>535</v>
      </c>
      <c r="H92" s="92"/>
      <c r="I92" s="92"/>
      <c r="J92" s="92"/>
      <c r="K92" s="92"/>
      <c r="L92" s="92"/>
      <c r="M92" s="92"/>
      <c r="N92" s="92"/>
    </row>
    <row r="93" spans="1:14">
      <c r="A93" s="469"/>
      <c r="B93" s="447" t="s">
        <v>538</v>
      </c>
      <c r="C93" s="429"/>
      <c r="D93" s="435">
        <v>3.24</v>
      </c>
      <c r="E93" s="448"/>
      <c r="F93" s="429"/>
      <c r="G93" s="119" t="s">
        <v>539</v>
      </c>
      <c r="H93" s="92"/>
      <c r="I93" s="92"/>
      <c r="J93" s="92"/>
      <c r="K93" s="92"/>
      <c r="L93" s="92"/>
      <c r="M93" s="92"/>
      <c r="N93" s="92"/>
    </row>
    <row r="94" spans="1:14">
      <c r="A94" s="469"/>
      <c r="B94" s="447" t="s">
        <v>540</v>
      </c>
      <c r="C94" s="429"/>
      <c r="D94" s="435">
        <v>0.02</v>
      </c>
      <c r="E94" s="448"/>
      <c r="F94" s="429"/>
      <c r="G94" s="119" t="s">
        <v>542</v>
      </c>
      <c r="H94" s="92"/>
      <c r="I94" s="92"/>
      <c r="J94" s="92"/>
      <c r="K94" s="92"/>
      <c r="L94" s="92"/>
      <c r="M94" s="92"/>
      <c r="N94" s="92"/>
    </row>
    <row r="95" spans="1:14">
      <c r="A95" s="469"/>
      <c r="B95" s="447" t="s">
        <v>541</v>
      </c>
      <c r="C95" s="429"/>
      <c r="D95" s="435">
        <v>13.31</v>
      </c>
      <c r="E95" s="433">
        <f>C95+D93+D95</f>
        <v>16.55</v>
      </c>
      <c r="F95" s="429"/>
      <c r="G95" s="119" t="s">
        <v>543</v>
      </c>
      <c r="H95" s="92"/>
      <c r="I95" s="92"/>
      <c r="J95" s="92"/>
      <c r="K95" s="92"/>
      <c r="L95" s="92"/>
      <c r="M95" s="92"/>
      <c r="N95" s="92"/>
    </row>
    <row r="96" spans="1:14">
      <c r="A96" s="469"/>
      <c r="B96" s="447" t="s">
        <v>546</v>
      </c>
      <c r="C96" s="429"/>
      <c r="D96" s="433">
        <v>9.5</v>
      </c>
      <c r="E96" s="448"/>
      <c r="F96" s="429"/>
      <c r="G96" s="119" t="s">
        <v>544</v>
      </c>
      <c r="H96" s="92"/>
      <c r="I96" s="92"/>
      <c r="J96" s="92"/>
      <c r="K96" s="92"/>
      <c r="L96" s="92"/>
      <c r="M96" s="92"/>
      <c r="N96" s="92"/>
    </row>
    <row r="97" spans="1:14">
      <c r="A97" s="473"/>
      <c r="B97" s="447" t="s">
        <v>545</v>
      </c>
      <c r="C97" s="429"/>
      <c r="D97" s="433">
        <v>1.94</v>
      </c>
      <c r="E97" s="448"/>
      <c r="F97" s="429"/>
      <c r="G97" s="119" t="s">
        <v>547</v>
      </c>
      <c r="H97" s="92"/>
      <c r="I97" s="92"/>
      <c r="J97" s="92"/>
      <c r="K97" s="92"/>
      <c r="L97" s="92"/>
      <c r="M97" s="92"/>
      <c r="N97" s="92"/>
    </row>
    <row r="98" spans="1:14">
      <c r="A98" s="473"/>
      <c r="B98" s="447"/>
      <c r="C98" s="429"/>
      <c r="D98" s="433"/>
      <c r="E98" s="433">
        <f>D96+D97+D98</f>
        <v>11.44</v>
      </c>
      <c r="F98" s="429"/>
      <c r="G98" s="119"/>
      <c r="H98" s="92"/>
      <c r="I98" s="92"/>
      <c r="J98" s="92"/>
      <c r="K98" s="92"/>
      <c r="L98" s="92"/>
      <c r="M98" s="92"/>
      <c r="N98" s="92"/>
    </row>
    <row r="99" spans="1:14">
      <c r="A99" s="773">
        <v>2006</v>
      </c>
      <c r="B99" s="447" t="s">
        <v>92</v>
      </c>
      <c r="C99" s="429"/>
      <c r="D99" s="433">
        <v>1.1599999999999999</v>
      </c>
      <c r="E99" s="448"/>
      <c r="F99" s="429"/>
      <c r="G99" s="119"/>
      <c r="H99" s="92"/>
      <c r="I99" s="92"/>
      <c r="J99" s="92"/>
      <c r="K99" s="92"/>
      <c r="L99" s="92"/>
      <c r="M99" s="92"/>
      <c r="N99" s="92"/>
    </row>
    <row r="100" spans="1:14">
      <c r="A100" s="773"/>
      <c r="B100" s="447" t="s">
        <v>93</v>
      </c>
      <c r="C100" s="429"/>
      <c r="D100" s="433">
        <v>9.84</v>
      </c>
      <c r="E100" s="448"/>
      <c r="F100" s="429"/>
      <c r="G100" s="119"/>
      <c r="H100" s="92"/>
      <c r="I100" s="92"/>
      <c r="J100" s="92"/>
      <c r="K100" s="92"/>
      <c r="L100" s="92"/>
      <c r="M100" s="92"/>
      <c r="N100" s="92"/>
    </row>
    <row r="101" spans="1:14">
      <c r="A101" s="767">
        <v>2007</v>
      </c>
      <c r="B101" s="442" t="s">
        <v>128</v>
      </c>
      <c r="C101" s="428"/>
      <c r="D101" s="398">
        <v>3.16</v>
      </c>
      <c r="E101" s="398"/>
      <c r="F101" s="429"/>
      <c r="G101" s="119"/>
      <c r="H101" s="92"/>
      <c r="I101" s="92"/>
      <c r="J101" s="92"/>
      <c r="K101" s="92"/>
      <c r="L101" s="92"/>
      <c r="M101" s="92"/>
      <c r="N101" s="92"/>
    </row>
    <row r="102" spans="1:14">
      <c r="A102" s="767"/>
      <c r="B102" s="442" t="s">
        <v>129</v>
      </c>
      <c r="C102" s="428"/>
      <c r="D102" s="398">
        <v>22.63</v>
      </c>
      <c r="E102" s="443">
        <f>D101+D102</f>
        <v>25.79</v>
      </c>
      <c r="F102" s="429"/>
      <c r="G102" s="119"/>
      <c r="H102" s="92"/>
      <c r="I102" s="92"/>
      <c r="J102" s="92"/>
      <c r="K102" s="92"/>
      <c r="L102" s="92"/>
      <c r="M102" s="92"/>
      <c r="N102" s="92"/>
    </row>
    <row r="103" spans="1:14">
      <c r="A103" s="767"/>
      <c r="B103" s="442" t="s">
        <v>130</v>
      </c>
      <c r="C103" s="428"/>
      <c r="D103" s="443">
        <v>5.26</v>
      </c>
      <c r="E103" s="398"/>
      <c r="F103" s="429"/>
      <c r="G103" s="119"/>
      <c r="H103" s="92"/>
      <c r="I103" s="92"/>
      <c r="J103" s="92"/>
      <c r="K103" s="92"/>
      <c r="L103" s="92"/>
      <c r="M103" s="92"/>
      <c r="N103" s="92"/>
    </row>
    <row r="104" spans="1:14">
      <c r="A104" s="767"/>
      <c r="B104" s="442" t="s">
        <v>131</v>
      </c>
      <c r="C104" s="428"/>
      <c r="D104" s="398">
        <v>2.69</v>
      </c>
      <c r="E104" s="398"/>
      <c r="F104" s="429"/>
      <c r="G104" s="119"/>
      <c r="H104" s="92"/>
      <c r="I104" s="92"/>
      <c r="J104" s="92"/>
      <c r="K104" s="92"/>
      <c r="L104" s="92"/>
      <c r="M104" s="92"/>
      <c r="N104" s="92"/>
    </row>
    <row r="105" spans="1:14">
      <c r="A105" s="767"/>
      <c r="B105" s="442" t="s">
        <v>132</v>
      </c>
      <c r="C105" s="428"/>
      <c r="D105" s="398">
        <v>2.69</v>
      </c>
      <c r="E105" s="443">
        <f>D104+D105</f>
        <v>5.38</v>
      </c>
      <c r="F105" s="429"/>
      <c r="G105" s="119"/>
      <c r="H105" s="92"/>
      <c r="I105" s="92"/>
      <c r="J105" s="92"/>
      <c r="K105" s="92"/>
      <c r="L105" s="92"/>
      <c r="M105" s="92"/>
      <c r="N105" s="92"/>
    </row>
    <row r="106" spans="1:14">
      <c r="A106" s="767"/>
      <c r="B106" s="442" t="s">
        <v>133</v>
      </c>
      <c r="C106" s="428"/>
      <c r="D106" s="443">
        <v>16.2</v>
      </c>
      <c r="E106" s="398"/>
      <c r="F106" s="429"/>
      <c r="G106" s="119"/>
      <c r="H106" s="92"/>
      <c r="I106" s="92"/>
      <c r="J106" s="92"/>
      <c r="K106" s="92"/>
      <c r="L106" s="92"/>
      <c r="M106" s="92"/>
      <c r="N106" s="92"/>
    </row>
    <row r="107" spans="1:14">
      <c r="A107" s="767"/>
      <c r="B107" s="442" t="s">
        <v>134</v>
      </c>
      <c r="C107" s="428"/>
      <c r="D107" s="443">
        <v>7.32</v>
      </c>
      <c r="E107" s="398"/>
      <c r="F107" s="429"/>
      <c r="G107" s="119"/>
      <c r="H107" s="92"/>
      <c r="I107" s="92"/>
      <c r="J107" s="92"/>
      <c r="K107" s="92"/>
      <c r="L107" s="92"/>
      <c r="M107" s="92"/>
      <c r="N107" s="92"/>
    </row>
    <row r="108" spans="1:14">
      <c r="A108" s="767"/>
      <c r="B108" s="442" t="s">
        <v>135</v>
      </c>
      <c r="C108" s="428"/>
      <c r="D108" s="443">
        <v>16.32</v>
      </c>
      <c r="E108" s="398"/>
      <c r="F108" s="429"/>
      <c r="G108" s="119"/>
      <c r="H108" s="92"/>
      <c r="I108" s="92"/>
      <c r="J108" s="92"/>
      <c r="K108" s="92"/>
      <c r="L108" s="92"/>
      <c r="M108" s="92"/>
      <c r="N108" s="92"/>
    </row>
    <row r="109" spans="1:14">
      <c r="A109" s="767"/>
      <c r="B109" s="442" t="s">
        <v>136</v>
      </c>
      <c r="C109" s="428"/>
      <c r="D109" s="443">
        <v>6.82</v>
      </c>
      <c r="E109" s="398"/>
      <c r="F109" s="429"/>
      <c r="G109" s="119"/>
      <c r="H109" s="92"/>
      <c r="I109" s="92"/>
      <c r="J109" s="92"/>
      <c r="K109" s="92"/>
      <c r="L109" s="92"/>
      <c r="M109" s="92"/>
      <c r="N109" s="92"/>
    </row>
    <row r="110" spans="1:14" ht="15.75" thickBot="1">
      <c r="A110" s="768"/>
      <c r="B110" s="445" t="s">
        <v>137</v>
      </c>
      <c r="C110" s="400"/>
      <c r="D110" s="430">
        <v>19.440000000000001</v>
      </c>
      <c r="E110" s="397"/>
      <c r="F110" s="429"/>
      <c r="G110" s="119"/>
      <c r="H110" s="92"/>
      <c r="I110" s="92"/>
      <c r="J110" s="92"/>
      <c r="K110" s="92"/>
      <c r="L110" s="92"/>
      <c r="M110" s="92"/>
      <c r="N110" s="92"/>
    </row>
    <row r="111" spans="1:14">
      <c r="A111" s="769">
        <v>2008</v>
      </c>
      <c r="B111" s="442" t="s">
        <v>138</v>
      </c>
      <c r="C111" s="428"/>
      <c r="D111" s="443">
        <v>9.5</v>
      </c>
      <c r="E111" s="398"/>
      <c r="F111" s="429"/>
      <c r="G111" s="119" t="s">
        <v>113</v>
      </c>
      <c r="H111" s="92"/>
      <c r="I111" s="92"/>
      <c r="J111" s="92"/>
      <c r="K111" s="92"/>
      <c r="L111" s="92"/>
      <c r="M111" s="92"/>
      <c r="N111" s="92"/>
    </row>
    <row r="112" spans="1:14">
      <c r="A112" s="769"/>
      <c r="B112" s="442" t="s">
        <v>175</v>
      </c>
      <c r="C112" s="428"/>
      <c r="D112" s="444">
        <v>10.199999999999999</v>
      </c>
      <c r="E112" s="398"/>
      <c r="F112" s="429"/>
      <c r="G112" s="119" t="s">
        <v>113</v>
      </c>
      <c r="H112" s="92"/>
      <c r="I112" s="92"/>
      <c r="J112" s="92"/>
      <c r="K112" s="92"/>
      <c r="L112" s="92"/>
      <c r="M112" s="92"/>
      <c r="N112" s="92"/>
    </row>
    <row r="113" spans="1:14">
      <c r="A113" s="769"/>
      <c r="B113" s="442" t="s">
        <v>139</v>
      </c>
      <c r="C113" s="428"/>
      <c r="D113" s="444">
        <v>7.68</v>
      </c>
      <c r="E113" s="443">
        <f>D112+D113</f>
        <v>17.88</v>
      </c>
      <c r="F113" s="429"/>
      <c r="G113" s="119" t="s">
        <v>113</v>
      </c>
      <c r="H113" s="92"/>
      <c r="I113" s="92"/>
      <c r="J113" s="92"/>
      <c r="K113" s="92"/>
      <c r="L113" s="92"/>
      <c r="M113" s="92"/>
      <c r="N113" s="92"/>
    </row>
    <row r="114" spans="1:14" ht="15.75" thickBot="1">
      <c r="A114" s="770"/>
      <c r="B114" s="445" t="s">
        <v>140</v>
      </c>
      <c r="C114" s="400"/>
      <c r="D114" s="430">
        <v>5.4</v>
      </c>
      <c r="E114" s="397"/>
      <c r="F114" s="429"/>
      <c r="G114" s="119"/>
      <c r="H114" s="92"/>
      <c r="I114" s="92"/>
      <c r="J114" s="92"/>
      <c r="K114" s="92"/>
      <c r="L114" s="92"/>
      <c r="M114" s="92"/>
      <c r="N114" s="92"/>
    </row>
    <row r="115" spans="1:14">
      <c r="A115" s="767">
        <v>2009</v>
      </c>
      <c r="B115" s="442" t="s">
        <v>141</v>
      </c>
      <c r="C115" s="428"/>
      <c r="D115" s="443">
        <v>10.82</v>
      </c>
      <c r="E115" s="398"/>
      <c r="F115" s="429"/>
      <c r="G115" s="119"/>
      <c r="H115" s="92"/>
      <c r="I115" s="92"/>
      <c r="J115" s="92"/>
      <c r="K115" s="92"/>
      <c r="L115" s="92"/>
      <c r="M115" s="92"/>
      <c r="N115" s="92"/>
    </row>
    <row r="116" spans="1:14">
      <c r="A116" s="767"/>
      <c r="B116" s="442" t="s">
        <v>142</v>
      </c>
      <c r="C116" s="428"/>
      <c r="D116" s="443">
        <v>10.16</v>
      </c>
      <c r="E116" s="398"/>
      <c r="F116" s="429"/>
      <c r="G116" s="119"/>
      <c r="H116" s="92"/>
      <c r="I116" s="92"/>
      <c r="J116" s="92"/>
      <c r="K116" s="92"/>
      <c r="L116" s="92"/>
      <c r="M116" s="92"/>
      <c r="N116" s="92"/>
    </row>
    <row r="117" spans="1:14">
      <c r="A117" s="767"/>
      <c r="B117" s="442" t="s">
        <v>143</v>
      </c>
      <c r="C117" s="428"/>
      <c r="D117" s="443">
        <v>8.1</v>
      </c>
      <c r="E117" s="398"/>
      <c r="F117" s="429"/>
      <c r="G117" s="119"/>
      <c r="H117" s="92"/>
      <c r="I117" s="92"/>
      <c r="J117" s="92"/>
      <c r="K117" s="92"/>
      <c r="L117" s="92"/>
      <c r="M117" s="92"/>
      <c r="N117" s="92"/>
    </row>
    <row r="118" spans="1:14">
      <c r="A118" s="767"/>
      <c r="B118" s="442" t="s">
        <v>144</v>
      </c>
      <c r="C118" s="428"/>
      <c r="D118" s="443">
        <v>18</v>
      </c>
      <c r="E118" s="398"/>
      <c r="F118" s="429"/>
      <c r="G118" s="119"/>
      <c r="H118" s="92"/>
      <c r="I118" s="92"/>
      <c r="J118" s="92"/>
      <c r="K118" s="92"/>
      <c r="L118" s="92"/>
      <c r="M118" s="92"/>
      <c r="N118" s="92"/>
    </row>
    <row r="119" spans="1:14" ht="15.75" thickBot="1">
      <c r="A119" s="768"/>
      <c r="B119" s="445" t="s">
        <v>145</v>
      </c>
      <c r="C119" s="400"/>
      <c r="D119" s="430">
        <v>1.8</v>
      </c>
      <c r="E119" s="397"/>
      <c r="F119" s="429"/>
      <c r="G119" s="119"/>
      <c r="H119" s="92"/>
      <c r="I119" s="92"/>
      <c r="J119" s="92"/>
      <c r="K119" s="92"/>
      <c r="L119" s="92"/>
      <c r="M119" s="92"/>
      <c r="N119" s="92"/>
    </row>
    <row r="120" spans="1:14">
      <c r="A120" s="769">
        <v>2010</v>
      </c>
      <c r="B120" s="442" t="s">
        <v>146</v>
      </c>
      <c r="C120" s="428"/>
      <c r="D120" s="443">
        <v>27</v>
      </c>
      <c r="E120" s="398"/>
      <c r="F120" s="429"/>
      <c r="G120" s="119"/>
      <c r="H120" s="92"/>
      <c r="I120" s="92"/>
      <c r="J120" s="92"/>
      <c r="K120" s="92"/>
      <c r="L120" s="92"/>
      <c r="M120" s="92"/>
      <c r="N120" s="92"/>
    </row>
    <row r="121" spans="1:14">
      <c r="A121" s="769"/>
      <c r="B121" s="442" t="s">
        <v>147</v>
      </c>
      <c r="C121" s="428"/>
      <c r="D121" s="444">
        <v>17.989999999999998</v>
      </c>
      <c r="E121" s="398"/>
      <c r="F121" s="429"/>
      <c r="G121" s="119"/>
      <c r="H121" s="92"/>
      <c r="I121" s="92"/>
      <c r="J121" s="92"/>
      <c r="K121" s="92"/>
      <c r="L121" s="92"/>
      <c r="M121" s="92"/>
      <c r="N121" s="92"/>
    </row>
    <row r="122" spans="1:14">
      <c r="A122" s="769"/>
      <c r="B122" s="442" t="s">
        <v>161</v>
      </c>
      <c r="C122" s="428"/>
      <c r="D122" s="444">
        <v>7.94</v>
      </c>
      <c r="E122" s="443">
        <f>D121+D122</f>
        <v>25.93</v>
      </c>
      <c r="F122" s="429"/>
      <c r="G122" s="119" t="s">
        <v>162</v>
      </c>
      <c r="H122" s="92"/>
      <c r="I122" s="92"/>
      <c r="J122" s="92"/>
      <c r="K122" s="92"/>
      <c r="L122" s="92"/>
      <c r="M122" s="92"/>
      <c r="N122" s="92"/>
    </row>
    <row r="123" spans="1:14">
      <c r="A123" s="769"/>
      <c r="B123" s="442" t="s">
        <v>148</v>
      </c>
      <c r="C123" s="428"/>
      <c r="D123" s="398">
        <v>13.1</v>
      </c>
      <c r="E123" s="398"/>
      <c r="F123" s="429"/>
      <c r="G123" s="119"/>
      <c r="H123" s="92"/>
      <c r="I123" s="92"/>
      <c r="J123" s="92"/>
      <c r="K123" s="92"/>
      <c r="L123" s="92"/>
      <c r="M123" s="92"/>
      <c r="N123" s="92"/>
    </row>
    <row r="124" spans="1:14">
      <c r="A124" s="769"/>
      <c r="B124" s="442" t="s">
        <v>149</v>
      </c>
      <c r="C124" s="428"/>
      <c r="D124" s="398">
        <v>15.8</v>
      </c>
      <c r="E124" s="398"/>
      <c r="F124" s="429"/>
      <c r="G124" s="119"/>
      <c r="H124" s="92"/>
      <c r="I124" s="92"/>
      <c r="J124" s="92"/>
      <c r="K124" s="92"/>
      <c r="L124" s="92"/>
      <c r="M124" s="92"/>
      <c r="N124" s="92"/>
    </row>
    <row r="125" spans="1:14">
      <c r="A125" s="769"/>
      <c r="B125" s="442" t="s">
        <v>150</v>
      </c>
      <c r="C125" s="428"/>
      <c r="D125" s="398">
        <v>8.3000000000000007</v>
      </c>
      <c r="E125" s="398"/>
      <c r="F125" s="429"/>
      <c r="G125" s="119"/>
      <c r="H125" s="92"/>
      <c r="I125" s="92"/>
      <c r="J125" s="92"/>
      <c r="K125" s="92"/>
      <c r="L125" s="92"/>
      <c r="M125" s="92"/>
      <c r="N125" s="92"/>
    </row>
    <row r="126" spans="1:14">
      <c r="A126" s="769"/>
      <c r="B126" s="442" t="s">
        <v>151</v>
      </c>
      <c r="C126" s="428"/>
      <c r="D126" s="398">
        <v>54.65</v>
      </c>
      <c r="E126" s="443">
        <f>D123+D124+D125+D126</f>
        <v>91.85</v>
      </c>
      <c r="F126" s="429"/>
      <c r="G126" s="119"/>
      <c r="H126" s="92"/>
      <c r="I126" s="92"/>
      <c r="J126" s="92"/>
      <c r="K126" s="92"/>
      <c r="L126" s="92"/>
      <c r="M126" s="92"/>
      <c r="N126" s="92"/>
    </row>
    <row r="127" spans="1:14">
      <c r="A127" s="769"/>
      <c r="B127" s="442" t="s">
        <v>152</v>
      </c>
      <c r="C127" s="428"/>
      <c r="D127" s="398">
        <v>5.48</v>
      </c>
      <c r="E127" s="398"/>
      <c r="F127" s="429"/>
      <c r="G127" s="119"/>
      <c r="H127" s="92"/>
      <c r="I127" s="92"/>
      <c r="J127" s="92"/>
      <c r="K127" s="92"/>
      <c r="L127" s="92"/>
      <c r="M127" s="92"/>
      <c r="N127" s="92"/>
    </row>
    <row r="128" spans="1:14">
      <c r="A128" s="769"/>
      <c r="B128" s="442" t="s">
        <v>153</v>
      </c>
      <c r="C128" s="428"/>
      <c r="D128" s="398">
        <v>5.48</v>
      </c>
      <c r="E128" s="443">
        <f>D127+D128</f>
        <v>10.96</v>
      </c>
      <c r="F128" s="429"/>
      <c r="G128" s="119"/>
      <c r="H128" s="92"/>
      <c r="I128" s="92"/>
      <c r="J128" s="92"/>
      <c r="K128" s="92"/>
      <c r="L128" s="92"/>
      <c r="M128" s="92"/>
      <c r="N128" s="92"/>
    </row>
    <row r="129" spans="1:14">
      <c r="A129" s="769"/>
      <c r="B129" s="442" t="s">
        <v>171</v>
      </c>
      <c r="C129" s="428"/>
      <c r="D129" s="398">
        <v>0.9</v>
      </c>
      <c r="E129" s="443"/>
      <c r="F129" s="429"/>
      <c r="G129" s="119"/>
      <c r="H129" s="92"/>
      <c r="I129" s="92"/>
      <c r="J129" s="92"/>
      <c r="K129" s="92"/>
      <c r="L129" s="92"/>
      <c r="M129" s="92"/>
      <c r="N129" s="92"/>
    </row>
    <row r="130" spans="1:14">
      <c r="A130" s="769"/>
      <c r="B130" s="442" t="s">
        <v>154</v>
      </c>
      <c r="C130" s="428"/>
      <c r="D130" s="444">
        <v>19.8</v>
      </c>
      <c r="E130" s="443">
        <f>D129+D130</f>
        <v>20.7</v>
      </c>
      <c r="F130" s="429"/>
      <c r="G130" s="119"/>
      <c r="H130" s="92"/>
      <c r="I130" s="92"/>
      <c r="J130" s="92"/>
      <c r="K130" s="92"/>
      <c r="L130" s="92"/>
      <c r="M130" s="92"/>
      <c r="N130" s="92"/>
    </row>
    <row r="131" spans="1:14" ht="15.75" thickBot="1">
      <c r="A131" s="770"/>
      <c r="B131" s="445" t="s">
        <v>168</v>
      </c>
      <c r="C131" s="400"/>
      <c r="D131" s="430">
        <v>1.72</v>
      </c>
      <c r="E131" s="397"/>
      <c r="F131" s="429"/>
      <c r="G131" s="119" t="s">
        <v>169</v>
      </c>
      <c r="H131" s="92"/>
      <c r="I131" s="92"/>
      <c r="J131" s="92"/>
      <c r="K131" s="92"/>
      <c r="L131" s="92"/>
      <c r="M131" s="92"/>
      <c r="N131" s="92"/>
    </row>
    <row r="132" spans="1:14">
      <c r="A132" s="767">
        <v>2011</v>
      </c>
      <c r="B132" s="442" t="s">
        <v>167</v>
      </c>
      <c r="C132" s="428"/>
      <c r="D132" s="443">
        <v>23.91</v>
      </c>
      <c r="E132" s="398"/>
      <c r="F132" s="429"/>
      <c r="G132" s="119" t="s">
        <v>164</v>
      </c>
      <c r="H132" s="92"/>
      <c r="I132" s="92"/>
      <c r="J132" s="92"/>
      <c r="K132" s="92"/>
      <c r="L132" s="92"/>
      <c r="M132" s="92"/>
      <c r="N132" s="92"/>
    </row>
    <row r="133" spans="1:14" ht="15.75" thickBot="1">
      <c r="A133" s="768"/>
      <c r="B133" s="445" t="s">
        <v>163</v>
      </c>
      <c r="C133" s="400"/>
      <c r="D133" s="430">
        <v>2.12</v>
      </c>
      <c r="E133" s="397"/>
      <c r="F133" s="429"/>
      <c r="G133" s="119"/>
      <c r="H133" s="92"/>
      <c r="I133" s="92"/>
      <c r="J133" s="92"/>
      <c r="K133" s="92"/>
      <c r="L133" s="92"/>
      <c r="M133" s="92"/>
      <c r="N133" s="92"/>
    </row>
    <row r="134" spans="1:14" ht="15.75" thickBot="1">
      <c r="A134" s="411">
        <v>2012</v>
      </c>
      <c r="B134" s="445" t="s">
        <v>165</v>
      </c>
      <c r="C134" s="400"/>
      <c r="D134" s="430">
        <v>4.26</v>
      </c>
      <c r="E134" s="397"/>
      <c r="F134" s="429"/>
      <c r="G134" s="92"/>
      <c r="H134" s="92"/>
      <c r="I134" s="92"/>
      <c r="J134" s="92"/>
      <c r="K134" s="92"/>
      <c r="L134" s="92"/>
      <c r="M134" s="92"/>
      <c r="N134" s="92"/>
    </row>
    <row r="135" spans="1:14">
      <c r="A135" s="4"/>
      <c r="B135" s="447"/>
      <c r="C135" s="429"/>
      <c r="D135" s="429"/>
      <c r="E135" s="429"/>
      <c r="F135" s="429"/>
      <c r="G135" s="92"/>
      <c r="H135" s="92"/>
      <c r="I135" s="92"/>
      <c r="J135" s="92"/>
      <c r="K135" s="92"/>
      <c r="L135" s="92"/>
      <c r="M135" s="92"/>
      <c r="N135" s="92"/>
    </row>
    <row r="136" spans="1:14">
      <c r="A136" s="4"/>
      <c r="B136" s="447"/>
      <c r="C136" s="429"/>
      <c r="D136" s="429"/>
      <c r="E136" s="429"/>
      <c r="F136" s="429"/>
      <c r="G136" s="92"/>
      <c r="H136" s="92"/>
      <c r="I136" s="92"/>
      <c r="J136" s="92"/>
      <c r="K136" s="92"/>
      <c r="L136" s="92"/>
      <c r="M136" s="92"/>
      <c r="N136" s="92"/>
    </row>
    <row r="137" spans="1:14">
      <c r="A137" s="4"/>
      <c r="B137" s="447"/>
      <c r="C137" s="429"/>
      <c r="D137" s="429"/>
      <c r="E137" s="429"/>
      <c r="F137" s="429"/>
      <c r="G137" s="92"/>
      <c r="H137" s="92"/>
      <c r="I137" s="92"/>
      <c r="J137" s="92"/>
      <c r="K137" s="92"/>
      <c r="L137" s="92"/>
      <c r="M137" s="92"/>
      <c r="N137" s="92"/>
    </row>
    <row r="138" spans="1:14">
      <c r="A138" s="4"/>
      <c r="B138" s="4"/>
      <c r="C138" s="4"/>
      <c r="D138" s="4"/>
      <c r="E138" s="4"/>
      <c r="F138" s="4"/>
    </row>
  </sheetData>
  <mergeCells count="13">
    <mergeCell ref="A132:A133"/>
    <mergeCell ref="A120:A131"/>
    <mergeCell ref="A57:A65"/>
    <mergeCell ref="A20:N20"/>
    <mergeCell ref="A44:A56"/>
    <mergeCell ref="A115:A119"/>
    <mergeCell ref="A66:A86"/>
    <mergeCell ref="A99:A100"/>
    <mergeCell ref="A101:A110"/>
    <mergeCell ref="A111:A114"/>
    <mergeCell ref="A23:A26"/>
    <mergeCell ref="A27:A31"/>
    <mergeCell ref="A32:A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S34" sqref="S34"/>
    </sheetView>
  </sheetViews>
  <sheetFormatPr defaultRowHeight="15"/>
  <cols>
    <col min="1" max="1" width="5" style="11" bestFit="1" customWidth="1"/>
    <col min="2" max="2" width="7" style="11" bestFit="1" customWidth="1"/>
    <col min="3" max="3" width="3.88671875" style="11" bestFit="1" customWidth="1"/>
    <col min="4" max="4" width="7" style="11" bestFit="1" customWidth="1"/>
    <col min="5" max="6" width="3.88671875" style="11" bestFit="1" customWidth="1"/>
    <col min="7" max="8" width="7" style="11" bestFit="1" customWidth="1"/>
    <col min="9" max="9" width="3.88671875" style="11" bestFit="1" customWidth="1"/>
    <col min="10" max="10" width="7" style="11" bestFit="1" customWidth="1"/>
    <col min="11" max="12" width="4.88671875" style="11" bestFit="1" customWidth="1"/>
    <col min="13" max="13" width="8" style="11" bestFit="1" customWidth="1"/>
    <col min="14" max="14" width="8.109375" style="11" bestFit="1" customWidth="1"/>
    <col min="15" max="15" width="9" style="11" bestFit="1" customWidth="1"/>
    <col min="16" max="16" width="3.21875" style="11" bestFit="1" customWidth="1"/>
    <col min="17" max="16384" width="8.88671875" style="11"/>
  </cols>
  <sheetData>
    <row r="1" spans="1:18" ht="12.75" customHeight="1">
      <c r="A1" s="22"/>
      <c r="B1" s="37" t="s">
        <v>4</v>
      </c>
      <c r="C1" s="36" t="s">
        <v>5</v>
      </c>
      <c r="D1" s="37" t="s">
        <v>6</v>
      </c>
      <c r="E1" s="35" t="s">
        <v>7</v>
      </c>
      <c r="F1" s="37" t="s">
        <v>2</v>
      </c>
      <c r="G1" s="36" t="s">
        <v>8</v>
      </c>
      <c r="H1" s="37" t="s">
        <v>9</v>
      </c>
      <c r="I1" s="35" t="s">
        <v>10</v>
      </c>
      <c r="J1" s="37" t="s">
        <v>11</v>
      </c>
      <c r="K1" s="36" t="s">
        <v>12</v>
      </c>
      <c r="L1" s="37" t="s">
        <v>13</v>
      </c>
      <c r="M1" s="35" t="s">
        <v>14</v>
      </c>
      <c r="N1" s="34" t="s">
        <v>3</v>
      </c>
      <c r="O1" s="449" t="s">
        <v>241</v>
      </c>
    </row>
    <row r="2" spans="1:18">
      <c r="A2" s="12">
        <v>1998</v>
      </c>
      <c r="B2" s="13"/>
      <c r="C2" s="13"/>
      <c r="D2" s="13"/>
      <c r="E2" s="13"/>
      <c r="F2" s="13"/>
      <c r="G2" s="13"/>
      <c r="H2" s="13"/>
      <c r="I2" s="38"/>
      <c r="J2" s="38"/>
      <c r="K2" s="38"/>
      <c r="L2" s="38"/>
      <c r="M2" s="38"/>
      <c r="N2" s="38">
        <f t="shared" ref="N2:N17" si="0">SUM(B2:M2)</f>
        <v>0</v>
      </c>
      <c r="O2" s="450"/>
      <c r="R2" s="17"/>
    </row>
    <row r="3" spans="1:18">
      <c r="A3" s="14">
        <v>1999</v>
      </c>
      <c r="B3" s="20"/>
      <c r="C3" s="20"/>
      <c r="D3" s="20">
        <v>0.1</v>
      </c>
      <c r="E3" s="20"/>
      <c r="F3" s="20"/>
      <c r="G3" s="20"/>
      <c r="H3" s="20"/>
      <c r="I3" s="20"/>
      <c r="J3" s="20"/>
      <c r="K3" s="20"/>
      <c r="L3" s="20"/>
      <c r="M3" s="20"/>
      <c r="N3" s="38">
        <f t="shared" si="0"/>
        <v>0.1</v>
      </c>
      <c r="O3" s="450">
        <v>2</v>
      </c>
      <c r="R3" s="17"/>
    </row>
    <row r="4" spans="1:18">
      <c r="A4" s="14">
        <v>2000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38">
        <f t="shared" si="0"/>
        <v>0</v>
      </c>
      <c r="O4" s="450"/>
      <c r="R4" s="17"/>
    </row>
    <row r="5" spans="1:18" s="45" customFormat="1">
      <c r="A5" s="43">
        <v>2001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8">
        <f t="shared" si="0"/>
        <v>0</v>
      </c>
      <c r="O5" s="451"/>
      <c r="R5" s="44"/>
    </row>
    <row r="6" spans="1:18">
      <c r="A6" s="14">
        <v>2002</v>
      </c>
      <c r="B6" s="20"/>
      <c r="C6" s="20"/>
      <c r="D6" s="20"/>
      <c r="E6" s="20"/>
      <c r="F6" s="20"/>
      <c r="G6" s="20">
        <v>0.18</v>
      </c>
      <c r="H6" s="20"/>
      <c r="I6" s="20"/>
      <c r="J6" s="20"/>
      <c r="K6" s="20"/>
      <c r="L6" s="20"/>
      <c r="M6" s="20"/>
      <c r="N6" s="38">
        <f t="shared" si="0"/>
        <v>0.18</v>
      </c>
      <c r="O6" s="450">
        <v>2</v>
      </c>
      <c r="R6" s="17"/>
    </row>
    <row r="7" spans="1:18">
      <c r="A7" s="14">
        <v>2003</v>
      </c>
      <c r="B7" s="42"/>
      <c r="C7" s="42"/>
      <c r="D7" s="42"/>
      <c r="E7" s="42"/>
      <c r="F7" s="42"/>
      <c r="G7" s="42"/>
      <c r="H7" s="42">
        <v>0.64</v>
      </c>
      <c r="I7" s="42"/>
      <c r="J7" s="42"/>
      <c r="K7" s="42"/>
      <c r="L7" s="42"/>
      <c r="M7" s="42"/>
      <c r="N7" s="38">
        <f t="shared" si="0"/>
        <v>0.64</v>
      </c>
      <c r="O7" s="450">
        <v>8</v>
      </c>
      <c r="R7" s="17"/>
    </row>
    <row r="8" spans="1:18">
      <c r="A8" s="14">
        <v>2004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8">
        <f t="shared" si="0"/>
        <v>0</v>
      </c>
      <c r="O8" s="450"/>
      <c r="R8" s="17"/>
    </row>
    <row r="9" spans="1:18">
      <c r="A9" s="14">
        <v>2005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8">
        <f t="shared" si="0"/>
        <v>0</v>
      </c>
      <c r="O9" s="450"/>
      <c r="R9" s="17"/>
    </row>
    <row r="10" spans="1:18">
      <c r="A10" s="14">
        <v>2006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8">
        <f t="shared" si="0"/>
        <v>0</v>
      </c>
      <c r="O10" s="450"/>
      <c r="R10" s="17"/>
    </row>
    <row r="11" spans="1:18">
      <c r="A11" s="14">
        <v>2007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8">
        <f t="shared" si="0"/>
        <v>0</v>
      </c>
      <c r="O11" s="450"/>
      <c r="R11" s="17"/>
    </row>
    <row r="12" spans="1:18">
      <c r="A12" s="14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2.0699999999999998</v>
      </c>
      <c r="N12" s="38">
        <f t="shared" si="0"/>
        <v>2.0699999999999998</v>
      </c>
      <c r="O12" s="450">
        <v>14</v>
      </c>
      <c r="R12" s="17"/>
    </row>
    <row r="13" spans="1:18">
      <c r="A13" s="14">
        <v>2009</v>
      </c>
      <c r="B13" s="20"/>
      <c r="C13" s="20"/>
      <c r="D13" s="20"/>
      <c r="E13" s="20"/>
      <c r="F13" s="20"/>
      <c r="G13" s="20"/>
      <c r="H13" s="20"/>
      <c r="I13" s="20"/>
      <c r="J13" s="20">
        <v>2.09</v>
      </c>
      <c r="K13" s="20"/>
      <c r="L13" s="20"/>
      <c r="M13" s="20"/>
      <c r="N13" s="38">
        <f t="shared" si="0"/>
        <v>2.09</v>
      </c>
      <c r="O13" s="450">
        <v>13</v>
      </c>
      <c r="R13" s="17"/>
    </row>
    <row r="14" spans="1:18">
      <c r="A14" s="14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8">
        <f t="shared" si="0"/>
        <v>0</v>
      </c>
      <c r="O14" s="450"/>
      <c r="R14" s="17"/>
    </row>
    <row r="15" spans="1:18">
      <c r="A15" s="14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8">
        <f t="shared" si="0"/>
        <v>0</v>
      </c>
      <c r="O15" s="450"/>
      <c r="R15" s="17"/>
    </row>
    <row r="16" spans="1:18">
      <c r="A16" s="14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8">
        <f t="shared" si="0"/>
        <v>0</v>
      </c>
      <c r="O16" s="450"/>
      <c r="R16" s="17"/>
    </row>
    <row r="17" spans="1:18">
      <c r="A17" s="14">
        <v>2013</v>
      </c>
      <c r="B17" s="20"/>
      <c r="C17" s="20"/>
      <c r="D17" s="20"/>
      <c r="E17" s="20"/>
      <c r="F17" s="20"/>
      <c r="G17" s="15"/>
      <c r="H17" s="15"/>
      <c r="I17" s="15"/>
      <c r="J17" s="15"/>
      <c r="K17" s="15"/>
      <c r="L17" s="15"/>
      <c r="M17" s="15"/>
      <c r="N17" s="38">
        <f t="shared" si="0"/>
        <v>0</v>
      </c>
      <c r="O17" s="450"/>
      <c r="R17" s="17"/>
    </row>
    <row r="18" spans="1:18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0">
        <f>SUM(N2:N17)</f>
        <v>5.08</v>
      </c>
      <c r="O18" s="20">
        <v>48</v>
      </c>
      <c r="R18" s="17"/>
    </row>
    <row r="19" spans="1:18">
      <c r="N19" s="298" t="s">
        <v>302</v>
      </c>
      <c r="O19" s="257">
        <v>46066</v>
      </c>
      <c r="R19" s="17"/>
    </row>
    <row r="22" spans="1:18" ht="15.75" customHeight="1">
      <c r="A22" s="536" t="s">
        <v>197</v>
      </c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</row>
    <row r="23" spans="1:18">
      <c r="A23" s="536"/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</row>
    <row r="26" spans="1:18">
      <c r="A26" s="11">
        <v>1999</v>
      </c>
      <c r="B26" s="776" t="s">
        <v>37</v>
      </c>
      <c r="C26" s="776"/>
      <c r="D26" s="776"/>
      <c r="E26" s="776"/>
      <c r="F26" s="776"/>
      <c r="G26" s="776"/>
      <c r="H26" s="776"/>
      <c r="I26" s="776"/>
      <c r="J26" s="776"/>
      <c r="K26" s="776"/>
      <c r="L26" s="776"/>
      <c r="M26" s="776"/>
      <c r="N26" s="41">
        <v>0.1</v>
      </c>
    </row>
    <row r="27" spans="1:18">
      <c r="A27" s="11">
        <v>2002</v>
      </c>
      <c r="B27" s="776" t="s">
        <v>39</v>
      </c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17">
        <v>0.18</v>
      </c>
    </row>
    <row r="28" spans="1:18">
      <c r="A28" s="11">
        <v>2003</v>
      </c>
      <c r="B28" s="776" t="s">
        <v>41</v>
      </c>
      <c r="C28" s="776"/>
      <c r="D28" s="776"/>
      <c r="E28" s="776"/>
      <c r="F28" s="776"/>
      <c r="G28" s="776"/>
      <c r="H28" s="776"/>
      <c r="I28" s="776"/>
      <c r="J28" s="776"/>
      <c r="K28" s="776"/>
      <c r="L28" s="776"/>
      <c r="M28" s="776"/>
      <c r="N28" s="17">
        <v>0.64</v>
      </c>
    </row>
    <row r="29" spans="1:18">
      <c r="A29" s="11">
        <v>2008</v>
      </c>
      <c r="B29" s="776" t="s">
        <v>42</v>
      </c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17">
        <v>2.0699999999999998</v>
      </c>
    </row>
    <row r="30" spans="1:18">
      <c r="A30" s="11">
        <v>2009</v>
      </c>
      <c r="B30" s="775" t="s">
        <v>155</v>
      </c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  <c r="N30" s="17">
        <v>2.09</v>
      </c>
    </row>
    <row r="31" spans="1:18">
      <c r="N31" s="17"/>
    </row>
    <row r="32" spans="1:18">
      <c r="N32" s="17"/>
    </row>
    <row r="33" spans="14:14">
      <c r="N33" s="17"/>
    </row>
    <row r="34" spans="14:14">
      <c r="N34" s="17"/>
    </row>
    <row r="35" spans="14:14">
      <c r="N35" s="17"/>
    </row>
    <row r="36" spans="14:14">
      <c r="N36" s="17"/>
    </row>
    <row r="37" spans="14:14">
      <c r="N37" s="17"/>
    </row>
    <row r="38" spans="14:14">
      <c r="N38" s="17"/>
    </row>
    <row r="39" spans="14:14">
      <c r="N39" s="17"/>
    </row>
  </sheetData>
  <mergeCells count="6">
    <mergeCell ref="B30:M30"/>
    <mergeCell ref="A22:N23"/>
    <mergeCell ref="B26:M26"/>
    <mergeCell ref="B27:M27"/>
    <mergeCell ref="B28:M28"/>
    <mergeCell ref="B29:M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selection activeCell="P3" sqref="P3"/>
    </sheetView>
  </sheetViews>
  <sheetFormatPr defaultRowHeight="15"/>
  <cols>
    <col min="1" max="1" width="5" style="11" bestFit="1" customWidth="1"/>
    <col min="2" max="2" width="7" style="11" bestFit="1" customWidth="1"/>
    <col min="3" max="3" width="3.88671875" style="11" bestFit="1" customWidth="1"/>
    <col min="4" max="4" width="7" style="11" bestFit="1" customWidth="1"/>
    <col min="5" max="6" width="3.88671875" style="11" bestFit="1" customWidth="1"/>
    <col min="7" max="8" width="7" style="11" bestFit="1" customWidth="1"/>
    <col min="9" max="9" width="3.88671875" style="11" bestFit="1" customWidth="1"/>
    <col min="10" max="10" width="8" style="11" bestFit="1" customWidth="1"/>
    <col min="11" max="12" width="4.88671875" style="11" bestFit="1" customWidth="1"/>
    <col min="13" max="13" width="8" style="11" bestFit="1" customWidth="1"/>
    <col min="14" max="14" width="8.109375" style="11" bestFit="1" customWidth="1"/>
    <col min="15" max="15" width="8" style="11" bestFit="1" customWidth="1"/>
    <col min="16" max="16" width="3.21875" style="11" bestFit="1" customWidth="1"/>
    <col min="17" max="21" width="8.88671875" style="11"/>
    <col min="22" max="22" width="2.6640625" style="11" customWidth="1"/>
    <col min="23" max="23" width="8.88671875" style="11"/>
    <col min="24" max="24" width="3.44140625" style="11" customWidth="1"/>
    <col min="25" max="16384" width="8.88671875" style="11"/>
  </cols>
  <sheetData>
    <row r="1" spans="1:25" ht="12.75" customHeight="1">
      <c r="A1" s="22"/>
      <c r="B1" s="37" t="s">
        <v>4</v>
      </c>
      <c r="C1" s="36" t="s">
        <v>5</v>
      </c>
      <c r="D1" s="37" t="s">
        <v>6</v>
      </c>
      <c r="E1" s="35" t="s">
        <v>7</v>
      </c>
      <c r="F1" s="37" t="s">
        <v>2</v>
      </c>
      <c r="G1" s="36" t="s">
        <v>8</v>
      </c>
      <c r="H1" s="37" t="s">
        <v>9</v>
      </c>
      <c r="I1" s="35" t="s">
        <v>10</v>
      </c>
      <c r="J1" s="37" t="s">
        <v>11</v>
      </c>
      <c r="K1" s="36" t="s">
        <v>12</v>
      </c>
      <c r="L1" s="37" t="s">
        <v>13</v>
      </c>
      <c r="M1" s="35" t="s">
        <v>14</v>
      </c>
      <c r="N1" s="34" t="s">
        <v>3</v>
      </c>
      <c r="O1" s="449" t="s">
        <v>241</v>
      </c>
    </row>
    <row r="2" spans="1:25">
      <c r="A2" s="12">
        <v>1998</v>
      </c>
      <c r="B2" s="13"/>
      <c r="C2" s="13"/>
      <c r="D2" s="13"/>
      <c r="E2" s="13"/>
      <c r="F2" s="13"/>
      <c r="G2" s="13"/>
      <c r="H2" s="13"/>
      <c r="I2" s="38"/>
      <c r="J2" s="38"/>
      <c r="K2" s="38"/>
      <c r="L2" s="38"/>
      <c r="M2" s="38"/>
      <c r="N2" s="38">
        <f t="shared" ref="N2:N17" si="0">SUM(B2:M2)</f>
        <v>0</v>
      </c>
      <c r="O2" s="450"/>
      <c r="S2" s="17"/>
    </row>
    <row r="3" spans="1:25">
      <c r="A3" s="14">
        <v>1999</v>
      </c>
      <c r="B3" s="20"/>
      <c r="C3" s="20"/>
      <c r="D3" s="20">
        <v>2.64</v>
      </c>
      <c r="E3" s="20"/>
      <c r="F3" s="20"/>
      <c r="G3" s="20"/>
      <c r="H3" s="20"/>
      <c r="I3" s="20"/>
      <c r="J3" s="20"/>
      <c r="K3" s="20"/>
      <c r="L3" s="20"/>
      <c r="M3" s="20"/>
      <c r="N3" s="38">
        <f t="shared" si="0"/>
        <v>2.64</v>
      </c>
      <c r="O3" s="450">
        <v>71</v>
      </c>
      <c r="S3" s="17"/>
    </row>
    <row r="4" spans="1:25">
      <c r="A4" s="14">
        <v>2000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38">
        <f t="shared" si="0"/>
        <v>0</v>
      </c>
      <c r="O4" s="450"/>
      <c r="S4" s="17"/>
    </row>
    <row r="5" spans="1:25" s="45" customFormat="1">
      <c r="A5" s="43">
        <v>2001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8">
        <f t="shared" si="0"/>
        <v>0</v>
      </c>
      <c r="O5" s="451"/>
      <c r="S5" s="44"/>
    </row>
    <row r="6" spans="1:25">
      <c r="A6" s="14">
        <v>2002</v>
      </c>
      <c r="B6" s="20"/>
      <c r="C6" s="20"/>
      <c r="D6" s="20"/>
      <c r="E6" s="20"/>
      <c r="F6" s="20"/>
      <c r="G6" s="20">
        <v>2.34</v>
      </c>
      <c r="H6" s="20"/>
      <c r="I6" s="20"/>
      <c r="J6" s="20"/>
      <c r="K6" s="20"/>
      <c r="L6" s="20"/>
      <c r="M6" s="20"/>
      <c r="N6" s="38">
        <f t="shared" si="0"/>
        <v>2.34</v>
      </c>
      <c r="O6" s="450">
        <v>38</v>
      </c>
      <c r="S6" s="17"/>
    </row>
    <row r="7" spans="1:25">
      <c r="A7" s="14">
        <v>2003</v>
      </c>
      <c r="B7" s="42"/>
      <c r="C7" s="42"/>
      <c r="D7" s="42"/>
      <c r="E7" s="42"/>
      <c r="F7" s="42"/>
      <c r="G7" s="42"/>
      <c r="H7" s="42">
        <v>7.8</v>
      </c>
      <c r="I7" s="42"/>
      <c r="J7" s="42"/>
      <c r="K7" s="42"/>
      <c r="L7" s="42"/>
      <c r="M7" s="42"/>
      <c r="N7" s="38">
        <f t="shared" si="0"/>
        <v>7.8</v>
      </c>
      <c r="O7" s="450">
        <v>114</v>
      </c>
      <c r="S7" s="17"/>
    </row>
    <row r="8" spans="1:25">
      <c r="A8" s="14">
        <v>2004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8">
        <f t="shared" si="0"/>
        <v>0</v>
      </c>
      <c r="O8" s="450"/>
      <c r="S8" s="17"/>
    </row>
    <row r="9" spans="1:25">
      <c r="A9" s="14">
        <v>2005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8">
        <f t="shared" si="0"/>
        <v>0</v>
      </c>
      <c r="O9" s="450"/>
      <c r="R9" s="45"/>
      <c r="S9" s="286"/>
      <c r="T9" s="287"/>
      <c r="U9" s="288" t="s">
        <v>443</v>
      </c>
      <c r="V9" s="287"/>
      <c r="W9" s="287" t="s">
        <v>3</v>
      </c>
      <c r="X9" s="287"/>
      <c r="Y9" s="287" t="s">
        <v>444</v>
      </c>
    </row>
    <row r="10" spans="1:25">
      <c r="A10" s="14">
        <v>2006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8">
        <f t="shared" si="0"/>
        <v>0</v>
      </c>
      <c r="O10" s="450"/>
      <c r="R10" s="45"/>
      <c r="S10" s="289" t="s">
        <v>445</v>
      </c>
      <c r="T10" s="290">
        <v>5555</v>
      </c>
      <c r="U10" s="291">
        <v>55</v>
      </c>
      <c r="V10" s="292"/>
      <c r="W10" s="292">
        <f>T10*U10</f>
        <v>305525</v>
      </c>
      <c r="X10" s="1"/>
      <c r="Y10" s="291">
        <f>O18*W10/N18</f>
        <v>3072536.5030114986</v>
      </c>
    </row>
    <row r="11" spans="1:25">
      <c r="A11" s="14">
        <v>2007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8">
        <f t="shared" si="0"/>
        <v>0</v>
      </c>
      <c r="O11" s="450"/>
      <c r="R11" s="45"/>
      <c r="S11" s="289" t="s">
        <v>446</v>
      </c>
      <c r="T11" s="291">
        <v>5555</v>
      </c>
      <c r="U11" s="291">
        <v>33</v>
      </c>
      <c r="V11" s="292"/>
      <c r="W11" s="292">
        <f>T11*U11</f>
        <v>183315</v>
      </c>
      <c r="X11" s="292"/>
      <c r="Y11" s="291">
        <v>3333333</v>
      </c>
    </row>
    <row r="12" spans="1:25">
      <c r="A12" s="14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17.7</v>
      </c>
      <c r="N12" s="38">
        <f t="shared" si="0"/>
        <v>17.7</v>
      </c>
      <c r="O12" s="450">
        <v>144</v>
      </c>
      <c r="R12" s="45"/>
      <c r="S12" s="289" t="s">
        <v>447</v>
      </c>
      <c r="T12" s="291">
        <v>5555</v>
      </c>
      <c r="U12" s="291">
        <v>11</v>
      </c>
      <c r="V12" s="292"/>
      <c r="W12" s="292">
        <f>T12*U12</f>
        <v>61105</v>
      </c>
      <c r="X12" s="292"/>
      <c r="Y12" s="291">
        <v>4444444</v>
      </c>
    </row>
    <row r="13" spans="1:25">
      <c r="A13" s="14">
        <v>2009</v>
      </c>
      <c r="B13" s="20"/>
      <c r="C13" s="20"/>
      <c r="D13" s="20"/>
      <c r="E13" s="20"/>
      <c r="F13" s="20"/>
      <c r="G13" s="20"/>
      <c r="H13" s="20"/>
      <c r="I13" s="20"/>
      <c r="J13" s="20">
        <v>24.31</v>
      </c>
      <c r="K13" s="20"/>
      <c r="L13" s="20"/>
      <c r="M13" s="20"/>
      <c r="N13" s="38">
        <f t="shared" si="0"/>
        <v>24.31</v>
      </c>
      <c r="O13" s="450">
        <v>184</v>
      </c>
      <c r="R13" s="45"/>
      <c r="S13" s="293"/>
      <c r="T13" s="294"/>
      <c r="U13" s="292"/>
      <c r="V13" s="292"/>
      <c r="W13" s="292">
        <f t="shared" ref="W13" si="1">SUM(W10:W12)</f>
        <v>549945</v>
      </c>
      <c r="X13" s="292"/>
      <c r="Y13" s="291">
        <f>SUM(Y10:Y12)</f>
        <v>10850313.503011499</v>
      </c>
    </row>
    <row r="14" spans="1:25">
      <c r="A14" s="14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8">
        <f t="shared" si="0"/>
        <v>0</v>
      </c>
      <c r="O14" s="450"/>
      <c r="S14" s="17"/>
    </row>
    <row r="15" spans="1:25">
      <c r="A15" s="14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8">
        <f t="shared" si="0"/>
        <v>0</v>
      </c>
      <c r="O15" s="450"/>
      <c r="S15" s="17"/>
    </row>
    <row r="16" spans="1:25">
      <c r="A16" s="14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8">
        <f t="shared" si="0"/>
        <v>0</v>
      </c>
      <c r="O16" s="450"/>
      <c r="S16" s="17"/>
    </row>
    <row r="17" spans="1:19">
      <c r="A17" s="14">
        <v>2013</v>
      </c>
      <c r="B17" s="20"/>
      <c r="C17" s="20"/>
      <c r="D17" s="20"/>
      <c r="E17" s="20"/>
      <c r="F17" s="20"/>
      <c r="G17" s="15"/>
      <c r="H17" s="15"/>
      <c r="I17" s="15"/>
      <c r="J17" s="15"/>
      <c r="K17" s="15"/>
      <c r="L17" s="15"/>
      <c r="M17" s="15"/>
      <c r="N17" s="38">
        <f t="shared" si="0"/>
        <v>0</v>
      </c>
      <c r="O17" s="450"/>
    </row>
    <row r="18" spans="1:19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0">
        <f>SUM(N2:N17)</f>
        <v>54.79</v>
      </c>
      <c r="O18" s="451">
        <f>SUM(O2:O17)</f>
        <v>551</v>
      </c>
      <c r="S18" s="19"/>
    </row>
    <row r="19" spans="1:19">
      <c r="N19" s="298" t="s">
        <v>302</v>
      </c>
      <c r="O19" s="257">
        <v>46063</v>
      </c>
    </row>
    <row r="20" spans="1:19" ht="15.75" customHeight="1">
      <c r="A20" s="536" t="s">
        <v>199</v>
      </c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</row>
    <row r="21" spans="1:19">
      <c r="A21" s="536"/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</row>
    <row r="23" spans="1:19">
      <c r="A23" s="40">
        <v>1999</v>
      </c>
      <c r="B23" s="776" t="s">
        <v>37</v>
      </c>
      <c r="C23" s="776"/>
      <c r="D23" s="776"/>
      <c r="E23" s="776"/>
      <c r="F23" s="776"/>
      <c r="G23" s="776"/>
      <c r="H23" s="776"/>
      <c r="I23" s="776"/>
      <c r="J23" s="776"/>
      <c r="K23" s="776"/>
      <c r="L23" s="776"/>
      <c r="M23" s="776"/>
      <c r="N23" s="41">
        <v>2.64</v>
      </c>
    </row>
    <row r="24" spans="1:19">
      <c r="A24" s="11">
        <v>2002</v>
      </c>
      <c r="B24" s="776" t="s">
        <v>38</v>
      </c>
      <c r="C24" s="776"/>
      <c r="D24" s="776"/>
      <c r="E24" s="776"/>
      <c r="F24" s="776"/>
      <c r="G24" s="776"/>
      <c r="H24" s="776"/>
      <c r="I24" s="776"/>
      <c r="J24" s="776"/>
      <c r="K24" s="776"/>
      <c r="L24" s="776"/>
      <c r="M24" s="776"/>
      <c r="N24" s="17">
        <v>2.34</v>
      </c>
    </row>
    <row r="25" spans="1:19">
      <c r="A25" s="11">
        <v>2003</v>
      </c>
      <c r="B25" s="776" t="s">
        <v>40</v>
      </c>
      <c r="C25" s="776"/>
      <c r="D25" s="776"/>
      <c r="E25" s="776"/>
      <c r="F25" s="776"/>
      <c r="G25" s="776"/>
      <c r="H25" s="776"/>
      <c r="I25" s="776"/>
      <c r="J25" s="776"/>
      <c r="K25" s="776"/>
      <c r="L25" s="776"/>
      <c r="M25" s="776"/>
      <c r="N25" s="17">
        <v>7.8</v>
      </c>
    </row>
    <row r="26" spans="1:19">
      <c r="A26" s="11">
        <v>2008</v>
      </c>
      <c r="B26" s="776" t="s">
        <v>42</v>
      </c>
      <c r="C26" s="776"/>
      <c r="D26" s="776"/>
      <c r="E26" s="776"/>
      <c r="F26" s="776"/>
      <c r="G26" s="776"/>
      <c r="H26" s="776"/>
      <c r="I26" s="776"/>
      <c r="J26" s="776"/>
      <c r="K26" s="776"/>
      <c r="L26" s="776"/>
      <c r="M26" s="776"/>
      <c r="N26" s="17">
        <v>17.7</v>
      </c>
    </row>
    <row r="27" spans="1:19">
      <c r="A27" s="11">
        <v>2009</v>
      </c>
      <c r="B27" s="775" t="s">
        <v>155</v>
      </c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17">
        <v>24.31</v>
      </c>
    </row>
    <row r="28" spans="1:19">
      <c r="A28" s="11">
        <v>2012</v>
      </c>
      <c r="B28" s="540" t="s">
        <v>166</v>
      </c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17">
        <v>0</v>
      </c>
    </row>
    <row r="29" spans="1:19">
      <c r="N29" s="17"/>
    </row>
    <row r="30" spans="1:19">
      <c r="N30" s="17"/>
    </row>
    <row r="31" spans="1:19">
      <c r="N31" s="17"/>
    </row>
    <row r="32" spans="1:19">
      <c r="N32" s="17"/>
    </row>
    <row r="33" spans="14:14">
      <c r="N33" s="17"/>
    </row>
    <row r="34" spans="14:14">
      <c r="N34" s="17"/>
    </row>
  </sheetData>
  <mergeCells count="7">
    <mergeCell ref="B28:M28"/>
    <mergeCell ref="B26:M26"/>
    <mergeCell ref="B27:M27"/>
    <mergeCell ref="A20:N21"/>
    <mergeCell ref="B23:M23"/>
    <mergeCell ref="B24:M24"/>
    <mergeCell ref="B25:M2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L163"/>
  <sheetViews>
    <sheetView tabSelected="1" workbookViewId="0">
      <pane ySplit="2" topLeftCell="A3" activePane="bottomLeft" state="frozen"/>
      <selection pane="bottomLeft" activeCell="R20" sqref="R20"/>
    </sheetView>
  </sheetViews>
  <sheetFormatPr defaultRowHeight="12.75"/>
  <cols>
    <col min="1" max="1" width="6.21875" style="4" customWidth="1"/>
    <col min="2" max="2" width="6.44140625" style="4" customWidth="1"/>
    <col min="3" max="3" width="8" style="4" bestFit="1" customWidth="1"/>
    <col min="4" max="4" width="6.44140625" style="4" bestFit="1" customWidth="1"/>
    <col min="5" max="5" width="9" style="4" bestFit="1" customWidth="1"/>
    <col min="6" max="12" width="7.21875" style="4" bestFit="1" customWidth="1"/>
    <col min="13" max="13" width="6.77734375" style="4" customWidth="1"/>
    <col min="14" max="14" width="8.44140625" style="4" bestFit="1" customWidth="1"/>
    <col min="15" max="15" width="7.44140625" style="4" bestFit="1" customWidth="1"/>
    <col min="16" max="16" width="7.88671875" style="4" customWidth="1"/>
    <col min="17" max="17" width="5" style="4" customWidth="1"/>
    <col min="18" max="18" width="5.77734375" style="4" customWidth="1"/>
    <col min="19" max="19" width="5.33203125" style="4" customWidth="1"/>
    <col min="20" max="20" width="7.44140625" style="4" customWidth="1"/>
    <col min="21" max="22" width="6.44140625" style="4" bestFit="1" customWidth="1"/>
    <col min="23" max="23" width="5.44140625" style="4" customWidth="1"/>
    <col min="24" max="24" width="6" style="4" customWidth="1"/>
    <col min="25" max="25" width="6.33203125" style="4" customWidth="1"/>
    <col min="26" max="26" width="6.44140625" style="4" customWidth="1"/>
    <col min="27" max="27" width="5.77734375" style="4" customWidth="1"/>
    <col min="28" max="28" width="6.44140625" style="4" bestFit="1" customWidth="1"/>
    <col min="29" max="29" width="6.109375" style="4" bestFit="1" customWidth="1"/>
    <col min="30" max="31" width="8.88671875" style="4"/>
    <col min="32" max="32" width="5.6640625" style="4" bestFit="1" customWidth="1"/>
    <col min="33" max="33" width="6.109375" style="4" customWidth="1"/>
    <col min="34" max="34" width="3.6640625" style="4" customWidth="1"/>
    <col min="35" max="35" width="8.88671875" style="4"/>
    <col min="36" max="36" width="3" style="4" customWidth="1"/>
    <col min="37" max="37" width="9.33203125" style="4" bestFit="1" customWidth="1"/>
    <col min="38" max="16384" width="8.88671875" style="4"/>
  </cols>
  <sheetData>
    <row r="1" spans="1:38">
      <c r="A1" s="579"/>
      <c r="B1" s="781" t="s">
        <v>4</v>
      </c>
      <c r="C1" s="779" t="s">
        <v>5</v>
      </c>
      <c r="D1" s="781" t="s">
        <v>6</v>
      </c>
      <c r="E1" s="777" t="s">
        <v>7</v>
      </c>
      <c r="F1" s="781" t="s">
        <v>2</v>
      </c>
      <c r="G1" s="779" t="s">
        <v>8</v>
      </c>
      <c r="H1" s="781" t="s">
        <v>9</v>
      </c>
      <c r="I1" s="777" t="s">
        <v>10</v>
      </c>
      <c r="J1" s="781" t="s">
        <v>11</v>
      </c>
      <c r="K1" s="779" t="s">
        <v>12</v>
      </c>
      <c r="L1" s="781" t="s">
        <v>13</v>
      </c>
      <c r="M1" s="777" t="s">
        <v>14</v>
      </c>
      <c r="N1" s="249"/>
    </row>
    <row r="2" spans="1:38" ht="13.5" thickBot="1">
      <c r="A2" s="783"/>
      <c r="B2" s="782"/>
      <c r="C2" s="780"/>
      <c r="D2" s="782"/>
      <c r="E2" s="778"/>
      <c r="F2" s="782"/>
      <c r="G2" s="780"/>
      <c r="H2" s="782"/>
      <c r="I2" s="778"/>
      <c r="J2" s="782"/>
      <c r="K2" s="780"/>
      <c r="L2" s="782"/>
      <c r="M2" s="778"/>
      <c r="N2" s="148" t="s">
        <v>240</v>
      </c>
      <c r="O2" s="250" t="s">
        <v>241</v>
      </c>
      <c r="P2" s="264">
        <v>1</v>
      </c>
      <c r="Q2" s="262">
        <v>2</v>
      </c>
      <c r="R2" s="262">
        <v>3</v>
      </c>
      <c r="S2" s="262">
        <v>4</v>
      </c>
      <c r="T2" s="262">
        <v>5</v>
      </c>
      <c r="U2" s="262">
        <v>6</v>
      </c>
      <c r="V2" s="262">
        <v>7</v>
      </c>
      <c r="W2" s="262">
        <v>8</v>
      </c>
      <c r="X2" s="262">
        <v>9</v>
      </c>
      <c r="Y2" s="262">
        <v>10</v>
      </c>
      <c r="Z2" s="262">
        <v>11</v>
      </c>
      <c r="AA2" s="262">
        <v>12</v>
      </c>
    </row>
    <row r="3" spans="1:38">
      <c r="A3" s="8">
        <v>1998</v>
      </c>
      <c r="B3" s="251"/>
      <c r="C3" s="251"/>
      <c r="D3" s="251"/>
      <c r="E3" s="251"/>
      <c r="F3" s="251"/>
      <c r="G3" s="251"/>
      <c r="H3" s="251"/>
      <c r="I3" s="70"/>
      <c r="J3" s="70"/>
      <c r="K3" s="70"/>
      <c r="L3" s="70"/>
      <c r="M3" s="70"/>
      <c r="N3" s="252"/>
      <c r="O3" s="72">
        <f>AB3</f>
        <v>0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63">
        <f t="shared" ref="AB3:AB18" si="0">SUM(P3:AA3)</f>
        <v>0</v>
      </c>
    </row>
    <row r="4" spans="1:38">
      <c r="A4" s="3">
        <v>1999</v>
      </c>
      <c r="B4" s="5">
        <f>N24</f>
        <v>2.2000000000000002</v>
      </c>
      <c r="C4" s="5"/>
      <c r="D4" s="5">
        <f>N25</f>
        <v>5.38</v>
      </c>
      <c r="E4" s="5"/>
      <c r="F4" s="5"/>
      <c r="G4" s="5">
        <f>N26</f>
        <v>5.5200000000000005</v>
      </c>
      <c r="H4" s="5">
        <f>N27</f>
        <v>5.6</v>
      </c>
      <c r="I4" s="5">
        <f>N28</f>
        <v>10.760000000000002</v>
      </c>
      <c r="J4" s="5">
        <f>N29</f>
        <v>7.4</v>
      </c>
      <c r="K4" s="5"/>
      <c r="L4" s="5"/>
      <c r="M4" s="5">
        <f>N30</f>
        <v>5.6</v>
      </c>
      <c r="N4" s="252">
        <f>SUM(B4:M4)</f>
        <v>42.460000000000008</v>
      </c>
      <c r="O4" s="72">
        <f t="shared" ref="O4:O18" si="1">AB4</f>
        <v>824</v>
      </c>
      <c r="P4" s="254">
        <v>48</v>
      </c>
      <c r="Q4" s="254"/>
      <c r="R4" s="254">
        <v>112</v>
      </c>
      <c r="S4" s="254"/>
      <c r="T4" s="254"/>
      <c r="U4" s="254">
        <v>110</v>
      </c>
      <c r="V4" s="254">
        <v>109</v>
      </c>
      <c r="W4" s="254">
        <v>206</v>
      </c>
      <c r="X4" s="254">
        <v>139</v>
      </c>
      <c r="Y4" s="254"/>
      <c r="Z4" s="254"/>
      <c r="AA4" s="254">
        <v>100</v>
      </c>
      <c r="AB4" s="263">
        <f t="shared" si="0"/>
        <v>824</v>
      </c>
    </row>
    <row r="5" spans="1:38" s="254" customFormat="1">
      <c r="A5" s="91">
        <v>2000</v>
      </c>
      <c r="B5" s="5"/>
      <c r="C5" s="5"/>
      <c r="D5" s="5"/>
      <c r="E5" s="5"/>
      <c r="F5" s="5">
        <f>N31</f>
        <v>5.98</v>
      </c>
      <c r="G5" s="5">
        <f>N32</f>
        <v>4.6800000000000006</v>
      </c>
      <c r="H5" s="5">
        <f>N33</f>
        <v>5.1400000000000006</v>
      </c>
      <c r="I5" s="5">
        <f>N34</f>
        <v>9.98</v>
      </c>
      <c r="J5" s="5">
        <f>N35</f>
        <v>5.0199999999999996</v>
      </c>
      <c r="K5" s="5">
        <f>N36</f>
        <v>6.4399999999999995</v>
      </c>
      <c r="L5" s="5">
        <f>N37</f>
        <v>7.3400000000000007</v>
      </c>
      <c r="M5" s="5">
        <f>N38</f>
        <v>5.8000000000000007</v>
      </c>
      <c r="N5" s="252">
        <f t="shared" ref="N5:N6" si="2">SUM(B5:M5)</f>
        <v>50.38000000000001</v>
      </c>
      <c r="O5" s="72">
        <f t="shared" si="1"/>
        <v>801</v>
      </c>
      <c r="T5" s="254">
        <v>100</v>
      </c>
      <c r="U5" s="254">
        <v>77</v>
      </c>
      <c r="V5" s="254">
        <v>83</v>
      </c>
      <c r="W5" s="254">
        <v>160</v>
      </c>
      <c r="X5" s="254">
        <v>79</v>
      </c>
      <c r="Y5" s="254">
        <v>101</v>
      </c>
      <c r="Z5" s="254">
        <v>113</v>
      </c>
      <c r="AA5" s="254">
        <v>88</v>
      </c>
      <c r="AB5" s="263">
        <f t="shared" si="0"/>
        <v>801</v>
      </c>
    </row>
    <row r="6" spans="1:38">
      <c r="A6" s="3">
        <v>2001</v>
      </c>
      <c r="B6" s="5">
        <f>N39</f>
        <v>3.8200000000000003</v>
      </c>
      <c r="C6" s="5">
        <f>N40</f>
        <v>6.1000000000000005</v>
      </c>
      <c r="D6" s="5">
        <f>N41</f>
        <v>4.5199999999999996</v>
      </c>
      <c r="E6" s="5">
        <f>N42</f>
        <v>4.3600000000000003</v>
      </c>
      <c r="F6" s="5">
        <f>N43</f>
        <v>4.46</v>
      </c>
      <c r="G6" s="5">
        <f>N44</f>
        <v>3.24</v>
      </c>
      <c r="H6" s="5">
        <f>N45</f>
        <v>6.08</v>
      </c>
      <c r="I6" s="5">
        <f>N46</f>
        <v>8.98</v>
      </c>
      <c r="J6" s="5">
        <f>N47</f>
        <v>5.84</v>
      </c>
      <c r="K6" s="5">
        <f>N48</f>
        <v>3.86</v>
      </c>
      <c r="L6" s="5">
        <f>N49</f>
        <v>6.12</v>
      </c>
      <c r="M6" s="5">
        <f>N50</f>
        <v>6.08</v>
      </c>
      <c r="N6" s="252">
        <f t="shared" si="2"/>
        <v>63.46</v>
      </c>
      <c r="O6" s="72">
        <f t="shared" si="1"/>
        <v>902</v>
      </c>
      <c r="P6" s="254">
        <v>58</v>
      </c>
      <c r="Q6" s="254">
        <v>91</v>
      </c>
      <c r="R6" s="254">
        <v>67</v>
      </c>
      <c r="S6" s="254">
        <v>64</v>
      </c>
      <c r="T6" s="254">
        <v>65</v>
      </c>
      <c r="U6" s="254">
        <v>46</v>
      </c>
      <c r="V6" s="254">
        <v>86</v>
      </c>
      <c r="W6" s="254">
        <v>126</v>
      </c>
      <c r="X6" s="254">
        <v>81</v>
      </c>
      <c r="Y6" s="254">
        <v>53</v>
      </c>
      <c r="Z6" s="254">
        <v>83</v>
      </c>
      <c r="AA6" s="254">
        <v>82</v>
      </c>
      <c r="AB6" s="263">
        <f t="shared" si="0"/>
        <v>902</v>
      </c>
    </row>
    <row r="7" spans="1:38" s="254" customFormat="1">
      <c r="A7" s="91">
        <v>2002</v>
      </c>
      <c r="B7" s="5">
        <v>18.98</v>
      </c>
      <c r="C7" s="5">
        <f>N52</f>
        <v>7.38</v>
      </c>
      <c r="D7" s="5">
        <f>N53</f>
        <v>6.49</v>
      </c>
      <c r="E7" s="5"/>
      <c r="F7" s="5"/>
      <c r="G7" s="5">
        <f>N54</f>
        <v>2.9000000000000004</v>
      </c>
      <c r="H7" s="5">
        <f>N55</f>
        <v>14.190000000000001</v>
      </c>
      <c r="I7" s="5">
        <f>N56</f>
        <v>8.6</v>
      </c>
      <c r="J7" s="5">
        <f>N57</f>
        <v>7.17</v>
      </c>
      <c r="K7" s="5">
        <f>N58</f>
        <v>8.77</v>
      </c>
      <c r="L7" s="5">
        <f>N59</f>
        <v>7.81</v>
      </c>
      <c r="M7" s="5">
        <f>N60</f>
        <v>5.74</v>
      </c>
      <c r="N7" s="252">
        <f>SUM(B7:M7)</f>
        <v>88.029999999999987</v>
      </c>
      <c r="O7" s="72">
        <f t="shared" si="1"/>
        <v>1122</v>
      </c>
      <c r="P7" s="254">
        <v>254</v>
      </c>
      <c r="Q7" s="254">
        <v>98</v>
      </c>
      <c r="R7" s="254">
        <v>85</v>
      </c>
      <c r="U7" s="254">
        <v>37</v>
      </c>
      <c r="V7" s="254">
        <v>179</v>
      </c>
      <c r="W7" s="254">
        <v>108</v>
      </c>
      <c r="X7" s="254">
        <v>89</v>
      </c>
      <c r="Y7" s="254">
        <v>108</v>
      </c>
      <c r="Z7" s="254">
        <v>95</v>
      </c>
      <c r="AA7" s="254">
        <v>69</v>
      </c>
      <c r="AB7" s="263">
        <f t="shared" si="0"/>
        <v>1122</v>
      </c>
      <c r="AD7" s="4"/>
      <c r="AE7" s="4"/>
      <c r="AF7" s="4"/>
      <c r="AG7" s="4"/>
      <c r="AH7" s="4"/>
      <c r="AI7" s="4"/>
      <c r="AJ7" s="4"/>
      <c r="AK7" s="4"/>
      <c r="AL7" s="4"/>
    </row>
    <row r="8" spans="1:38" s="254" customFormat="1">
      <c r="A8" s="91">
        <v>2003</v>
      </c>
      <c r="B8" s="86">
        <f>N61</f>
        <v>4.9000000000000004</v>
      </c>
      <c r="C8" s="86">
        <f>N62</f>
        <v>5.12</v>
      </c>
      <c r="D8" s="86">
        <f>N63</f>
        <v>6.4399999999999995</v>
      </c>
      <c r="E8" s="86">
        <f>N64</f>
        <v>6.86</v>
      </c>
      <c r="F8" s="86">
        <f>N65</f>
        <v>7.98</v>
      </c>
      <c r="G8" s="86">
        <f>N66</f>
        <v>8.18</v>
      </c>
      <c r="H8" s="86">
        <f>N67</f>
        <v>10.760000000000002</v>
      </c>
      <c r="I8" s="86">
        <f>N68</f>
        <v>12.620000000000001</v>
      </c>
      <c r="J8" s="86">
        <f>N69</f>
        <v>12.96</v>
      </c>
      <c r="K8" s="86">
        <f>N70</f>
        <v>14.620000000000001</v>
      </c>
      <c r="L8" s="86">
        <f>N71</f>
        <v>9.240000000000002</v>
      </c>
      <c r="M8" s="86">
        <f>N72</f>
        <v>7.1800000000000006</v>
      </c>
      <c r="N8" s="252">
        <f t="shared" ref="N8:N18" si="3">SUM(B8:M8)</f>
        <v>106.86000000000004</v>
      </c>
      <c r="O8" s="72">
        <f t="shared" si="1"/>
        <v>1213</v>
      </c>
      <c r="P8" s="254">
        <v>59</v>
      </c>
      <c r="Q8" s="254">
        <v>61</v>
      </c>
      <c r="R8" s="254">
        <v>76</v>
      </c>
      <c r="S8" s="254">
        <v>80</v>
      </c>
      <c r="T8" s="254">
        <v>92</v>
      </c>
      <c r="U8" s="254">
        <v>94</v>
      </c>
      <c r="V8" s="254">
        <v>122</v>
      </c>
      <c r="W8" s="254">
        <v>142</v>
      </c>
      <c r="X8" s="254">
        <v>145</v>
      </c>
      <c r="Y8" s="254">
        <v>162</v>
      </c>
      <c r="Z8" s="254">
        <v>102</v>
      </c>
      <c r="AA8" s="254">
        <v>78</v>
      </c>
      <c r="AB8" s="263">
        <f t="shared" si="0"/>
        <v>1213</v>
      </c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3">
        <v>2004</v>
      </c>
      <c r="B9" s="86">
        <f>N73</f>
        <v>4.84</v>
      </c>
      <c r="C9" s="86">
        <f>N74</f>
        <v>8.48</v>
      </c>
      <c r="D9" s="86">
        <f>N75</f>
        <v>8.3000000000000007</v>
      </c>
      <c r="E9" s="86">
        <f>N76</f>
        <v>8.18</v>
      </c>
      <c r="F9" s="86">
        <f>N77</f>
        <v>9.58</v>
      </c>
      <c r="G9" s="86">
        <f>N78</f>
        <v>6.24</v>
      </c>
      <c r="H9" s="86">
        <f>N79</f>
        <v>9.68</v>
      </c>
      <c r="I9" s="86">
        <f>N80</f>
        <v>13.100000000000001</v>
      </c>
      <c r="J9" s="86">
        <f>N81</f>
        <v>12.72</v>
      </c>
      <c r="K9" s="86">
        <f>N82</f>
        <v>10.440000000000001</v>
      </c>
      <c r="L9" s="86">
        <f>N83</f>
        <v>6.3000000000000007</v>
      </c>
      <c r="M9" s="86">
        <f>N84</f>
        <v>8.5</v>
      </c>
      <c r="N9" s="252">
        <f t="shared" si="3"/>
        <v>106.36</v>
      </c>
      <c r="O9" s="72">
        <f t="shared" si="1"/>
        <v>1097</v>
      </c>
      <c r="P9" s="254">
        <v>52</v>
      </c>
      <c r="Q9" s="254">
        <v>91</v>
      </c>
      <c r="R9" s="254">
        <v>88</v>
      </c>
      <c r="S9" s="254">
        <v>86</v>
      </c>
      <c r="T9" s="254">
        <v>100</v>
      </c>
      <c r="U9" s="254">
        <v>65</v>
      </c>
      <c r="V9" s="254">
        <v>100</v>
      </c>
      <c r="W9" s="254">
        <v>134</v>
      </c>
      <c r="X9" s="254">
        <v>129</v>
      </c>
      <c r="Y9" s="254">
        <v>105</v>
      </c>
      <c r="Z9" s="254">
        <v>63</v>
      </c>
      <c r="AA9" s="254">
        <v>84</v>
      </c>
      <c r="AB9" s="263">
        <f t="shared" si="0"/>
        <v>1097</v>
      </c>
    </row>
    <row r="10" spans="1:38">
      <c r="A10" s="3">
        <v>2005</v>
      </c>
      <c r="B10" s="5">
        <f>N85</f>
        <v>4.26</v>
      </c>
      <c r="C10" s="5">
        <f>N86</f>
        <v>3.4000000000000004</v>
      </c>
      <c r="D10" s="5">
        <f>N87</f>
        <v>7.58</v>
      </c>
      <c r="E10" s="5">
        <f>N88</f>
        <v>3.3400000000000003</v>
      </c>
      <c r="F10" s="5">
        <f>N89</f>
        <v>4.18</v>
      </c>
      <c r="G10" s="5">
        <f>N90</f>
        <v>21.04</v>
      </c>
      <c r="H10" s="5">
        <f>N91</f>
        <v>26.16</v>
      </c>
      <c r="I10" s="5">
        <f>N92</f>
        <v>43.52</v>
      </c>
      <c r="J10" s="5">
        <f>N93</f>
        <v>44.800000000000004</v>
      </c>
      <c r="K10" s="5">
        <f>N94</f>
        <v>16.8</v>
      </c>
      <c r="L10" s="5">
        <f>N95</f>
        <v>32.200000000000003</v>
      </c>
      <c r="M10" s="5">
        <f>N96</f>
        <v>42.760000000000005</v>
      </c>
      <c r="N10" s="252">
        <f t="shared" si="3"/>
        <v>250.04000000000002</v>
      </c>
      <c r="O10" s="72">
        <f t="shared" si="1"/>
        <v>2301</v>
      </c>
      <c r="P10" s="254">
        <v>42</v>
      </c>
      <c r="Q10" s="254">
        <v>33</v>
      </c>
      <c r="R10" s="254">
        <v>73</v>
      </c>
      <c r="S10" s="254">
        <v>32</v>
      </c>
      <c r="T10" s="254">
        <v>40</v>
      </c>
      <c r="U10" s="254">
        <v>198</v>
      </c>
      <c r="V10" s="254">
        <v>244</v>
      </c>
      <c r="W10" s="254">
        <v>403</v>
      </c>
      <c r="X10" s="254">
        <v>411</v>
      </c>
      <c r="Y10" s="254">
        <v>153</v>
      </c>
      <c r="Z10" s="254">
        <v>290</v>
      </c>
      <c r="AA10" s="254">
        <v>382</v>
      </c>
      <c r="AB10" s="263">
        <f t="shared" si="0"/>
        <v>2301</v>
      </c>
    </row>
    <row r="11" spans="1:38">
      <c r="A11" s="3">
        <v>2006</v>
      </c>
      <c r="B11" s="5">
        <f>N97</f>
        <v>17.2</v>
      </c>
      <c r="C11" s="5">
        <f>N98</f>
        <v>31.799999999999997</v>
      </c>
      <c r="D11" s="5">
        <f>N99</f>
        <v>26.919999999999998</v>
      </c>
      <c r="E11" s="5">
        <f>N100</f>
        <v>26.04</v>
      </c>
      <c r="F11" s="5">
        <f>N101</f>
        <v>33.04</v>
      </c>
      <c r="G11" s="5">
        <f>N102</f>
        <v>21.08</v>
      </c>
      <c r="H11" s="5">
        <f>N103</f>
        <v>24.24</v>
      </c>
      <c r="I11" s="5">
        <f>N104</f>
        <v>12.16</v>
      </c>
      <c r="J11" s="5">
        <f>N105</f>
        <v>25.919999999999998</v>
      </c>
      <c r="K11" s="5">
        <f>N106</f>
        <v>19</v>
      </c>
      <c r="L11" s="5">
        <f>N107</f>
        <v>19.920000000000002</v>
      </c>
      <c r="M11" s="5">
        <f>N108</f>
        <v>24.68</v>
      </c>
      <c r="N11" s="252">
        <f t="shared" si="3"/>
        <v>282</v>
      </c>
      <c r="O11" s="72">
        <f t="shared" si="1"/>
        <v>2388</v>
      </c>
      <c r="P11" s="254">
        <v>153</v>
      </c>
      <c r="Q11" s="254">
        <v>280</v>
      </c>
      <c r="R11" s="254">
        <v>235</v>
      </c>
      <c r="S11" s="254">
        <v>225</v>
      </c>
      <c r="T11" s="254">
        <v>283</v>
      </c>
      <c r="U11" s="254">
        <v>179</v>
      </c>
      <c r="V11" s="254">
        <v>204</v>
      </c>
      <c r="W11" s="254">
        <v>101</v>
      </c>
      <c r="X11" s="254">
        <v>214</v>
      </c>
      <c r="Y11" s="254">
        <v>155</v>
      </c>
      <c r="Z11" s="254">
        <v>161</v>
      </c>
      <c r="AA11" s="254">
        <v>198</v>
      </c>
      <c r="AB11" s="263">
        <f t="shared" si="0"/>
        <v>2388</v>
      </c>
    </row>
    <row r="12" spans="1:38" ht="15">
      <c r="A12" s="3">
        <v>2007</v>
      </c>
      <c r="B12" s="5">
        <f>N109</f>
        <v>26.4</v>
      </c>
      <c r="C12" s="5">
        <f>N110</f>
        <v>15.84</v>
      </c>
      <c r="D12" s="5">
        <f>N111</f>
        <v>23.64</v>
      </c>
      <c r="E12" s="5">
        <f>N112</f>
        <v>51.839999999999996</v>
      </c>
      <c r="F12" s="5">
        <f>N113</f>
        <v>12.16</v>
      </c>
      <c r="G12" s="5">
        <f>N114</f>
        <v>23.52</v>
      </c>
      <c r="H12" s="5">
        <f>N115</f>
        <v>26.8</v>
      </c>
      <c r="I12" s="5">
        <f>N116</f>
        <v>29</v>
      </c>
      <c r="J12" s="5">
        <f>N117</f>
        <v>22.6</v>
      </c>
      <c r="K12" s="5">
        <f>N118</f>
        <v>18.96</v>
      </c>
      <c r="L12" s="5">
        <f>N119</f>
        <v>19.12</v>
      </c>
      <c r="M12" s="5">
        <f>N120</f>
        <v>5.4</v>
      </c>
      <c r="N12" s="252">
        <f t="shared" si="3"/>
        <v>275.27999999999997</v>
      </c>
      <c r="O12" s="72">
        <f t="shared" si="1"/>
        <v>2313</v>
      </c>
      <c r="P12" s="254">
        <v>210</v>
      </c>
      <c r="Q12" s="254">
        <v>125</v>
      </c>
      <c r="R12" s="254">
        <v>184</v>
      </c>
      <c r="S12" s="254">
        <v>400</v>
      </c>
      <c r="T12" s="254">
        <v>93</v>
      </c>
      <c r="U12" s="254">
        <v>405</v>
      </c>
      <c r="V12" s="254">
        <v>201</v>
      </c>
      <c r="W12" s="254">
        <v>215</v>
      </c>
      <c r="X12" s="254">
        <v>166</v>
      </c>
      <c r="Y12" s="254">
        <v>138</v>
      </c>
      <c r="Z12" s="254">
        <v>138</v>
      </c>
      <c r="AA12" s="254">
        <v>38</v>
      </c>
      <c r="AB12" s="263">
        <f t="shared" si="0"/>
        <v>2313</v>
      </c>
      <c r="AD12" s="45"/>
      <c r="AE12" s="286"/>
      <c r="AF12" s="307"/>
      <c r="AG12" s="288" t="s">
        <v>443</v>
      </c>
      <c r="AH12" s="307"/>
      <c r="AI12" s="307" t="s">
        <v>3</v>
      </c>
      <c r="AJ12" s="307"/>
      <c r="AK12" s="307" t="s">
        <v>444</v>
      </c>
    </row>
    <row r="13" spans="1:38" ht="15">
      <c r="A13" s="3">
        <v>2008</v>
      </c>
      <c r="B13" s="5">
        <f>N121</f>
        <v>4.6000000000000005</v>
      </c>
      <c r="C13" s="5">
        <f>N122</f>
        <v>3.6</v>
      </c>
      <c r="D13" s="5">
        <f>N123</f>
        <v>4.8000000000000007</v>
      </c>
      <c r="E13" s="5">
        <f>N124</f>
        <v>2.4000000000000004</v>
      </c>
      <c r="F13" s="5">
        <f>N125</f>
        <v>5.8000000000000007</v>
      </c>
      <c r="G13" s="5">
        <f>N126</f>
        <v>7.6000000000000005</v>
      </c>
      <c r="H13" s="5">
        <f>N127</f>
        <v>9</v>
      </c>
      <c r="I13" s="5">
        <f>N128</f>
        <v>8.6</v>
      </c>
      <c r="J13" s="5">
        <f>N129</f>
        <v>10.600000000000001</v>
      </c>
      <c r="K13" s="5">
        <f>N130</f>
        <v>6.4</v>
      </c>
      <c r="L13" s="5">
        <f>N131</f>
        <v>4.8000000000000007</v>
      </c>
      <c r="M13" s="5">
        <f>N132</f>
        <v>4.8000000000000007</v>
      </c>
      <c r="N13" s="252">
        <f t="shared" si="3"/>
        <v>73</v>
      </c>
      <c r="O13" s="72">
        <f t="shared" si="1"/>
        <v>484</v>
      </c>
      <c r="P13" s="254">
        <v>32</v>
      </c>
      <c r="Q13" s="254">
        <v>25</v>
      </c>
      <c r="R13" s="254">
        <v>33</v>
      </c>
      <c r="S13" s="254">
        <v>16</v>
      </c>
      <c r="T13" s="254">
        <v>39</v>
      </c>
      <c r="U13" s="254">
        <v>51</v>
      </c>
      <c r="V13" s="254">
        <v>60</v>
      </c>
      <c r="W13" s="254">
        <v>57</v>
      </c>
      <c r="X13" s="254">
        <v>69</v>
      </c>
      <c r="Y13" s="254">
        <v>41</v>
      </c>
      <c r="Z13" s="254">
        <v>31</v>
      </c>
      <c r="AA13" s="254">
        <v>30</v>
      </c>
      <c r="AB13" s="263">
        <f t="shared" si="0"/>
        <v>484</v>
      </c>
      <c r="AD13" s="45"/>
      <c r="AE13" s="289" t="s">
        <v>445</v>
      </c>
      <c r="AF13" s="290">
        <v>5555</v>
      </c>
      <c r="AG13" s="291">
        <v>1666</v>
      </c>
      <c r="AH13" s="292"/>
      <c r="AI13" s="292">
        <f>AF13*AG13</f>
        <v>9254630</v>
      </c>
      <c r="AJ13" s="1"/>
      <c r="AK13" s="291">
        <f>O21*AI13/N19</f>
        <v>109719607.28366879</v>
      </c>
    </row>
    <row r="14" spans="1:38" ht="15">
      <c r="A14" s="3">
        <v>2009</v>
      </c>
      <c r="B14" s="5">
        <f>N133</f>
        <v>7.8000000000000007</v>
      </c>
      <c r="C14" s="5">
        <f>N134</f>
        <v>5.6000000000000005</v>
      </c>
      <c r="D14" s="5">
        <f>N135</f>
        <v>5.2</v>
      </c>
      <c r="E14" s="5">
        <f>N136</f>
        <v>4.6000000000000005</v>
      </c>
      <c r="F14" s="5">
        <f>N137</f>
        <v>10.29</v>
      </c>
      <c r="G14" s="5">
        <f>N138</f>
        <v>9.6700000000000017</v>
      </c>
      <c r="H14" s="5">
        <f>N139</f>
        <v>13.56</v>
      </c>
      <c r="I14" s="5">
        <f>N140</f>
        <v>21.66</v>
      </c>
      <c r="J14" s="5">
        <f>N141</f>
        <v>13.379999999999999</v>
      </c>
      <c r="K14" s="5"/>
      <c r="L14" s="5">
        <f>N143</f>
        <v>10.469999999999999</v>
      </c>
      <c r="M14" s="5">
        <f>N144</f>
        <v>10.68</v>
      </c>
      <c r="N14" s="252">
        <f t="shared" si="3"/>
        <v>112.91</v>
      </c>
      <c r="O14" s="72">
        <f t="shared" si="1"/>
        <v>679</v>
      </c>
      <c r="P14" s="254">
        <v>49</v>
      </c>
      <c r="Q14" s="254">
        <v>35</v>
      </c>
      <c r="R14" s="254">
        <v>32</v>
      </c>
      <c r="S14" s="254">
        <v>28</v>
      </c>
      <c r="T14" s="254">
        <v>63</v>
      </c>
      <c r="U14" s="254">
        <v>59</v>
      </c>
      <c r="V14" s="254">
        <v>82</v>
      </c>
      <c r="W14" s="254">
        <v>129</v>
      </c>
      <c r="X14" s="254">
        <v>79</v>
      </c>
      <c r="Y14" s="254"/>
      <c r="Z14" s="254">
        <v>61</v>
      </c>
      <c r="AA14" s="254">
        <v>62</v>
      </c>
      <c r="AB14" s="263">
        <f t="shared" si="0"/>
        <v>679</v>
      </c>
      <c r="AD14" s="45"/>
      <c r="AE14" s="289" t="s">
        <v>446</v>
      </c>
      <c r="AF14" s="291">
        <v>5555</v>
      </c>
      <c r="AG14" s="291">
        <v>999</v>
      </c>
      <c r="AH14" s="292"/>
      <c r="AI14" s="292">
        <f>AF14*AG14</f>
        <v>5549445</v>
      </c>
      <c r="AJ14" s="292"/>
      <c r="AK14" s="291">
        <v>99999999</v>
      </c>
    </row>
    <row r="15" spans="1:38" ht="15">
      <c r="A15" s="3">
        <v>2010</v>
      </c>
      <c r="B15" s="5">
        <f>N145</f>
        <v>15.490000000000002</v>
      </c>
      <c r="C15" s="5">
        <f>N146</f>
        <v>17.79</v>
      </c>
      <c r="D15" s="5">
        <f>N147</f>
        <v>33.700000000000003</v>
      </c>
      <c r="E15" s="5">
        <f>N148</f>
        <v>35.700000000000003</v>
      </c>
      <c r="F15" s="5">
        <f>N149</f>
        <v>44.3</v>
      </c>
      <c r="G15" s="5">
        <f>N150</f>
        <v>40.700000000000003</v>
      </c>
      <c r="H15" s="5"/>
      <c r="I15" s="5"/>
      <c r="J15" s="5"/>
      <c r="K15" s="5"/>
      <c r="L15" s="5"/>
      <c r="M15" s="5"/>
      <c r="N15" s="252">
        <f t="shared" si="3"/>
        <v>187.68</v>
      </c>
      <c r="O15" s="72">
        <f t="shared" si="1"/>
        <v>1057</v>
      </c>
      <c r="P15" s="254">
        <v>89</v>
      </c>
      <c r="Q15" s="254">
        <v>102</v>
      </c>
      <c r="R15" s="254">
        <v>191</v>
      </c>
      <c r="S15" s="254">
        <v>201</v>
      </c>
      <c r="T15" s="254">
        <v>248</v>
      </c>
      <c r="U15" s="254">
        <v>226</v>
      </c>
      <c r="V15" s="254"/>
      <c r="W15" s="254"/>
      <c r="X15" s="254"/>
      <c r="Y15" s="254"/>
      <c r="Z15" s="254"/>
      <c r="AA15" s="254"/>
      <c r="AB15" s="263">
        <f t="shared" si="0"/>
        <v>1057</v>
      </c>
      <c r="AD15" s="45"/>
      <c r="AE15" s="289" t="s">
        <v>447</v>
      </c>
      <c r="AF15" s="291">
        <v>5555</v>
      </c>
      <c r="AG15" s="291">
        <v>444</v>
      </c>
      <c r="AH15" s="292"/>
      <c r="AI15" s="292">
        <f>AF15*AG15</f>
        <v>2466420</v>
      </c>
      <c r="AJ15" s="292"/>
      <c r="AK15" s="291">
        <v>111111111</v>
      </c>
    </row>
    <row r="16" spans="1:38" ht="15">
      <c r="A16" s="3">
        <v>2011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52">
        <f t="shared" si="3"/>
        <v>0</v>
      </c>
      <c r="O16" s="72">
        <f t="shared" si="1"/>
        <v>0</v>
      </c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63">
        <f t="shared" si="0"/>
        <v>0</v>
      </c>
      <c r="AD16" s="45"/>
      <c r="AE16" s="293"/>
      <c r="AF16" s="294"/>
      <c r="AG16" s="292"/>
      <c r="AH16" s="292"/>
      <c r="AI16" s="292">
        <f t="shared" ref="AI16" si="4">SUM(AI13:AI15)</f>
        <v>17270495</v>
      </c>
      <c r="AJ16" s="292"/>
      <c r="AK16" s="291">
        <f>SUM(AK13:AK15)</f>
        <v>320830717.28366876</v>
      </c>
    </row>
    <row r="17" spans="1:29" s="254" customFormat="1">
      <c r="A17" s="91">
        <v>2012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52">
        <f t="shared" si="3"/>
        <v>0</v>
      </c>
      <c r="O17" s="72">
        <f t="shared" si="1"/>
        <v>0</v>
      </c>
      <c r="AB17" s="263">
        <f t="shared" si="0"/>
        <v>0</v>
      </c>
    </row>
    <row r="18" spans="1:29">
      <c r="A18" s="3">
        <v>2013</v>
      </c>
      <c r="B18" s="5"/>
      <c r="C18" s="5"/>
      <c r="D18" s="5"/>
      <c r="E18" s="5"/>
      <c r="F18" s="5"/>
      <c r="G18" s="268"/>
      <c r="H18" s="268"/>
      <c r="I18" s="268"/>
      <c r="J18" s="268"/>
      <c r="K18" s="268"/>
      <c r="L18" s="268"/>
      <c r="M18" s="268"/>
      <c r="N18" s="252">
        <f t="shared" si="3"/>
        <v>0</v>
      </c>
      <c r="O18" s="72">
        <f t="shared" si="1"/>
        <v>0</v>
      </c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63">
        <f t="shared" si="0"/>
        <v>0</v>
      </c>
    </row>
    <row r="19" spans="1:29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5">
        <f>SUM(N3:N18)</f>
        <v>1638.4600000000003</v>
      </c>
      <c r="O19" s="132">
        <f>SUM(O3:O18)</f>
        <v>15181</v>
      </c>
      <c r="P19" s="255"/>
      <c r="Q19" s="255"/>
      <c r="R19" s="255"/>
      <c r="S19" s="253"/>
      <c r="Y19" s="270" t="s">
        <v>242</v>
      </c>
      <c r="AA19" s="269"/>
      <c r="AB19" s="269">
        <v>0.05</v>
      </c>
      <c r="AC19" s="4" t="s">
        <v>48</v>
      </c>
    </row>
    <row r="20" spans="1:29">
      <c r="P20" s="452" t="s">
        <v>302</v>
      </c>
      <c r="Q20" s="255"/>
      <c r="R20" s="255"/>
      <c r="S20" s="253"/>
      <c r="Y20" s="88">
        <v>3000</v>
      </c>
      <c r="Z20" s="7">
        <f>Y20/340.75</f>
        <v>8.8041085840058688</v>
      </c>
      <c r="AA20" s="7">
        <v>0.56000000000000005</v>
      </c>
      <c r="AB20" s="7">
        <v>0.44</v>
      </c>
      <c r="AC20" s="7">
        <f>AA20-AB20</f>
        <v>0.12000000000000005</v>
      </c>
    </row>
    <row r="21" spans="1:29" ht="15.75" customHeight="1">
      <c r="A21" s="576" t="s">
        <v>294</v>
      </c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453">
        <v>19425</v>
      </c>
      <c r="P21" s="257">
        <v>46063</v>
      </c>
      <c r="Q21" s="310"/>
      <c r="Y21" s="270" t="s">
        <v>400</v>
      </c>
      <c r="AA21" s="269">
        <v>0.09</v>
      </c>
      <c r="AB21" s="269">
        <v>0.05</v>
      </c>
      <c r="AC21" s="4" t="s">
        <v>48</v>
      </c>
    </row>
    <row r="22" spans="1:29">
      <c r="O22" s="292"/>
      <c r="P22" s="257"/>
      <c r="V22" s="269"/>
      <c r="W22" s="269"/>
      <c r="Y22" s="88">
        <v>1000</v>
      </c>
      <c r="Z22" s="7">
        <v>2.93</v>
      </c>
      <c r="AA22" s="7">
        <f>Z22*9%</f>
        <v>0.26369999999999999</v>
      </c>
      <c r="AB22" s="7">
        <f>Z22*5%</f>
        <v>0.14650000000000002</v>
      </c>
      <c r="AC22" s="7">
        <v>0.14000000000000001</v>
      </c>
    </row>
    <row r="23" spans="1:29">
      <c r="B23" s="258" t="s">
        <v>242</v>
      </c>
      <c r="C23" s="258" t="s">
        <v>243</v>
      </c>
      <c r="D23" s="258" t="s">
        <v>244</v>
      </c>
      <c r="E23" s="258" t="s">
        <v>245</v>
      </c>
      <c r="F23" s="258" t="s">
        <v>246</v>
      </c>
      <c r="G23" s="258" t="s">
        <v>247</v>
      </c>
      <c r="H23" s="258" t="s">
        <v>62</v>
      </c>
      <c r="I23" s="258" t="s">
        <v>350</v>
      </c>
      <c r="J23" s="210"/>
      <c r="K23" s="210"/>
      <c r="L23" s="210"/>
      <c r="M23" s="210"/>
      <c r="N23" s="210"/>
      <c r="P23" s="732" t="s">
        <v>261</v>
      </c>
      <c r="Q23" s="732"/>
      <c r="R23" s="732"/>
      <c r="T23" s="88"/>
      <c r="U23" s="7"/>
      <c r="V23" s="7"/>
      <c r="W23" s="7"/>
      <c r="X23" s="7"/>
    </row>
    <row r="24" spans="1:29">
      <c r="A24" s="4" t="s">
        <v>295</v>
      </c>
      <c r="B24" s="7">
        <f>9*0.12</f>
        <v>1.08</v>
      </c>
      <c r="C24" s="7">
        <f>8*0.14</f>
        <v>1.1200000000000001</v>
      </c>
      <c r="N24" s="7">
        <f>SUM(B24:I24)</f>
        <v>2.2000000000000002</v>
      </c>
      <c r="P24" s="136" t="s">
        <v>258</v>
      </c>
      <c r="T24" s="4" t="s">
        <v>301</v>
      </c>
      <c r="V24" s="7"/>
      <c r="W24" s="7"/>
      <c r="X24" s="7"/>
      <c r="Y24" s="272"/>
      <c r="Z24" s="7"/>
    </row>
    <row r="25" spans="1:29">
      <c r="A25" s="4" t="s">
        <v>296</v>
      </c>
      <c r="B25" s="7">
        <f>32*0.12</f>
        <v>3.84</v>
      </c>
      <c r="C25" s="7">
        <f>11*0.14</f>
        <v>1.54</v>
      </c>
      <c r="N25" s="7">
        <f t="shared" ref="N25:N50" si="5">SUM(B25:I25)</f>
        <v>5.38</v>
      </c>
      <c r="P25" s="136" t="s">
        <v>303</v>
      </c>
      <c r="T25" s="4" t="s">
        <v>304</v>
      </c>
      <c r="V25" s="7"/>
      <c r="W25" s="7"/>
      <c r="X25" s="7"/>
    </row>
    <row r="26" spans="1:29">
      <c r="A26" s="4" t="s">
        <v>297</v>
      </c>
      <c r="B26" s="7">
        <f>18*0.12</f>
        <v>2.16</v>
      </c>
      <c r="C26" s="7">
        <f>24*0.14</f>
        <v>3.3600000000000003</v>
      </c>
      <c r="N26" s="7">
        <f t="shared" si="5"/>
        <v>5.5200000000000005</v>
      </c>
      <c r="P26" s="136" t="s">
        <v>305</v>
      </c>
      <c r="T26" s="4" t="s">
        <v>306</v>
      </c>
      <c r="V26" s="7"/>
      <c r="W26" s="7"/>
      <c r="X26" s="7"/>
    </row>
    <row r="27" spans="1:29">
      <c r="A27" s="4" t="s">
        <v>298</v>
      </c>
      <c r="B27" s="7">
        <f>21*0.12</f>
        <v>2.52</v>
      </c>
      <c r="C27" s="7">
        <f>22*0.14</f>
        <v>3.08</v>
      </c>
      <c r="N27" s="7">
        <f t="shared" si="5"/>
        <v>5.6</v>
      </c>
      <c r="P27" s="136" t="s">
        <v>307</v>
      </c>
      <c r="Q27" s="136" t="s">
        <v>260</v>
      </c>
      <c r="R27" s="136" t="s">
        <v>265</v>
      </c>
      <c r="T27" s="4" t="s">
        <v>308</v>
      </c>
      <c r="V27" s="7"/>
      <c r="W27" s="7"/>
      <c r="X27" s="7"/>
    </row>
    <row r="28" spans="1:29">
      <c r="A28" s="4" t="s">
        <v>299</v>
      </c>
      <c r="B28" s="7">
        <f>29*0.12</f>
        <v>3.48</v>
      </c>
      <c r="C28" s="7">
        <f>52*0.14</f>
        <v>7.2800000000000011</v>
      </c>
      <c r="N28" s="7">
        <f t="shared" si="5"/>
        <v>10.760000000000002</v>
      </c>
      <c r="P28" s="136" t="s">
        <v>307</v>
      </c>
      <c r="T28" s="4" t="s">
        <v>310</v>
      </c>
      <c r="V28" s="7"/>
      <c r="W28" s="7"/>
      <c r="X28" s="7"/>
    </row>
    <row r="29" spans="1:29">
      <c r="A29" s="4" t="s">
        <v>300</v>
      </c>
      <c r="B29" s="7">
        <f>22*0.12</f>
        <v>2.6399999999999997</v>
      </c>
      <c r="C29" s="7">
        <f>34*0.14</f>
        <v>4.7600000000000007</v>
      </c>
      <c r="N29" s="7">
        <f t="shared" si="5"/>
        <v>7.4</v>
      </c>
      <c r="P29" s="136" t="s">
        <v>312</v>
      </c>
      <c r="Q29" s="136" t="s">
        <v>313</v>
      </c>
      <c r="T29" s="4" t="s">
        <v>311</v>
      </c>
      <c r="V29" s="7"/>
      <c r="W29" s="7"/>
      <c r="X29" s="7"/>
    </row>
    <row r="30" spans="1:29" ht="13.5" thickBot="1">
      <c r="A30" s="171" t="s">
        <v>309</v>
      </c>
      <c r="B30" s="259">
        <f>21*0.12</f>
        <v>2.52</v>
      </c>
      <c r="C30" s="259">
        <f>22*0.14</f>
        <v>3.08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259">
        <f t="shared" si="5"/>
        <v>5.6</v>
      </c>
      <c r="P30" s="136" t="s">
        <v>315</v>
      </c>
      <c r="T30" s="4" t="s">
        <v>314</v>
      </c>
      <c r="V30" s="7"/>
      <c r="W30" s="7"/>
      <c r="X30" s="7"/>
    </row>
    <row r="31" spans="1:29">
      <c r="A31" s="4" t="s">
        <v>316</v>
      </c>
      <c r="B31" s="7">
        <f>23*0.12</f>
        <v>2.76</v>
      </c>
      <c r="C31" s="7">
        <f>23*0.14</f>
        <v>3.22</v>
      </c>
      <c r="N31" s="7">
        <f t="shared" si="5"/>
        <v>5.98</v>
      </c>
      <c r="P31" s="136" t="s">
        <v>264</v>
      </c>
      <c r="T31" s="4" t="s">
        <v>317</v>
      </c>
      <c r="V31" s="7"/>
      <c r="W31" s="7"/>
      <c r="X31" s="7"/>
    </row>
    <row r="32" spans="1:29">
      <c r="A32" s="4" t="s">
        <v>318</v>
      </c>
      <c r="B32" s="7">
        <f>18*0.12</f>
        <v>2.16</v>
      </c>
      <c r="C32" s="7">
        <f>18*0.14</f>
        <v>2.5200000000000005</v>
      </c>
      <c r="N32" s="7">
        <f t="shared" si="5"/>
        <v>4.6800000000000006</v>
      </c>
      <c r="P32" s="136" t="s">
        <v>315</v>
      </c>
      <c r="T32" s="4" t="s">
        <v>319</v>
      </c>
      <c r="V32" s="7"/>
      <c r="W32" s="7"/>
      <c r="X32" s="7"/>
    </row>
    <row r="33" spans="1:24">
      <c r="A33" s="4" t="s">
        <v>320</v>
      </c>
      <c r="B33" s="7">
        <f>23*0.12</f>
        <v>2.76</v>
      </c>
      <c r="C33" s="7">
        <f>17*0.14</f>
        <v>2.3800000000000003</v>
      </c>
      <c r="N33" s="7">
        <f t="shared" si="5"/>
        <v>5.1400000000000006</v>
      </c>
      <c r="P33" s="136" t="s">
        <v>264</v>
      </c>
      <c r="Q33" s="136" t="s">
        <v>322</v>
      </c>
      <c r="T33" s="4" t="s">
        <v>321</v>
      </c>
      <c r="V33" s="7"/>
      <c r="W33" s="7"/>
      <c r="X33" s="7"/>
    </row>
    <row r="34" spans="1:24">
      <c r="A34" s="4" t="s">
        <v>323</v>
      </c>
      <c r="B34" s="7">
        <f>40*0.12</f>
        <v>4.8</v>
      </c>
      <c r="C34" s="7">
        <f>37*0.14</f>
        <v>5.1800000000000006</v>
      </c>
      <c r="N34" s="7">
        <f t="shared" si="5"/>
        <v>9.98</v>
      </c>
      <c r="P34" s="136" t="s">
        <v>325</v>
      </c>
      <c r="Q34" s="136" t="s">
        <v>259</v>
      </c>
      <c r="T34" s="4" t="s">
        <v>324</v>
      </c>
      <c r="V34" s="7"/>
      <c r="W34" s="7"/>
      <c r="X34" s="7"/>
    </row>
    <row r="35" spans="1:24">
      <c r="A35" s="4" t="s">
        <v>326</v>
      </c>
      <c r="B35" s="7">
        <f>22*0.12</f>
        <v>2.6399999999999997</v>
      </c>
      <c r="C35" s="7">
        <f>17*0.14</f>
        <v>2.3800000000000003</v>
      </c>
      <c r="N35" s="7">
        <f t="shared" si="5"/>
        <v>5.0199999999999996</v>
      </c>
      <c r="P35" s="136" t="s">
        <v>328</v>
      </c>
      <c r="Q35" s="136" t="s">
        <v>259</v>
      </c>
      <c r="R35" s="136" t="s">
        <v>265</v>
      </c>
      <c r="T35" s="4" t="s">
        <v>327</v>
      </c>
      <c r="V35" s="7"/>
      <c r="W35" s="7"/>
      <c r="X35" s="7"/>
    </row>
    <row r="36" spans="1:24">
      <c r="A36" s="4" t="s">
        <v>329</v>
      </c>
      <c r="B36" s="7">
        <f>28*0.12</f>
        <v>3.36</v>
      </c>
      <c r="C36" s="7">
        <f>22*0.14</f>
        <v>3.08</v>
      </c>
      <c r="N36" s="7">
        <f t="shared" si="5"/>
        <v>6.4399999999999995</v>
      </c>
      <c r="P36" s="136" t="s">
        <v>330</v>
      </c>
      <c r="T36" s="4" t="s">
        <v>333</v>
      </c>
      <c r="V36" s="7"/>
      <c r="W36" s="7"/>
      <c r="X36" s="7"/>
    </row>
    <row r="37" spans="1:24">
      <c r="A37" s="4" t="s">
        <v>331</v>
      </c>
      <c r="B37" s="7">
        <f>25*0.12</f>
        <v>3</v>
      </c>
      <c r="C37" s="7">
        <f>31*0.14</f>
        <v>4.3400000000000007</v>
      </c>
      <c r="N37" s="7">
        <f t="shared" si="5"/>
        <v>7.3400000000000007</v>
      </c>
      <c r="P37" s="136" t="s">
        <v>264</v>
      </c>
      <c r="R37" s="136" t="s">
        <v>265</v>
      </c>
      <c r="T37" s="4" t="s">
        <v>332</v>
      </c>
      <c r="V37" s="7"/>
      <c r="W37" s="7"/>
      <c r="X37" s="7"/>
    </row>
    <row r="38" spans="1:24" ht="13.5" thickBot="1">
      <c r="A38" s="171" t="s">
        <v>334</v>
      </c>
      <c r="B38" s="259">
        <f>18*0.12</f>
        <v>2.16</v>
      </c>
      <c r="C38" s="259">
        <f>26*0.14</f>
        <v>3.6400000000000006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259">
        <f t="shared" si="5"/>
        <v>5.8000000000000007</v>
      </c>
      <c r="P38" s="136" t="s">
        <v>330</v>
      </c>
      <c r="Q38" s="136" t="s">
        <v>259</v>
      </c>
      <c r="T38" s="4" t="s">
        <v>347</v>
      </c>
      <c r="V38" s="7"/>
      <c r="W38" s="7"/>
      <c r="X38" s="7"/>
    </row>
    <row r="39" spans="1:24">
      <c r="A39" s="4" t="s">
        <v>335</v>
      </c>
      <c r="B39" s="7">
        <f>12*0.12</f>
        <v>1.44</v>
      </c>
      <c r="C39" s="7">
        <f>17*0.14</f>
        <v>2.3800000000000003</v>
      </c>
      <c r="N39" s="7">
        <f t="shared" si="5"/>
        <v>3.8200000000000003</v>
      </c>
      <c r="P39" s="311" t="s">
        <v>305</v>
      </c>
      <c r="Q39" s="136" t="s">
        <v>260</v>
      </c>
      <c r="T39" s="4" t="s">
        <v>348</v>
      </c>
      <c r="V39" s="7"/>
      <c r="W39" s="7"/>
      <c r="X39" s="7"/>
    </row>
    <row r="40" spans="1:24">
      <c r="A40" s="4" t="s">
        <v>336</v>
      </c>
      <c r="B40" s="7">
        <f>10*0.12</f>
        <v>1.2</v>
      </c>
      <c r="C40" s="7">
        <f>35*0.14</f>
        <v>4.9000000000000004</v>
      </c>
      <c r="N40" s="7">
        <f t="shared" si="5"/>
        <v>6.1000000000000005</v>
      </c>
      <c r="P40" s="311" t="s">
        <v>325</v>
      </c>
      <c r="R40" s="136" t="s">
        <v>265</v>
      </c>
      <c r="V40" s="7"/>
      <c r="W40" s="7"/>
      <c r="X40" s="7"/>
    </row>
    <row r="41" spans="1:24">
      <c r="A41" s="4" t="s">
        <v>337</v>
      </c>
      <c r="B41" s="7">
        <f>19*0.12</f>
        <v>2.2799999999999998</v>
      </c>
      <c r="C41" s="7">
        <f>16*0.14</f>
        <v>2.2400000000000002</v>
      </c>
      <c r="N41" s="7">
        <f t="shared" si="5"/>
        <v>4.5199999999999996</v>
      </c>
      <c r="P41" s="311" t="s">
        <v>312</v>
      </c>
      <c r="V41" s="7"/>
      <c r="W41" s="7"/>
      <c r="X41" s="7"/>
    </row>
    <row r="42" spans="1:24">
      <c r="A42" s="4" t="s">
        <v>338</v>
      </c>
      <c r="B42" s="7">
        <f>13*0.12</f>
        <v>1.56</v>
      </c>
      <c r="C42" s="7">
        <f>20*0.14</f>
        <v>2.8000000000000003</v>
      </c>
      <c r="N42" s="7">
        <f t="shared" si="5"/>
        <v>4.3600000000000003</v>
      </c>
      <c r="P42" s="311" t="s">
        <v>448</v>
      </c>
      <c r="V42" s="7"/>
      <c r="W42" s="7"/>
      <c r="X42" s="7"/>
    </row>
    <row r="43" spans="1:24">
      <c r="A43" s="4" t="s">
        <v>339</v>
      </c>
      <c r="B43" s="7">
        <f>22*0.12</f>
        <v>2.6399999999999997</v>
      </c>
      <c r="C43" s="7">
        <f>13*0.14</f>
        <v>1.8200000000000003</v>
      </c>
      <c r="N43" s="7">
        <f t="shared" si="5"/>
        <v>4.46</v>
      </c>
      <c r="P43" s="311" t="s">
        <v>449</v>
      </c>
      <c r="Q43" s="136" t="s">
        <v>260</v>
      </c>
      <c r="R43" s="136" t="s">
        <v>265</v>
      </c>
      <c r="V43" s="7"/>
      <c r="W43" s="7"/>
      <c r="X43" s="7"/>
    </row>
    <row r="44" spans="1:24">
      <c r="A44" s="4" t="s">
        <v>340</v>
      </c>
      <c r="B44" s="7">
        <f>6*0.12</f>
        <v>0.72</v>
      </c>
      <c r="C44" s="7">
        <f>18*0.14</f>
        <v>2.5200000000000005</v>
      </c>
      <c r="N44" s="7">
        <f t="shared" si="5"/>
        <v>3.24</v>
      </c>
      <c r="P44" s="311" t="s">
        <v>450</v>
      </c>
      <c r="Q44" s="136" t="s">
        <v>260</v>
      </c>
      <c r="R44" s="136" t="s">
        <v>265</v>
      </c>
      <c r="V44" s="7"/>
      <c r="W44" s="7"/>
      <c r="X44" s="7"/>
    </row>
    <row r="45" spans="1:24">
      <c r="A45" s="4" t="s">
        <v>341</v>
      </c>
      <c r="B45" s="7">
        <f>25*0.12</f>
        <v>3</v>
      </c>
      <c r="C45" s="7">
        <f>22*0.14</f>
        <v>3.08</v>
      </c>
      <c r="N45" s="7">
        <f t="shared" si="5"/>
        <v>6.08</v>
      </c>
      <c r="P45" s="311" t="s">
        <v>451</v>
      </c>
      <c r="Q45" s="136" t="s">
        <v>259</v>
      </c>
      <c r="R45" s="136" t="s">
        <v>265</v>
      </c>
      <c r="V45" s="7"/>
      <c r="W45" s="7"/>
      <c r="X45" s="7"/>
    </row>
    <row r="46" spans="1:24">
      <c r="A46" s="4" t="s">
        <v>342</v>
      </c>
      <c r="B46" s="7">
        <f>41*0.12</f>
        <v>4.92</v>
      </c>
      <c r="C46" s="7">
        <f>29*0.14</f>
        <v>4.0600000000000005</v>
      </c>
      <c r="N46" s="7">
        <f t="shared" si="5"/>
        <v>8.98</v>
      </c>
      <c r="P46" s="311" t="s">
        <v>452</v>
      </c>
      <c r="Q46" s="136" t="s">
        <v>322</v>
      </c>
      <c r="R46" s="136" t="s">
        <v>265</v>
      </c>
      <c r="V46" s="7"/>
      <c r="W46" s="7"/>
      <c r="X46" s="7"/>
    </row>
    <row r="47" spans="1:24">
      <c r="A47" s="4" t="s">
        <v>343</v>
      </c>
      <c r="B47" s="7">
        <f>30*0.12</f>
        <v>3.5999999999999996</v>
      </c>
      <c r="C47" s="7">
        <f>16*0.14</f>
        <v>2.2400000000000002</v>
      </c>
      <c r="N47" s="7">
        <f t="shared" si="5"/>
        <v>5.84</v>
      </c>
      <c r="P47" s="311" t="s">
        <v>453</v>
      </c>
      <c r="S47" s="136" t="s">
        <v>349</v>
      </c>
      <c r="V47" s="7"/>
      <c r="W47" s="7"/>
      <c r="X47" s="7"/>
    </row>
    <row r="48" spans="1:24">
      <c r="A48" s="4" t="s">
        <v>344</v>
      </c>
      <c r="B48" s="7">
        <f>24*0.12</f>
        <v>2.88</v>
      </c>
      <c r="C48" s="7">
        <f>7*0.14</f>
        <v>0.98000000000000009</v>
      </c>
      <c r="N48" s="7">
        <f t="shared" si="5"/>
        <v>3.86</v>
      </c>
      <c r="P48" s="311" t="s">
        <v>454</v>
      </c>
      <c r="V48" s="7"/>
      <c r="W48" s="7"/>
      <c r="X48" s="7"/>
    </row>
    <row r="49" spans="1:24">
      <c r="A49" s="4" t="s">
        <v>345</v>
      </c>
      <c r="B49" s="7">
        <f>30*0.12</f>
        <v>3.5999999999999996</v>
      </c>
      <c r="C49" s="7">
        <f>18*0.14</f>
        <v>2.5200000000000005</v>
      </c>
      <c r="N49" s="7">
        <f t="shared" si="5"/>
        <v>6.12</v>
      </c>
      <c r="P49" s="311" t="s">
        <v>455</v>
      </c>
      <c r="Q49" s="136" t="s">
        <v>260</v>
      </c>
      <c r="V49" s="7"/>
      <c r="W49" s="7"/>
      <c r="X49" s="7"/>
    </row>
    <row r="50" spans="1:24" ht="13.5" thickBot="1">
      <c r="A50" s="171" t="s">
        <v>346</v>
      </c>
      <c r="B50" s="259">
        <f>18*0.12</f>
        <v>2.16</v>
      </c>
      <c r="C50" s="259">
        <f>28*0.14</f>
        <v>3.9200000000000004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259">
        <f t="shared" si="5"/>
        <v>6.08</v>
      </c>
      <c r="V50" s="7"/>
      <c r="W50" s="7"/>
      <c r="X50" s="7"/>
    </row>
    <row r="51" spans="1:24">
      <c r="A51" s="4" t="s">
        <v>248</v>
      </c>
      <c r="B51" s="7">
        <f>16*0.12</f>
        <v>1.92</v>
      </c>
      <c r="C51" s="7">
        <f>6*0.14</f>
        <v>0.84000000000000008</v>
      </c>
      <c r="D51" s="7">
        <f>0.73-7*5%</f>
        <v>0.37999999999999995</v>
      </c>
      <c r="E51" s="7"/>
      <c r="F51" s="7"/>
      <c r="G51" s="7"/>
      <c r="H51" s="7"/>
      <c r="I51" s="7"/>
      <c r="J51" s="7"/>
      <c r="K51" s="7"/>
      <c r="L51" s="7"/>
      <c r="M51" s="7"/>
      <c r="N51" s="7">
        <f>SUM(B51:M51)</f>
        <v>3.1399999999999997</v>
      </c>
      <c r="P51" s="311" t="s">
        <v>258</v>
      </c>
      <c r="V51" s="7"/>
      <c r="W51" s="7"/>
      <c r="X51" s="7"/>
    </row>
    <row r="52" spans="1:24">
      <c r="A52" s="4" t="s">
        <v>249</v>
      </c>
      <c r="B52" s="7">
        <f>14*0.12</f>
        <v>1.68</v>
      </c>
      <c r="C52" s="7">
        <f>12*0.14</f>
        <v>1.6800000000000002</v>
      </c>
      <c r="D52" s="7"/>
      <c r="E52" s="7">
        <v>4.0199999999999996</v>
      </c>
      <c r="F52" s="7"/>
      <c r="G52" s="7"/>
      <c r="H52" s="7"/>
      <c r="I52" s="7"/>
      <c r="J52" s="7"/>
      <c r="K52" s="7"/>
      <c r="L52" s="7"/>
      <c r="M52" s="7"/>
      <c r="N52" s="7">
        <f t="shared" ref="N52:N60" si="6">SUM(B52:M52)</f>
        <v>7.38</v>
      </c>
      <c r="P52" s="311" t="s">
        <v>258</v>
      </c>
      <c r="Q52" s="136" t="s">
        <v>259</v>
      </c>
      <c r="V52" s="7"/>
      <c r="W52" s="7"/>
      <c r="X52" s="7"/>
    </row>
    <row r="53" spans="1:24">
      <c r="A53" s="4" t="s">
        <v>250</v>
      </c>
      <c r="B53" s="7">
        <f>25*0.12</f>
        <v>3</v>
      </c>
      <c r="C53" s="7">
        <f>18*0.14</f>
        <v>2.5200000000000005</v>
      </c>
      <c r="D53" s="7"/>
      <c r="E53" s="7">
        <v>0.97</v>
      </c>
      <c r="F53" s="7"/>
      <c r="G53" s="7"/>
      <c r="H53" s="7"/>
      <c r="I53" s="7"/>
      <c r="J53" s="7"/>
      <c r="K53" s="7"/>
      <c r="L53" s="7"/>
      <c r="M53" s="7"/>
      <c r="N53" s="7">
        <f t="shared" si="6"/>
        <v>6.49</v>
      </c>
      <c r="P53" s="311" t="s">
        <v>258</v>
      </c>
      <c r="Q53" s="136" t="s">
        <v>260</v>
      </c>
      <c r="V53" s="7"/>
      <c r="W53" s="7"/>
      <c r="X53" s="7"/>
    </row>
    <row r="54" spans="1:24">
      <c r="A54" s="4" t="s">
        <v>251</v>
      </c>
      <c r="B54" s="7">
        <f>9*0.12</f>
        <v>1.08</v>
      </c>
      <c r="C54" s="7">
        <f>13*0.14</f>
        <v>1.8200000000000003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f t="shared" si="6"/>
        <v>2.9000000000000004</v>
      </c>
      <c r="P54" s="311" t="s">
        <v>264</v>
      </c>
      <c r="Q54" s="136" t="s">
        <v>260</v>
      </c>
      <c r="R54" s="136" t="s">
        <v>265</v>
      </c>
      <c r="V54" s="7"/>
      <c r="W54" s="7"/>
      <c r="X54" s="7"/>
    </row>
    <row r="55" spans="1:24">
      <c r="A55" s="4" t="s">
        <v>252</v>
      </c>
      <c r="B55" s="7">
        <f>32*0.12</f>
        <v>3.84</v>
      </c>
      <c r="C55" s="7">
        <f>24*0.14</f>
        <v>3.3600000000000003</v>
      </c>
      <c r="D55" s="7">
        <v>1.44</v>
      </c>
      <c r="E55" s="7">
        <v>5.55</v>
      </c>
      <c r="F55" s="7"/>
      <c r="G55" s="7"/>
      <c r="H55" s="7"/>
      <c r="I55" s="7"/>
      <c r="J55" s="7"/>
      <c r="K55" s="7"/>
      <c r="L55" s="7"/>
      <c r="M55" s="7"/>
      <c r="N55" s="7">
        <f t="shared" si="6"/>
        <v>14.190000000000001</v>
      </c>
      <c r="P55" s="311" t="s">
        <v>274</v>
      </c>
      <c r="Q55" s="136" t="s">
        <v>260</v>
      </c>
      <c r="R55" s="136" t="s">
        <v>265</v>
      </c>
      <c r="T55" s="4" t="s">
        <v>275</v>
      </c>
      <c r="V55" s="7"/>
      <c r="W55" s="7"/>
      <c r="X55" s="7"/>
    </row>
    <row r="56" spans="1:24">
      <c r="A56" s="4" t="s">
        <v>253</v>
      </c>
      <c r="B56" s="7">
        <f>39*0.12</f>
        <v>4.68</v>
      </c>
      <c r="C56" s="7">
        <f>28*0.14</f>
        <v>3.9200000000000004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f t="shared" si="6"/>
        <v>8.6</v>
      </c>
      <c r="P56" s="311" t="s">
        <v>274</v>
      </c>
      <c r="Q56" s="136" t="s">
        <v>260</v>
      </c>
      <c r="R56" s="136" t="s">
        <v>265</v>
      </c>
      <c r="T56" s="4" t="s">
        <v>276</v>
      </c>
      <c r="V56" s="7"/>
      <c r="W56" s="7"/>
      <c r="X56" s="7"/>
    </row>
    <row r="57" spans="1:24">
      <c r="A57" s="4" t="s">
        <v>254</v>
      </c>
      <c r="B57" s="7">
        <f>33*0.12</f>
        <v>3.96</v>
      </c>
      <c r="C57" s="7">
        <f>16*0.14</f>
        <v>2.2400000000000002</v>
      </c>
      <c r="D57" s="7"/>
      <c r="E57" s="7">
        <v>0.97</v>
      </c>
      <c r="F57" s="7"/>
      <c r="G57" s="7"/>
      <c r="H57" s="7"/>
      <c r="I57" s="7"/>
      <c r="J57" s="7"/>
      <c r="K57" s="7"/>
      <c r="L57" s="7"/>
      <c r="M57" s="7"/>
      <c r="N57" s="7">
        <f t="shared" si="6"/>
        <v>7.17</v>
      </c>
      <c r="P57" s="311" t="s">
        <v>279</v>
      </c>
      <c r="Q57" s="136" t="s">
        <v>259</v>
      </c>
      <c r="T57" s="4" t="s">
        <v>280</v>
      </c>
      <c r="V57" s="7"/>
      <c r="W57" s="7"/>
      <c r="X57" s="7"/>
    </row>
    <row r="58" spans="1:24">
      <c r="A58" s="4" t="s">
        <v>255</v>
      </c>
      <c r="B58" s="7">
        <f>44*0.12</f>
        <v>5.2799999999999994</v>
      </c>
      <c r="C58" s="7">
        <f>18*0.14</f>
        <v>2.5200000000000005</v>
      </c>
      <c r="D58" s="7"/>
      <c r="E58" s="7">
        <v>0.97</v>
      </c>
      <c r="F58" s="7"/>
      <c r="G58" s="7"/>
      <c r="H58" s="7"/>
      <c r="I58" s="7"/>
      <c r="J58" s="7"/>
      <c r="K58" s="7"/>
      <c r="L58" s="7"/>
      <c r="M58" s="7"/>
      <c r="N58" s="7">
        <f t="shared" si="6"/>
        <v>8.77</v>
      </c>
      <c r="P58" s="311" t="s">
        <v>285</v>
      </c>
      <c r="T58" s="4" t="s">
        <v>284</v>
      </c>
      <c r="V58" s="7"/>
      <c r="W58" s="7"/>
      <c r="X58" s="7"/>
    </row>
    <row r="59" spans="1:24">
      <c r="A59" s="4" t="s">
        <v>256</v>
      </c>
      <c r="B59" s="7">
        <f>30*0.12</f>
        <v>3.5999999999999996</v>
      </c>
      <c r="C59" s="7">
        <f>24*0.14</f>
        <v>3.3600000000000003</v>
      </c>
      <c r="D59" s="7"/>
      <c r="E59" s="7">
        <v>0.85</v>
      </c>
      <c r="F59" s="7"/>
      <c r="G59" s="7"/>
      <c r="H59" s="7"/>
      <c r="I59" s="7"/>
      <c r="J59" s="7"/>
      <c r="K59" s="7"/>
      <c r="L59" s="7"/>
      <c r="M59" s="7"/>
      <c r="N59" s="7">
        <f t="shared" si="6"/>
        <v>7.81</v>
      </c>
      <c r="P59" s="311" t="s">
        <v>279</v>
      </c>
      <c r="T59" s="4" t="s">
        <v>289</v>
      </c>
      <c r="V59" s="7"/>
      <c r="W59" s="7"/>
      <c r="X59" s="7"/>
    </row>
    <row r="60" spans="1:24" ht="13.5" thickBot="1">
      <c r="A60" s="171" t="s">
        <v>257</v>
      </c>
      <c r="B60" s="259">
        <f>14*0.12</f>
        <v>1.68</v>
      </c>
      <c r="C60" s="259">
        <f>29*0.14</f>
        <v>4.0600000000000005</v>
      </c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>
        <f t="shared" si="6"/>
        <v>5.74</v>
      </c>
      <c r="P60" s="311" t="s">
        <v>293</v>
      </c>
      <c r="Q60" s="136" t="s">
        <v>259</v>
      </c>
      <c r="R60" s="136" t="s">
        <v>265</v>
      </c>
      <c r="S60" s="4" t="s">
        <v>291</v>
      </c>
      <c r="T60" s="4" t="s">
        <v>292</v>
      </c>
      <c r="V60" s="7"/>
      <c r="W60" s="7"/>
      <c r="X60" s="7"/>
    </row>
    <row r="61" spans="1:24">
      <c r="A61" s="4" t="s">
        <v>351</v>
      </c>
      <c r="B61" s="7">
        <f>28*0.12</f>
        <v>3.36</v>
      </c>
      <c r="C61" s="7">
        <f>11*0.14</f>
        <v>1.54</v>
      </c>
      <c r="N61" s="7">
        <f>SUM(B61:M61)</f>
        <v>4.9000000000000004</v>
      </c>
      <c r="P61" s="311" t="s">
        <v>330</v>
      </c>
      <c r="Q61" s="136" t="s">
        <v>259</v>
      </c>
      <c r="V61" s="7"/>
      <c r="W61" s="7"/>
      <c r="X61" s="7"/>
    </row>
    <row r="62" spans="1:24">
      <c r="A62" s="4" t="s">
        <v>352</v>
      </c>
      <c r="B62" s="7">
        <f>24*0.12</f>
        <v>2.88</v>
      </c>
      <c r="C62" s="7">
        <f>16*0.14</f>
        <v>2.2400000000000002</v>
      </c>
      <c r="D62" s="7"/>
      <c r="N62" s="7">
        <f t="shared" ref="N62:N71" si="7">SUM(B62:M62)</f>
        <v>5.12</v>
      </c>
      <c r="V62" s="7"/>
      <c r="W62" s="7"/>
      <c r="X62" s="7"/>
    </row>
    <row r="63" spans="1:24">
      <c r="A63" s="4" t="s">
        <v>353</v>
      </c>
      <c r="B63" s="7">
        <f t="shared" ref="B63:B64" si="8">28*0.12</f>
        <v>3.36</v>
      </c>
      <c r="C63" s="7">
        <f>22*0.14</f>
        <v>3.08</v>
      </c>
      <c r="D63" s="256"/>
      <c r="N63" s="7">
        <f t="shared" si="7"/>
        <v>6.4399999999999995</v>
      </c>
      <c r="P63" s="311" t="s">
        <v>264</v>
      </c>
      <c r="Q63" s="136" t="s">
        <v>260</v>
      </c>
      <c r="V63" s="7"/>
      <c r="W63" s="7"/>
      <c r="X63" s="7"/>
    </row>
    <row r="64" spans="1:24">
      <c r="A64" s="4" t="s">
        <v>354</v>
      </c>
      <c r="B64" s="7">
        <f t="shared" si="8"/>
        <v>3.36</v>
      </c>
      <c r="C64" s="7">
        <f>25*0.14</f>
        <v>3.5000000000000004</v>
      </c>
      <c r="D64" s="256"/>
      <c r="N64" s="7">
        <f t="shared" si="7"/>
        <v>6.86</v>
      </c>
      <c r="P64" s="311" t="s">
        <v>258</v>
      </c>
      <c r="Q64" s="136"/>
      <c r="R64" s="136" t="s">
        <v>265</v>
      </c>
      <c r="V64" s="7"/>
      <c r="W64" s="7"/>
      <c r="X64" s="7"/>
    </row>
    <row r="65" spans="1:24">
      <c r="A65" s="4" t="s">
        <v>355</v>
      </c>
      <c r="B65" s="7">
        <f>42*0.12</f>
        <v>5.04</v>
      </c>
      <c r="C65" s="7">
        <f>21*0.14</f>
        <v>2.9400000000000004</v>
      </c>
      <c r="N65" s="7">
        <f t="shared" si="7"/>
        <v>7.98</v>
      </c>
      <c r="V65" s="7"/>
      <c r="W65" s="7"/>
      <c r="X65" s="7"/>
    </row>
    <row r="66" spans="1:24">
      <c r="A66" s="4" t="s">
        <v>356</v>
      </c>
      <c r="B66" s="7">
        <f>32*0.12</f>
        <v>3.84</v>
      </c>
      <c r="C66" s="7">
        <f>31*0.14</f>
        <v>4.3400000000000007</v>
      </c>
      <c r="N66" s="7">
        <f t="shared" si="7"/>
        <v>8.18</v>
      </c>
      <c r="V66" s="7"/>
      <c r="W66" s="7"/>
      <c r="X66" s="7"/>
    </row>
    <row r="67" spans="1:24">
      <c r="A67" s="4" t="s">
        <v>357</v>
      </c>
      <c r="B67" s="7">
        <f>43*0.12</f>
        <v>5.16</v>
      </c>
      <c r="C67" s="7">
        <f>40*0.14</f>
        <v>5.6000000000000005</v>
      </c>
      <c r="N67" s="7">
        <f t="shared" si="7"/>
        <v>10.760000000000002</v>
      </c>
      <c r="V67" s="7"/>
      <c r="W67" s="7"/>
      <c r="X67" s="7"/>
    </row>
    <row r="68" spans="1:24">
      <c r="A68" s="4" t="s">
        <v>358</v>
      </c>
      <c r="B68" s="7">
        <f>62*0.12</f>
        <v>7.4399999999999995</v>
      </c>
      <c r="C68" s="7">
        <f>37*0.14</f>
        <v>5.1800000000000006</v>
      </c>
      <c r="N68" s="7">
        <f t="shared" si="7"/>
        <v>12.620000000000001</v>
      </c>
      <c r="V68" s="7"/>
      <c r="W68" s="7"/>
      <c r="X68" s="7"/>
    </row>
    <row r="69" spans="1:24">
      <c r="A69" s="4" t="s">
        <v>359</v>
      </c>
      <c r="B69" s="7">
        <f>59*0.12</f>
        <v>7.08</v>
      </c>
      <c r="C69" s="7">
        <f>42*0.14</f>
        <v>5.8800000000000008</v>
      </c>
      <c r="N69" s="7">
        <f t="shared" si="7"/>
        <v>12.96</v>
      </c>
      <c r="V69" s="7"/>
      <c r="W69" s="7"/>
      <c r="X69" s="7"/>
    </row>
    <row r="70" spans="1:24">
      <c r="A70" s="4" t="s">
        <v>360</v>
      </c>
      <c r="B70" s="7">
        <f>60*0.12</f>
        <v>7.1999999999999993</v>
      </c>
      <c r="C70" s="7">
        <f>53*0.14</f>
        <v>7.4200000000000008</v>
      </c>
      <c r="N70" s="7">
        <f t="shared" si="7"/>
        <v>14.620000000000001</v>
      </c>
      <c r="V70" s="7"/>
      <c r="W70" s="7"/>
      <c r="X70" s="7"/>
    </row>
    <row r="71" spans="1:24">
      <c r="A71" s="4" t="s">
        <v>361</v>
      </c>
      <c r="B71" s="7">
        <f>35*0.12</f>
        <v>4.2</v>
      </c>
      <c r="C71" s="7">
        <f>36*0.14</f>
        <v>5.0400000000000009</v>
      </c>
      <c r="N71" s="7">
        <f t="shared" si="7"/>
        <v>9.240000000000002</v>
      </c>
      <c r="V71" s="7"/>
      <c r="W71" s="7"/>
      <c r="X71" s="7"/>
    </row>
    <row r="72" spans="1:24" ht="13.5" thickBot="1">
      <c r="A72" s="171" t="s">
        <v>362</v>
      </c>
      <c r="B72" s="259">
        <f>26*0.12</f>
        <v>3.12</v>
      </c>
      <c r="C72" s="259">
        <f>29*0.14</f>
        <v>4.0600000000000005</v>
      </c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259">
        <f t="shared" ref="N72" si="9">SUM(B72:M72)</f>
        <v>7.1800000000000006</v>
      </c>
      <c r="V72" s="7"/>
      <c r="W72" s="7"/>
      <c r="X72" s="7"/>
    </row>
    <row r="73" spans="1:24">
      <c r="A73" s="4" t="s">
        <v>363</v>
      </c>
      <c r="B73" s="7">
        <f>24*0.12</f>
        <v>2.88</v>
      </c>
      <c r="C73" s="7">
        <f>14*0.14</f>
        <v>1.9600000000000002</v>
      </c>
      <c r="N73" s="7">
        <f>SUM(B73:M73)</f>
        <v>4.84</v>
      </c>
      <c r="V73" s="7"/>
      <c r="W73" s="7"/>
      <c r="X73" s="7"/>
    </row>
    <row r="74" spans="1:24">
      <c r="A74" s="4" t="s">
        <v>364</v>
      </c>
      <c r="B74" s="7">
        <f>31*0.12</f>
        <v>3.7199999999999998</v>
      </c>
      <c r="C74" s="7">
        <f>34*0.14</f>
        <v>4.7600000000000007</v>
      </c>
      <c r="N74" s="7">
        <f t="shared" ref="N74:N83" si="10">SUM(B74:M74)</f>
        <v>8.48</v>
      </c>
      <c r="V74" s="7"/>
      <c r="W74" s="7"/>
      <c r="X74" s="7"/>
    </row>
    <row r="75" spans="1:24">
      <c r="A75" s="4" t="s">
        <v>365</v>
      </c>
      <c r="B75" s="7">
        <f>40*0.12</f>
        <v>4.8</v>
      </c>
      <c r="C75" s="7">
        <f>25*0.14</f>
        <v>3.5000000000000004</v>
      </c>
      <c r="N75" s="7">
        <f t="shared" si="10"/>
        <v>8.3000000000000007</v>
      </c>
      <c r="V75" s="7"/>
      <c r="W75" s="7"/>
      <c r="X75" s="7"/>
    </row>
    <row r="76" spans="1:24">
      <c r="A76" s="4" t="s">
        <v>366</v>
      </c>
      <c r="B76" s="7">
        <f>32*0.12</f>
        <v>3.84</v>
      </c>
      <c r="C76" s="7">
        <f>31*0.14</f>
        <v>4.3400000000000007</v>
      </c>
      <c r="N76" s="7">
        <f t="shared" si="10"/>
        <v>8.18</v>
      </c>
      <c r="V76" s="7"/>
      <c r="W76" s="7"/>
      <c r="X76" s="7"/>
    </row>
    <row r="77" spans="1:24">
      <c r="A77" s="4" t="s">
        <v>367</v>
      </c>
      <c r="B77" s="7">
        <f>39*0.12</f>
        <v>4.68</v>
      </c>
      <c r="C77" s="7">
        <f>35*0.14</f>
        <v>4.9000000000000004</v>
      </c>
      <c r="N77" s="7">
        <f t="shared" si="10"/>
        <v>9.58</v>
      </c>
      <c r="V77" s="7"/>
      <c r="W77" s="7"/>
      <c r="X77" s="7"/>
    </row>
    <row r="78" spans="1:24">
      <c r="A78" s="4" t="s">
        <v>368</v>
      </c>
      <c r="B78" s="7">
        <f>24*0.12</f>
        <v>2.88</v>
      </c>
      <c r="C78" s="7">
        <f>24*0.14</f>
        <v>3.3600000000000003</v>
      </c>
      <c r="N78" s="7">
        <f t="shared" si="10"/>
        <v>6.24</v>
      </c>
      <c r="V78" s="7"/>
      <c r="W78" s="7"/>
      <c r="X78" s="7"/>
    </row>
    <row r="79" spans="1:24">
      <c r="A79" s="4" t="s">
        <v>369</v>
      </c>
      <c r="B79" s="7">
        <f>41*0.12</f>
        <v>4.92</v>
      </c>
      <c r="C79" s="7">
        <f>34*0.14</f>
        <v>4.7600000000000007</v>
      </c>
      <c r="N79" s="7">
        <f t="shared" si="10"/>
        <v>9.68</v>
      </c>
      <c r="V79" s="7"/>
      <c r="W79" s="7"/>
      <c r="X79" s="7"/>
    </row>
    <row r="80" spans="1:24">
      <c r="A80" s="4" t="s">
        <v>370</v>
      </c>
      <c r="B80" s="7">
        <f>66*0.12</f>
        <v>7.92</v>
      </c>
      <c r="C80" s="7">
        <f>37*0.14</f>
        <v>5.1800000000000006</v>
      </c>
      <c r="N80" s="7">
        <f t="shared" si="10"/>
        <v>13.100000000000001</v>
      </c>
      <c r="V80" s="7"/>
      <c r="W80" s="7"/>
      <c r="X80" s="7"/>
    </row>
    <row r="81" spans="1:29">
      <c r="A81" s="4" t="s">
        <v>371</v>
      </c>
      <c r="B81" s="7">
        <f>50*0.12</f>
        <v>6</v>
      </c>
      <c r="C81" s="7">
        <f>48*0.14</f>
        <v>6.7200000000000006</v>
      </c>
      <c r="N81" s="7">
        <f t="shared" si="10"/>
        <v>12.72</v>
      </c>
      <c r="V81" s="7"/>
      <c r="W81" s="7"/>
      <c r="X81" s="7"/>
    </row>
    <row r="82" spans="1:29">
      <c r="A82" s="4" t="s">
        <v>372</v>
      </c>
      <c r="B82" s="7">
        <f>38*0.12</f>
        <v>4.5599999999999996</v>
      </c>
      <c r="C82" s="7">
        <f>42*0.14</f>
        <v>5.8800000000000008</v>
      </c>
      <c r="N82" s="7">
        <f t="shared" si="10"/>
        <v>10.440000000000001</v>
      </c>
      <c r="V82" s="7"/>
      <c r="W82" s="7"/>
      <c r="X82" s="7"/>
    </row>
    <row r="83" spans="1:29">
      <c r="A83" s="4" t="s">
        <v>373</v>
      </c>
      <c r="B83" s="7">
        <f>21*0.12</f>
        <v>2.52</v>
      </c>
      <c r="C83" s="7">
        <f>27*0.14</f>
        <v>3.7800000000000002</v>
      </c>
      <c r="N83" s="7">
        <f t="shared" si="10"/>
        <v>6.3000000000000007</v>
      </c>
      <c r="V83" s="7"/>
      <c r="W83" s="7"/>
      <c r="X83" s="7"/>
    </row>
    <row r="84" spans="1:29" ht="13.5" thickBot="1">
      <c r="A84" s="171" t="s">
        <v>374</v>
      </c>
      <c r="B84" s="259">
        <f>30*0.12</f>
        <v>3.5999999999999996</v>
      </c>
      <c r="C84" s="259">
        <f>35*0.14</f>
        <v>4.9000000000000004</v>
      </c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259">
        <f t="shared" ref="N84" si="11">SUM(B84:M84)</f>
        <v>8.5</v>
      </c>
      <c r="V84" s="7"/>
      <c r="W84" s="7"/>
      <c r="X84" s="7"/>
    </row>
    <row r="85" spans="1:29">
      <c r="A85" s="4" t="s">
        <v>375</v>
      </c>
      <c r="B85" s="7">
        <f>18*0.12</f>
        <v>2.16</v>
      </c>
      <c r="C85" s="7">
        <f>15*0.14</f>
        <v>2.1</v>
      </c>
      <c r="N85" s="7">
        <f>SUM(B85:M85)</f>
        <v>4.26</v>
      </c>
      <c r="U85" s="7"/>
      <c r="V85" s="7"/>
      <c r="W85" s="7"/>
      <c r="X85" s="7"/>
    </row>
    <row r="86" spans="1:29">
      <c r="A86" s="4" t="s">
        <v>376</v>
      </c>
      <c r="B86" s="7">
        <f>12*0.12</f>
        <v>1.44</v>
      </c>
      <c r="C86" s="7">
        <f>14*0.14</f>
        <v>1.9600000000000002</v>
      </c>
      <c r="N86" s="7">
        <f t="shared" ref="N86:N95" si="12">SUM(B86:M86)</f>
        <v>3.4000000000000004</v>
      </c>
    </row>
    <row r="87" spans="1:29">
      <c r="A87" s="4" t="s">
        <v>377</v>
      </c>
      <c r="B87" s="7">
        <f>34*0.12</f>
        <v>4.08</v>
      </c>
      <c r="C87" s="7">
        <f>25*0.14</f>
        <v>3.5000000000000004</v>
      </c>
      <c r="N87" s="7">
        <f t="shared" si="12"/>
        <v>7.58</v>
      </c>
    </row>
    <row r="88" spans="1:29">
      <c r="A88" s="4" t="s">
        <v>378</v>
      </c>
      <c r="B88" s="7">
        <f>8*0.12</f>
        <v>0.96</v>
      </c>
      <c r="C88" s="7">
        <f>17*0.14</f>
        <v>2.3800000000000003</v>
      </c>
      <c r="N88" s="7">
        <f t="shared" si="12"/>
        <v>3.3400000000000003</v>
      </c>
      <c r="Z88" s="270" t="s">
        <v>242</v>
      </c>
      <c r="AA88" s="274" t="s">
        <v>15</v>
      </c>
      <c r="AB88" s="273">
        <v>0.05</v>
      </c>
      <c r="AC88" s="136" t="s">
        <v>48</v>
      </c>
    </row>
    <row r="89" spans="1:29">
      <c r="A89" s="4" t="s">
        <v>379</v>
      </c>
      <c r="B89" s="7">
        <f>15*0.12</f>
        <v>1.7999999999999998</v>
      </c>
      <c r="C89" s="7">
        <f>17*0.14</f>
        <v>2.3800000000000003</v>
      </c>
      <c r="N89" s="7">
        <f t="shared" si="12"/>
        <v>4.18</v>
      </c>
      <c r="V89" s="269"/>
      <c r="W89" s="269"/>
      <c r="Y89" s="270"/>
      <c r="Z89" s="7">
        <v>12</v>
      </c>
      <c r="AA89" s="7">
        <v>0.8</v>
      </c>
      <c r="AB89" s="7">
        <v>0.6</v>
      </c>
      <c r="AC89" s="275">
        <f>AA89-AB89</f>
        <v>0.20000000000000007</v>
      </c>
    </row>
    <row r="90" spans="1:29">
      <c r="A90" s="4" t="s">
        <v>380</v>
      </c>
      <c r="B90" s="275">
        <f>38*0.2</f>
        <v>7.6000000000000005</v>
      </c>
      <c r="C90" s="7">
        <f>28*0.48</f>
        <v>13.44</v>
      </c>
      <c r="N90" s="7">
        <f t="shared" si="12"/>
        <v>21.04</v>
      </c>
      <c r="T90" s="88"/>
      <c r="U90" s="7"/>
      <c r="V90" s="7"/>
      <c r="W90" s="7"/>
      <c r="X90" s="7"/>
      <c r="Y90" s="88"/>
      <c r="Z90" s="7">
        <v>12</v>
      </c>
      <c r="AA90" s="7">
        <v>0.56000000000000005</v>
      </c>
      <c r="AB90" s="7">
        <v>0.6</v>
      </c>
      <c r="AC90" s="7">
        <f>AA90-AB90</f>
        <v>-3.9999999999999925E-2</v>
      </c>
    </row>
    <row r="91" spans="1:29">
      <c r="A91" s="4" t="s">
        <v>381</v>
      </c>
      <c r="B91" s="275">
        <f>30*0.2</f>
        <v>6</v>
      </c>
      <c r="C91" s="7">
        <f>42*0.48</f>
        <v>20.16</v>
      </c>
      <c r="N91" s="7">
        <f t="shared" si="12"/>
        <v>26.16</v>
      </c>
      <c r="U91" s="7"/>
      <c r="V91" s="7"/>
      <c r="W91" s="7"/>
      <c r="X91" s="7"/>
      <c r="Y91" s="270"/>
      <c r="Z91" s="271" t="s">
        <v>400</v>
      </c>
      <c r="AA91" s="269">
        <v>0.09</v>
      </c>
      <c r="AB91" s="269">
        <v>0.05</v>
      </c>
      <c r="AC91" s="136" t="s">
        <v>48</v>
      </c>
    </row>
    <row r="92" spans="1:29">
      <c r="A92" s="4" t="s">
        <v>382</v>
      </c>
      <c r="B92" s="275">
        <f>76*0.2</f>
        <v>15.200000000000001</v>
      </c>
      <c r="C92" s="7">
        <f>59*0.48</f>
        <v>28.32</v>
      </c>
      <c r="N92" s="7">
        <f t="shared" si="12"/>
        <v>43.52</v>
      </c>
      <c r="Y92" s="88"/>
      <c r="Z92" s="7">
        <v>12</v>
      </c>
      <c r="AA92" s="7">
        <f>Z92*9%</f>
        <v>1.08</v>
      </c>
      <c r="AB92" s="7">
        <f>Z92*5%</f>
        <v>0.60000000000000009</v>
      </c>
      <c r="AC92" s="7">
        <f>AA92-AB92</f>
        <v>0.48</v>
      </c>
    </row>
    <row r="93" spans="1:29">
      <c r="A93" s="4" t="s">
        <v>383</v>
      </c>
      <c r="B93" s="275">
        <f>56*0.2</f>
        <v>11.200000000000001</v>
      </c>
      <c r="C93" s="7">
        <f>70*0.48</f>
        <v>33.6</v>
      </c>
      <c r="N93" s="7">
        <f t="shared" si="12"/>
        <v>44.800000000000004</v>
      </c>
    </row>
    <row r="94" spans="1:29">
      <c r="A94" s="4" t="s">
        <v>384</v>
      </c>
      <c r="B94" s="7"/>
      <c r="C94" s="7">
        <f>35*0.48</f>
        <v>16.8</v>
      </c>
      <c r="N94" s="7">
        <f t="shared" si="12"/>
        <v>16.8</v>
      </c>
    </row>
    <row r="95" spans="1:29">
      <c r="A95" s="4" t="s">
        <v>385</v>
      </c>
      <c r="B95" s="275">
        <f>41*0.2</f>
        <v>8.2000000000000011</v>
      </c>
      <c r="C95" s="7">
        <f>50*0.48</f>
        <v>24</v>
      </c>
      <c r="N95" s="7">
        <f t="shared" si="12"/>
        <v>32.200000000000003</v>
      </c>
    </row>
    <row r="96" spans="1:29" ht="13.5" thickBot="1">
      <c r="A96" s="171" t="s">
        <v>386</v>
      </c>
      <c r="B96" s="276">
        <f>41*0.2</f>
        <v>8.2000000000000011</v>
      </c>
      <c r="C96" s="259">
        <f>72*0.48</f>
        <v>34.56</v>
      </c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259">
        <f t="shared" ref="N96" si="13">SUM(B96:M96)</f>
        <v>42.760000000000005</v>
      </c>
    </row>
    <row r="97" spans="1:14">
      <c r="A97" s="4" t="s">
        <v>387</v>
      </c>
      <c r="B97" s="275">
        <f>26*0.2</f>
        <v>5.2</v>
      </c>
      <c r="C97" s="7">
        <f>25*0.48</f>
        <v>12</v>
      </c>
      <c r="N97" s="7">
        <f>SUM(B97:M97)</f>
        <v>17.2</v>
      </c>
    </row>
    <row r="98" spans="1:14">
      <c r="A98" s="4" t="s">
        <v>388</v>
      </c>
      <c r="B98" s="279">
        <f>27*0.2</f>
        <v>5.4</v>
      </c>
      <c r="C98" s="7">
        <f>55*0.48</f>
        <v>26.4</v>
      </c>
      <c r="N98" s="7">
        <f t="shared" ref="N98:N107" si="14">SUM(B98:M98)</f>
        <v>31.799999999999997</v>
      </c>
    </row>
    <row r="99" spans="1:14">
      <c r="A99" s="4" t="s">
        <v>389</v>
      </c>
      <c r="B99" s="279">
        <f>29*0.2</f>
        <v>5.8000000000000007</v>
      </c>
      <c r="C99" s="7">
        <f>44*0.48</f>
        <v>21.119999999999997</v>
      </c>
      <c r="N99" s="7">
        <f t="shared" si="14"/>
        <v>26.919999999999998</v>
      </c>
    </row>
    <row r="100" spans="1:14">
      <c r="A100" s="4" t="s">
        <v>390</v>
      </c>
      <c r="B100" s="279">
        <f>27*0.2</f>
        <v>5.4</v>
      </c>
      <c r="C100" s="7">
        <f>43*0.48</f>
        <v>20.64</v>
      </c>
      <c r="N100" s="7">
        <f t="shared" si="14"/>
        <v>26.04</v>
      </c>
    </row>
    <row r="101" spans="1:14">
      <c r="A101" s="4" t="s">
        <v>391</v>
      </c>
      <c r="B101" s="279">
        <f>38*0.2</f>
        <v>7.6000000000000005</v>
      </c>
      <c r="C101" s="7">
        <f>53*0.48</f>
        <v>25.439999999999998</v>
      </c>
      <c r="N101" s="7">
        <f t="shared" si="14"/>
        <v>33.04</v>
      </c>
    </row>
    <row r="102" spans="1:14">
      <c r="A102" s="4" t="s">
        <v>392</v>
      </c>
      <c r="B102" s="279">
        <f>31*0.2</f>
        <v>6.2</v>
      </c>
      <c r="C102" s="7">
        <f>31*0.48</f>
        <v>14.879999999999999</v>
      </c>
      <c r="N102" s="7">
        <f t="shared" si="14"/>
        <v>21.08</v>
      </c>
    </row>
    <row r="103" spans="1:14">
      <c r="A103" s="4" t="s">
        <v>393</v>
      </c>
      <c r="B103" s="279">
        <f>30*0.2</f>
        <v>6</v>
      </c>
      <c r="C103" s="7">
        <f>38*0.48</f>
        <v>18.239999999999998</v>
      </c>
      <c r="N103" s="7">
        <f t="shared" si="14"/>
        <v>24.24</v>
      </c>
    </row>
    <row r="104" spans="1:14">
      <c r="A104" s="4" t="s">
        <v>394</v>
      </c>
      <c r="B104" s="279">
        <f>32*0.2</f>
        <v>6.4</v>
      </c>
      <c r="C104" s="7">
        <f>12*0.48</f>
        <v>5.76</v>
      </c>
      <c r="N104" s="7">
        <f t="shared" si="14"/>
        <v>12.16</v>
      </c>
    </row>
    <row r="105" spans="1:14">
      <c r="A105" s="4" t="s">
        <v>395</v>
      </c>
      <c r="B105" s="279">
        <f>36*0.2</f>
        <v>7.2</v>
      </c>
      <c r="C105" s="7">
        <f>39*0.48</f>
        <v>18.72</v>
      </c>
      <c r="N105" s="7">
        <f t="shared" si="14"/>
        <v>25.919999999999998</v>
      </c>
    </row>
    <row r="106" spans="1:14">
      <c r="A106" s="4" t="s">
        <v>396</v>
      </c>
      <c r="B106" s="279">
        <f>23*0.2</f>
        <v>4.6000000000000005</v>
      </c>
      <c r="C106" s="7">
        <f>30*0.48</f>
        <v>14.399999999999999</v>
      </c>
      <c r="N106" s="7">
        <f t="shared" si="14"/>
        <v>19</v>
      </c>
    </row>
    <row r="107" spans="1:14">
      <c r="A107" s="4" t="s">
        <v>397</v>
      </c>
      <c r="B107" s="279">
        <f>30*0.2</f>
        <v>6</v>
      </c>
      <c r="C107" s="7">
        <f>29*0.48</f>
        <v>13.92</v>
      </c>
      <c r="N107" s="7">
        <f t="shared" si="14"/>
        <v>19.920000000000002</v>
      </c>
    </row>
    <row r="108" spans="1:14" ht="13.5" thickBot="1">
      <c r="A108" s="171" t="s">
        <v>398</v>
      </c>
      <c r="B108" s="278">
        <f>13*0.2</f>
        <v>2.6</v>
      </c>
      <c r="C108" s="259">
        <f>46*0.48</f>
        <v>22.08</v>
      </c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259">
        <f t="shared" ref="N108" si="15">SUM(B108:M108)</f>
        <v>24.68</v>
      </c>
    </row>
    <row r="109" spans="1:14">
      <c r="A109" s="4" t="s">
        <v>399</v>
      </c>
      <c r="B109" s="279">
        <f>36*0.2</f>
        <v>7.2</v>
      </c>
      <c r="C109" s="7">
        <f>40*0.48</f>
        <v>19.2</v>
      </c>
      <c r="N109" s="7">
        <f>SUM(B109:M109)</f>
        <v>26.4</v>
      </c>
    </row>
    <row r="110" spans="1:14">
      <c r="A110" s="4" t="s">
        <v>401</v>
      </c>
      <c r="B110" s="279">
        <f>12*0.2</f>
        <v>2.4000000000000004</v>
      </c>
      <c r="C110" s="7">
        <f>28*0.48</f>
        <v>13.44</v>
      </c>
      <c r="N110" s="7">
        <f t="shared" ref="N110:N150" si="16">SUM(B110:M110)</f>
        <v>15.84</v>
      </c>
    </row>
    <row r="111" spans="1:14">
      <c r="A111" s="4" t="s">
        <v>402</v>
      </c>
      <c r="B111" s="279">
        <f>15*0.2</f>
        <v>3</v>
      </c>
      <c r="C111" s="7">
        <f>43*0.48</f>
        <v>20.64</v>
      </c>
      <c r="N111" s="7">
        <f t="shared" si="16"/>
        <v>23.64</v>
      </c>
    </row>
    <row r="112" spans="1:14">
      <c r="A112" s="4" t="s">
        <v>403</v>
      </c>
      <c r="B112" s="279">
        <f>48*0.2</f>
        <v>9.6000000000000014</v>
      </c>
      <c r="C112" s="7">
        <f>88*0.48</f>
        <v>42.239999999999995</v>
      </c>
      <c r="N112" s="7">
        <f t="shared" si="16"/>
        <v>51.839999999999996</v>
      </c>
    </row>
    <row r="113" spans="1:29">
      <c r="A113" s="4" t="s">
        <v>404</v>
      </c>
      <c r="B113" s="279">
        <f>20*0.2</f>
        <v>4</v>
      </c>
      <c r="C113" s="7">
        <f>17*0.48</f>
        <v>8.16</v>
      </c>
      <c r="N113" s="7">
        <f t="shared" si="16"/>
        <v>12.16</v>
      </c>
    </row>
    <row r="114" spans="1:29">
      <c r="A114" s="4" t="s">
        <v>405</v>
      </c>
      <c r="B114" s="279">
        <f>36*0.2</f>
        <v>7.2</v>
      </c>
      <c r="C114" s="7">
        <f>34*0.48</f>
        <v>16.32</v>
      </c>
      <c r="N114" s="7">
        <f t="shared" si="16"/>
        <v>23.52</v>
      </c>
    </row>
    <row r="115" spans="1:29">
      <c r="A115" s="4" t="s">
        <v>406</v>
      </c>
      <c r="B115" s="279">
        <f>38*0.2</f>
        <v>7.6000000000000005</v>
      </c>
      <c r="C115" s="7">
        <f>40*0.48</f>
        <v>19.2</v>
      </c>
      <c r="N115" s="7">
        <f t="shared" si="16"/>
        <v>26.8</v>
      </c>
    </row>
    <row r="116" spans="1:29">
      <c r="A116" s="4" t="s">
        <v>407</v>
      </c>
      <c r="B116" s="279">
        <f>37*0.2</f>
        <v>7.4</v>
      </c>
      <c r="C116" s="7">
        <f>45*0.48</f>
        <v>21.599999999999998</v>
      </c>
      <c r="N116" s="7">
        <f t="shared" si="16"/>
        <v>29</v>
      </c>
    </row>
    <row r="117" spans="1:29">
      <c r="A117" s="4" t="s">
        <v>408</v>
      </c>
      <c r="B117" s="279">
        <f>29*0.2</f>
        <v>5.8000000000000007</v>
      </c>
      <c r="C117" s="7">
        <f>35*0.48</f>
        <v>16.8</v>
      </c>
      <c r="N117" s="7">
        <f t="shared" si="16"/>
        <v>22.6</v>
      </c>
    </row>
    <row r="118" spans="1:29">
      <c r="A118" s="4" t="s">
        <v>409</v>
      </c>
      <c r="B118" s="279">
        <f>30*0.2</f>
        <v>6</v>
      </c>
      <c r="C118" s="7">
        <f>27*0.48</f>
        <v>12.959999999999999</v>
      </c>
      <c r="N118" s="7">
        <f t="shared" si="16"/>
        <v>18.96</v>
      </c>
    </row>
    <row r="119" spans="1:29">
      <c r="A119" s="174" t="s">
        <v>410</v>
      </c>
      <c r="B119" s="280">
        <f>26*0.2</f>
        <v>5.2</v>
      </c>
      <c r="C119" s="277">
        <f>29*0.48</f>
        <v>13.92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277">
        <f t="shared" si="16"/>
        <v>19.12</v>
      </c>
    </row>
    <row r="120" spans="1:29" ht="13.5" thickBot="1">
      <c r="A120" s="171" t="s">
        <v>411</v>
      </c>
      <c r="B120" s="278">
        <f>27*0.2</f>
        <v>5.4</v>
      </c>
      <c r="C120" s="259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259">
        <f t="shared" si="16"/>
        <v>5.4</v>
      </c>
      <c r="Y120" s="7"/>
      <c r="Z120" s="7"/>
      <c r="AA120" s="7"/>
      <c r="AB120" s="7"/>
      <c r="AC120" s="7"/>
    </row>
    <row r="121" spans="1:29">
      <c r="A121" s="4" t="s">
        <v>412</v>
      </c>
      <c r="B121" s="280">
        <f>23*0.2</f>
        <v>4.6000000000000005</v>
      </c>
      <c r="C121" s="27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f t="shared" si="16"/>
        <v>4.6000000000000005</v>
      </c>
    </row>
    <row r="122" spans="1:29">
      <c r="A122" s="4" t="s">
        <v>413</v>
      </c>
      <c r="B122" s="279">
        <f>18*0.2</f>
        <v>3.6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f t="shared" si="16"/>
        <v>3.6</v>
      </c>
    </row>
    <row r="123" spans="1:29">
      <c r="A123" s="4" t="s">
        <v>414</v>
      </c>
      <c r="B123" s="279">
        <f>24*0.2</f>
        <v>4.8000000000000007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f t="shared" si="16"/>
        <v>4.8000000000000007</v>
      </c>
    </row>
    <row r="124" spans="1:29">
      <c r="A124" s="4" t="s">
        <v>415</v>
      </c>
      <c r="B124" s="279">
        <f>12*0.2</f>
        <v>2.4000000000000004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f t="shared" si="16"/>
        <v>2.4000000000000004</v>
      </c>
    </row>
    <row r="125" spans="1:29">
      <c r="A125" s="4" t="s">
        <v>416</v>
      </c>
      <c r="B125" s="279">
        <f>29*0.2</f>
        <v>5.8000000000000007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f t="shared" si="16"/>
        <v>5.8000000000000007</v>
      </c>
    </row>
    <row r="126" spans="1:29">
      <c r="A126" s="4" t="s">
        <v>417</v>
      </c>
      <c r="B126" s="7">
        <f>38*0.2</f>
        <v>7.6000000000000005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f t="shared" si="16"/>
        <v>7.6000000000000005</v>
      </c>
    </row>
    <row r="127" spans="1:29">
      <c r="A127" s="4" t="s">
        <v>418</v>
      </c>
      <c r="B127" s="7">
        <f>45*0.2</f>
        <v>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f t="shared" si="16"/>
        <v>9</v>
      </c>
    </row>
    <row r="128" spans="1:29">
      <c r="A128" s="4" t="s">
        <v>419</v>
      </c>
      <c r="B128" s="7">
        <f>43*0.2</f>
        <v>8.6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f t="shared" si="16"/>
        <v>8.6</v>
      </c>
    </row>
    <row r="129" spans="1:29">
      <c r="A129" s="4" t="s">
        <v>420</v>
      </c>
      <c r="B129" s="7">
        <f>53*0.2</f>
        <v>10.600000000000001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f t="shared" si="16"/>
        <v>10.600000000000001</v>
      </c>
    </row>
    <row r="130" spans="1:29">
      <c r="A130" s="4" t="s">
        <v>421</v>
      </c>
      <c r="B130" s="7">
        <f>32*0.2</f>
        <v>6.4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f t="shared" si="16"/>
        <v>6.4</v>
      </c>
    </row>
    <row r="131" spans="1:29">
      <c r="A131" s="4" t="s">
        <v>422</v>
      </c>
      <c r="B131" s="7">
        <f>24*0.2</f>
        <v>4.8000000000000007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f t="shared" si="16"/>
        <v>4.8000000000000007</v>
      </c>
    </row>
    <row r="132" spans="1:29" ht="13.5" thickBot="1">
      <c r="A132" s="171" t="s">
        <v>423</v>
      </c>
      <c r="B132" s="259">
        <f>24*0.2</f>
        <v>4.8000000000000007</v>
      </c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>
        <f t="shared" si="16"/>
        <v>4.8000000000000007</v>
      </c>
    </row>
    <row r="133" spans="1:29">
      <c r="A133" s="4" t="s">
        <v>424</v>
      </c>
      <c r="B133" s="7">
        <f>39*0.2</f>
        <v>7.8000000000000007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f t="shared" si="16"/>
        <v>7.8000000000000007</v>
      </c>
    </row>
    <row r="134" spans="1:29">
      <c r="A134" s="4" t="s">
        <v>425</v>
      </c>
      <c r="B134" s="7">
        <f>28*0.2</f>
        <v>5.6000000000000005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f t="shared" si="16"/>
        <v>5.6000000000000005</v>
      </c>
    </row>
    <row r="135" spans="1:29">
      <c r="A135" s="4" t="s">
        <v>426</v>
      </c>
      <c r="B135" s="7">
        <f>26*0.2</f>
        <v>5.2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f t="shared" si="16"/>
        <v>5.2</v>
      </c>
    </row>
    <row r="136" spans="1:29">
      <c r="A136" s="4" t="s">
        <v>427</v>
      </c>
      <c r="B136" s="7">
        <f>23*0.2</f>
        <v>4.6000000000000005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f t="shared" si="16"/>
        <v>4.6000000000000005</v>
      </c>
    </row>
    <row r="137" spans="1:29">
      <c r="A137" s="4" t="s">
        <v>428</v>
      </c>
      <c r="B137" s="7">
        <f>45*0.2</f>
        <v>9</v>
      </c>
      <c r="C137" s="7"/>
      <c r="D137" s="7"/>
      <c r="E137" s="7"/>
      <c r="F137" s="7"/>
      <c r="G137" s="7"/>
      <c r="H137" s="7"/>
      <c r="I137" s="7">
        <v>1.29</v>
      </c>
      <c r="J137" s="7"/>
      <c r="K137" s="7"/>
      <c r="L137" s="7"/>
      <c r="M137" s="7"/>
      <c r="N137" s="7">
        <f t="shared" si="16"/>
        <v>10.29</v>
      </c>
    </row>
    <row r="138" spans="1:29">
      <c r="A138" s="4" t="s">
        <v>429</v>
      </c>
      <c r="B138" s="7">
        <f>29*0.2</f>
        <v>5.8000000000000007</v>
      </c>
      <c r="C138" s="7"/>
      <c r="D138" s="7"/>
      <c r="E138" s="7"/>
      <c r="F138" s="7"/>
      <c r="G138" s="7"/>
      <c r="H138" s="7"/>
      <c r="I138" s="7">
        <v>3.87</v>
      </c>
      <c r="J138" s="7"/>
      <c r="K138" s="7"/>
      <c r="L138" s="7"/>
      <c r="M138" s="7"/>
      <c r="N138" s="7">
        <f t="shared" si="16"/>
        <v>9.6700000000000017</v>
      </c>
    </row>
    <row r="139" spans="1:29">
      <c r="A139" s="4" t="s">
        <v>430</v>
      </c>
      <c r="B139" s="7">
        <f>42*0.2</f>
        <v>8.4</v>
      </c>
      <c r="C139" s="7"/>
      <c r="D139" s="7"/>
      <c r="E139" s="7"/>
      <c r="F139" s="7"/>
      <c r="G139" s="7"/>
      <c r="H139" s="7"/>
      <c r="I139" s="7">
        <f>4*1.29</f>
        <v>5.16</v>
      </c>
      <c r="J139" s="7"/>
      <c r="K139" s="7"/>
      <c r="L139" s="7"/>
      <c r="M139" s="7"/>
      <c r="N139" s="7">
        <f t="shared" si="16"/>
        <v>13.56</v>
      </c>
    </row>
    <row r="140" spans="1:29">
      <c r="A140" s="281" t="s">
        <v>431</v>
      </c>
      <c r="B140" s="7">
        <f>55*0.3</f>
        <v>16.5</v>
      </c>
      <c r="C140" s="7"/>
      <c r="D140" s="7"/>
      <c r="E140" s="7"/>
      <c r="F140" s="7"/>
      <c r="G140" s="7"/>
      <c r="H140" s="7"/>
      <c r="I140" s="7">
        <f>4*1.29</f>
        <v>5.16</v>
      </c>
      <c r="J140" s="7"/>
      <c r="K140" s="7"/>
      <c r="L140" s="7"/>
      <c r="M140" s="7"/>
      <c r="N140" s="7">
        <f t="shared" si="16"/>
        <v>21.66</v>
      </c>
      <c r="Z140" s="270" t="s">
        <v>242</v>
      </c>
      <c r="AA140" s="274" t="s">
        <v>15</v>
      </c>
      <c r="AB140" s="273">
        <v>0.05</v>
      </c>
      <c r="AC140" s="136" t="s">
        <v>48</v>
      </c>
    </row>
    <row r="141" spans="1:29">
      <c r="A141" s="4" t="s">
        <v>432</v>
      </c>
      <c r="B141" s="7">
        <f>36*0.3</f>
        <v>10.799999999999999</v>
      </c>
      <c r="C141" s="7"/>
      <c r="D141" s="7"/>
      <c r="E141" s="7"/>
      <c r="F141" s="7"/>
      <c r="G141" s="7"/>
      <c r="H141" s="7"/>
      <c r="I141" s="7">
        <f>2*1.29</f>
        <v>2.58</v>
      </c>
      <c r="J141" s="7"/>
      <c r="K141" s="7"/>
      <c r="L141" s="7"/>
      <c r="M141" s="7"/>
      <c r="N141" s="7">
        <f t="shared" si="16"/>
        <v>13.379999999999999</v>
      </c>
      <c r="Y141" s="270"/>
      <c r="Z141" s="7">
        <v>20</v>
      </c>
      <c r="AA141" s="279">
        <v>1.3</v>
      </c>
      <c r="AB141" s="7">
        <v>1</v>
      </c>
      <c r="AC141" s="279">
        <f>AA141-AB141</f>
        <v>0.30000000000000004</v>
      </c>
    </row>
    <row r="142" spans="1:29">
      <c r="A142" s="282" t="s">
        <v>433</v>
      </c>
      <c r="B142" s="283"/>
      <c r="C142" s="283"/>
      <c r="D142" s="28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>
        <f t="shared" si="16"/>
        <v>0</v>
      </c>
      <c r="Y142" s="270"/>
      <c r="Z142" s="271" t="s">
        <v>400</v>
      </c>
      <c r="AA142" s="269">
        <v>0.09</v>
      </c>
      <c r="AB142" s="269">
        <v>0.05</v>
      </c>
      <c r="AC142" s="136" t="s">
        <v>48</v>
      </c>
    </row>
    <row r="143" spans="1:29">
      <c r="A143" s="4" t="s">
        <v>434</v>
      </c>
      <c r="B143" s="7">
        <f>22*0.3</f>
        <v>6.6</v>
      </c>
      <c r="C143" s="7"/>
      <c r="D143" s="7"/>
      <c r="E143" s="7"/>
      <c r="F143" s="7"/>
      <c r="G143" s="7"/>
      <c r="H143" s="7"/>
      <c r="I143" s="7">
        <f>3*1.29</f>
        <v>3.87</v>
      </c>
      <c r="J143" s="7"/>
      <c r="K143" s="7"/>
      <c r="L143" s="7"/>
      <c r="M143" s="7"/>
      <c r="N143" s="7">
        <f t="shared" si="16"/>
        <v>10.469999999999999</v>
      </c>
      <c r="Y143" s="88"/>
      <c r="Z143" s="7">
        <v>20</v>
      </c>
      <c r="AA143" s="7">
        <f>Z143*9%</f>
        <v>1.7999999999999998</v>
      </c>
      <c r="AB143" s="7">
        <f>Z143*5%</f>
        <v>1</v>
      </c>
      <c r="AC143" s="7">
        <f>AA143-AB143</f>
        <v>0.79999999999999982</v>
      </c>
    </row>
    <row r="144" spans="1:29" ht="13.5" thickBot="1">
      <c r="A144" s="171" t="s">
        <v>435</v>
      </c>
      <c r="B144" s="259">
        <f>27*0.3</f>
        <v>8.1</v>
      </c>
      <c r="C144" s="259"/>
      <c r="D144" s="259"/>
      <c r="E144" s="259"/>
      <c r="F144" s="259"/>
      <c r="G144" s="259"/>
      <c r="H144" s="259"/>
      <c r="I144" s="259">
        <f>2*1.29</f>
        <v>2.58</v>
      </c>
      <c r="J144" s="259"/>
      <c r="K144" s="259"/>
      <c r="L144" s="259"/>
      <c r="M144" s="259"/>
      <c r="N144" s="259">
        <f t="shared" si="16"/>
        <v>10.68</v>
      </c>
      <c r="Y144" s="284" t="s">
        <v>436</v>
      </c>
      <c r="Z144" s="7">
        <v>3</v>
      </c>
      <c r="AA144" s="7">
        <v>1.3</v>
      </c>
      <c r="AB144" s="285">
        <f>Z144*0.5%</f>
        <v>1.4999999999999999E-2</v>
      </c>
      <c r="AC144" s="7">
        <f>AA144-AB144</f>
        <v>1.2850000000000001</v>
      </c>
    </row>
    <row r="145" spans="1:14">
      <c r="A145" s="4" t="s">
        <v>437</v>
      </c>
      <c r="B145" s="7">
        <f>10*0.3</f>
        <v>3</v>
      </c>
      <c r="C145" s="7">
        <f>14*0.8</f>
        <v>11.200000000000001</v>
      </c>
      <c r="D145" s="7"/>
      <c r="E145" s="7"/>
      <c r="F145" s="7"/>
      <c r="G145" s="7"/>
      <c r="H145" s="7"/>
      <c r="I145" s="7">
        <v>1.29</v>
      </c>
      <c r="J145" s="7"/>
      <c r="K145" s="7"/>
      <c r="L145" s="7"/>
      <c r="M145" s="7"/>
      <c r="N145" s="7">
        <f t="shared" si="16"/>
        <v>15.490000000000002</v>
      </c>
    </row>
    <row r="146" spans="1:14">
      <c r="A146" s="4" t="s">
        <v>438</v>
      </c>
      <c r="B146" s="7">
        <f>15*0.3</f>
        <v>4.5</v>
      </c>
      <c r="C146" s="7">
        <f>15*0.8</f>
        <v>12</v>
      </c>
      <c r="D146" s="7"/>
      <c r="E146" s="7"/>
      <c r="F146" s="7"/>
      <c r="G146" s="7"/>
      <c r="H146" s="7"/>
      <c r="I146" s="7">
        <v>1.29</v>
      </c>
      <c r="J146" s="7"/>
      <c r="K146" s="7"/>
      <c r="L146" s="7"/>
      <c r="M146" s="7"/>
      <c r="N146" s="7">
        <f t="shared" si="16"/>
        <v>17.79</v>
      </c>
    </row>
    <row r="147" spans="1:14">
      <c r="A147" s="4" t="s">
        <v>439</v>
      </c>
      <c r="B147" s="7">
        <f>27*0.3</f>
        <v>8.1</v>
      </c>
      <c r="C147" s="7">
        <f>32*0.8</f>
        <v>25.6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f t="shared" si="16"/>
        <v>33.700000000000003</v>
      </c>
    </row>
    <row r="148" spans="1:14">
      <c r="A148" s="4" t="s">
        <v>440</v>
      </c>
      <c r="B148" s="7">
        <f>31*0.3</f>
        <v>9.2999999999999989</v>
      </c>
      <c r="C148" s="7">
        <f>33*0.8</f>
        <v>26.400000000000002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f t="shared" si="16"/>
        <v>35.700000000000003</v>
      </c>
    </row>
    <row r="149" spans="1:14">
      <c r="A149" s="4" t="s">
        <v>441</v>
      </c>
      <c r="B149" s="7">
        <f>33*0.3</f>
        <v>9.9</v>
      </c>
      <c r="C149" s="7">
        <f>43*0.8</f>
        <v>34.4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f t="shared" si="16"/>
        <v>44.3</v>
      </c>
    </row>
    <row r="150" spans="1:14" ht="13.5" thickBot="1">
      <c r="A150" s="171" t="s">
        <v>442</v>
      </c>
      <c r="B150" s="259">
        <f>29*0.3</f>
        <v>8.6999999999999993</v>
      </c>
      <c r="C150" s="259">
        <f>40*0.8</f>
        <v>32</v>
      </c>
      <c r="D150" s="259"/>
      <c r="E150" s="259"/>
      <c r="F150" s="259"/>
      <c r="G150" s="259"/>
      <c r="H150" s="259"/>
      <c r="I150" s="259"/>
      <c r="J150" s="259"/>
      <c r="K150" s="259"/>
      <c r="L150" s="259"/>
      <c r="M150" s="171"/>
      <c r="N150" s="259">
        <f t="shared" si="16"/>
        <v>40.700000000000003</v>
      </c>
    </row>
    <row r="151" spans="1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N151" s="7"/>
    </row>
    <row r="152" spans="1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N152" s="7"/>
    </row>
    <row r="153" spans="1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N153" s="7"/>
    </row>
    <row r="154" spans="1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N154" s="7"/>
    </row>
    <row r="155" spans="1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N155" s="7"/>
    </row>
    <row r="156" spans="1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N156" s="7"/>
    </row>
    <row r="157" spans="1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N157" s="7"/>
    </row>
    <row r="158" spans="1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N158" s="7"/>
    </row>
    <row r="159" spans="1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N159" s="7"/>
    </row>
    <row r="160" spans="1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N160" s="7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7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N162" s="7"/>
    </row>
    <row r="163" spans="2:14">
      <c r="N163" s="7"/>
    </row>
  </sheetData>
  <mergeCells count="15">
    <mergeCell ref="P23:R23"/>
    <mergeCell ref="M1:M2"/>
    <mergeCell ref="A21:N2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1"/>
  <sheetViews>
    <sheetView workbookViewId="0">
      <pane ySplit="1" topLeftCell="A2" activePane="bottomLeft" state="frozen"/>
      <selection pane="bottomLeft" activeCell="O21" sqref="O21"/>
    </sheetView>
  </sheetViews>
  <sheetFormatPr defaultRowHeight="15"/>
  <cols>
    <col min="1" max="1" width="5" style="11" bestFit="1" customWidth="1"/>
    <col min="2" max="2" width="6.88671875" style="11" bestFit="1" customWidth="1"/>
    <col min="3" max="3" width="7.21875" style="11" bestFit="1" customWidth="1"/>
    <col min="4" max="5" width="8.44140625" style="11" bestFit="1" customWidth="1"/>
    <col min="6" max="6" width="7.21875" style="11" bestFit="1" customWidth="1"/>
    <col min="7" max="8" width="6.44140625" style="11" bestFit="1" customWidth="1"/>
    <col min="9" max="9" width="7.33203125" style="11" customWidth="1"/>
    <col min="10" max="11" width="7.21875" style="11" bestFit="1" customWidth="1"/>
    <col min="12" max="13" width="6.44140625" style="11" bestFit="1" customWidth="1"/>
    <col min="14" max="14" width="8.44140625" style="11" bestFit="1" customWidth="1"/>
    <col min="15" max="15" width="9.21875" style="11" bestFit="1" customWidth="1"/>
    <col min="16" max="16" width="3.21875" style="11" bestFit="1" customWidth="1"/>
    <col min="17" max="17" width="4.6640625" style="11" bestFit="1" customWidth="1"/>
    <col min="18" max="18" width="6.109375" style="11" customWidth="1"/>
    <col min="19" max="20" width="5.6640625" style="11" bestFit="1" customWidth="1"/>
    <col min="21" max="21" width="4.6640625" style="11" bestFit="1" customWidth="1"/>
    <col min="22" max="22" width="8" style="11" bestFit="1" customWidth="1"/>
    <col min="23" max="23" width="4.6640625" style="11" bestFit="1" customWidth="1"/>
    <col min="24" max="24" width="9.33203125" style="11" bestFit="1" customWidth="1"/>
    <col min="25" max="26" width="5.6640625" style="11" bestFit="1" customWidth="1"/>
    <col min="27" max="28" width="4.6640625" style="11" bestFit="1" customWidth="1"/>
    <col min="29" max="29" width="5.6640625" style="11" bestFit="1" customWidth="1"/>
    <col min="30" max="16384" width="8.88671875" style="11"/>
  </cols>
  <sheetData>
    <row r="1" spans="1:29" ht="12.75" customHeight="1">
      <c r="A1" s="384"/>
      <c r="B1" s="48" t="s">
        <v>4</v>
      </c>
      <c r="C1" s="47" t="s">
        <v>5</v>
      </c>
      <c r="D1" s="48" t="s">
        <v>6</v>
      </c>
      <c r="E1" s="46" t="s">
        <v>7</v>
      </c>
      <c r="F1" s="48" t="s">
        <v>2</v>
      </c>
      <c r="G1" s="47" t="s">
        <v>8</v>
      </c>
      <c r="H1" s="48" t="s">
        <v>9</v>
      </c>
      <c r="I1" s="46" t="s">
        <v>10</v>
      </c>
      <c r="J1" s="48" t="s">
        <v>11</v>
      </c>
      <c r="K1" s="47" t="s">
        <v>12</v>
      </c>
      <c r="L1" s="48" t="s">
        <v>13</v>
      </c>
      <c r="M1" s="46" t="s">
        <v>14</v>
      </c>
      <c r="N1" s="85" t="s">
        <v>3</v>
      </c>
      <c r="O1" s="85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0">
        <v>53.11</v>
      </c>
      <c r="K2" s="70">
        <v>127.93</v>
      </c>
      <c r="L2" s="70">
        <v>0.25</v>
      </c>
      <c r="M2" s="70">
        <v>3.87</v>
      </c>
      <c r="N2" s="70">
        <f t="shared" ref="N2:N17" si="0">SUM(B2:M2)</f>
        <v>185.16000000000003</v>
      </c>
      <c r="O2" s="72">
        <f>AC2</f>
        <v>4307</v>
      </c>
      <c r="Q2" s="292"/>
      <c r="R2" s="292"/>
      <c r="S2" s="292"/>
      <c r="T2" s="292"/>
      <c r="U2" s="292"/>
      <c r="V2" s="292"/>
      <c r="W2" s="292"/>
      <c r="X2" s="292"/>
      <c r="Y2" s="292">
        <v>1253</v>
      </c>
      <c r="Z2" s="292">
        <v>2962</v>
      </c>
      <c r="AA2" s="292">
        <v>6</v>
      </c>
      <c r="AB2" s="292">
        <v>86</v>
      </c>
      <c r="AC2" s="297">
        <f>SUM(Q2:AB2)</f>
        <v>4307</v>
      </c>
    </row>
    <row r="3" spans="1:29">
      <c r="A3" s="3">
        <v>1999</v>
      </c>
      <c r="B3" s="5"/>
      <c r="C3" s="5">
        <v>10.92</v>
      </c>
      <c r="D3" s="5"/>
      <c r="E3" s="5">
        <v>10.55</v>
      </c>
      <c r="F3" s="5">
        <v>6.87</v>
      </c>
      <c r="G3" s="5"/>
      <c r="H3" s="5"/>
      <c r="I3" s="5">
        <v>0.15</v>
      </c>
      <c r="J3" s="5"/>
      <c r="K3" s="5">
        <v>6.59</v>
      </c>
      <c r="L3" s="5"/>
      <c r="M3" s="5"/>
      <c r="N3" s="70">
        <f t="shared" si="0"/>
        <v>35.08</v>
      </c>
      <c r="O3" s="72">
        <f t="shared" ref="O3:O17" si="1">AC3</f>
        <v>720</v>
      </c>
      <c r="Q3" s="292"/>
      <c r="R3" s="292">
        <v>235</v>
      </c>
      <c r="S3" s="292"/>
      <c r="T3" s="292">
        <v>219</v>
      </c>
      <c r="U3" s="292">
        <v>140</v>
      </c>
      <c r="V3" s="292"/>
      <c r="W3" s="292"/>
      <c r="X3" s="292">
        <v>3</v>
      </c>
      <c r="Y3" s="292"/>
      <c r="Z3" s="292">
        <v>123</v>
      </c>
      <c r="AA3" s="292"/>
      <c r="AB3" s="292"/>
      <c r="AC3" s="297">
        <f t="shared" ref="AC3:AC17" si="2">SUM(Q3:AB3)</f>
        <v>720</v>
      </c>
    </row>
    <row r="4" spans="1:29">
      <c r="A4" s="3">
        <v>2000</v>
      </c>
      <c r="B4" s="5">
        <v>0.69</v>
      </c>
      <c r="C4" s="5">
        <v>4.96</v>
      </c>
      <c r="D4" s="5">
        <v>49.23</v>
      </c>
      <c r="E4" s="5">
        <v>2.14</v>
      </c>
      <c r="F4" s="5"/>
      <c r="G4" s="5"/>
      <c r="H4" s="5"/>
      <c r="I4" s="5"/>
      <c r="J4" s="5"/>
      <c r="K4" s="498"/>
      <c r="L4" s="5"/>
      <c r="M4" s="5"/>
      <c r="N4" s="70">
        <f t="shared" si="0"/>
        <v>57.019999999999996</v>
      </c>
      <c r="O4" s="72">
        <f t="shared" si="1"/>
        <v>986</v>
      </c>
      <c r="Q4" s="292">
        <v>12</v>
      </c>
      <c r="R4" s="292">
        <v>87</v>
      </c>
      <c r="S4" s="292">
        <v>851</v>
      </c>
      <c r="T4" s="292">
        <v>36</v>
      </c>
      <c r="U4" s="292"/>
      <c r="V4" s="292"/>
      <c r="W4" s="292"/>
      <c r="X4" s="292"/>
      <c r="Y4" s="292"/>
      <c r="Z4" s="497"/>
      <c r="AA4" s="292"/>
      <c r="AB4" s="292"/>
      <c r="AC4" s="297">
        <f t="shared" si="2"/>
        <v>986</v>
      </c>
    </row>
    <row r="5" spans="1:29">
      <c r="A5" s="3">
        <v>2001</v>
      </c>
      <c r="B5" s="5"/>
      <c r="C5" s="498"/>
      <c r="D5" s="498"/>
      <c r="E5" s="498"/>
      <c r="F5" s="5"/>
      <c r="G5" s="498"/>
      <c r="H5" s="5"/>
      <c r="I5" s="498"/>
      <c r="J5" s="498"/>
      <c r="K5" s="5"/>
      <c r="L5" s="498"/>
      <c r="M5" s="5"/>
      <c r="N5" s="70">
        <f t="shared" si="0"/>
        <v>0</v>
      </c>
      <c r="O5" s="72">
        <f t="shared" si="1"/>
        <v>0</v>
      </c>
      <c r="Q5" s="292"/>
      <c r="R5" s="497"/>
      <c r="S5" s="497"/>
      <c r="T5" s="497"/>
      <c r="U5" s="292"/>
      <c r="V5" s="497"/>
      <c r="W5" s="292"/>
      <c r="X5" s="497"/>
      <c r="Y5" s="497"/>
      <c r="Z5" s="292"/>
      <c r="AA5" s="497"/>
      <c r="AB5" s="292"/>
      <c r="AC5" s="297">
        <f t="shared" si="2"/>
        <v>0</v>
      </c>
    </row>
    <row r="6" spans="1:29">
      <c r="A6" s="3">
        <v>2002</v>
      </c>
      <c r="B6" s="5"/>
      <c r="C6" s="5"/>
      <c r="D6" s="498"/>
      <c r="E6" s="5">
        <v>0.5</v>
      </c>
      <c r="F6" s="5">
        <v>2.02</v>
      </c>
      <c r="G6" s="5"/>
      <c r="H6" s="498"/>
      <c r="I6" s="5"/>
      <c r="J6" s="5"/>
      <c r="K6" s="5"/>
      <c r="L6" s="498"/>
      <c r="M6" s="498"/>
      <c r="N6" s="70">
        <f t="shared" si="0"/>
        <v>2.52</v>
      </c>
      <c r="O6" s="72">
        <f t="shared" si="1"/>
        <v>133</v>
      </c>
      <c r="Q6" s="292"/>
      <c r="R6" s="292"/>
      <c r="S6" s="292">
        <v>3</v>
      </c>
      <c r="T6" s="292">
        <v>7</v>
      </c>
      <c r="U6" s="292">
        <v>26</v>
      </c>
      <c r="V6" s="292"/>
      <c r="W6" s="292">
        <v>36</v>
      </c>
      <c r="X6" s="292"/>
      <c r="Y6" s="292"/>
      <c r="Z6" s="292"/>
      <c r="AA6" s="292">
        <v>11</v>
      </c>
      <c r="AB6" s="292">
        <v>50</v>
      </c>
      <c r="AC6" s="297">
        <f t="shared" si="2"/>
        <v>133</v>
      </c>
    </row>
    <row r="7" spans="1:29">
      <c r="A7" s="3">
        <v>2003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499"/>
      <c r="M7" s="86"/>
      <c r="N7" s="70">
        <f t="shared" si="0"/>
        <v>0</v>
      </c>
      <c r="O7" s="72">
        <f t="shared" si="1"/>
        <v>0</v>
      </c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497"/>
      <c r="AB7" s="292"/>
      <c r="AC7" s="297">
        <f t="shared" si="2"/>
        <v>0</v>
      </c>
    </row>
    <row r="8" spans="1:29">
      <c r="A8" s="3">
        <v>2004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70">
        <f t="shared" si="0"/>
        <v>0</v>
      </c>
      <c r="O8" s="72">
        <f t="shared" si="1"/>
        <v>0</v>
      </c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7">
        <f t="shared" si="2"/>
        <v>0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0">
        <f t="shared" si="0"/>
        <v>0</v>
      </c>
      <c r="O9" s="7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0">
        <f t="shared" si="0"/>
        <v>0</v>
      </c>
      <c r="O10" s="72">
        <f t="shared" si="1"/>
        <v>0</v>
      </c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7">
        <f t="shared" si="2"/>
        <v>0</v>
      </c>
    </row>
    <row r="11" spans="1:29">
      <c r="A11" s="3">
        <v>2007</v>
      </c>
      <c r="B11" s="498"/>
      <c r="C11" s="498"/>
      <c r="D11" s="5"/>
      <c r="E11" s="498"/>
      <c r="F11" s="498"/>
      <c r="G11" s="5"/>
      <c r="H11" s="498"/>
      <c r="I11" s="498"/>
      <c r="J11" s="498"/>
      <c r="K11" s="498"/>
      <c r="L11" s="5"/>
      <c r="M11" s="5"/>
      <c r="N11" s="70">
        <f t="shared" si="0"/>
        <v>0</v>
      </c>
      <c r="O11" s="72">
        <f t="shared" si="1"/>
        <v>0</v>
      </c>
      <c r="Q11" s="497"/>
      <c r="R11" s="497"/>
      <c r="S11" s="292"/>
      <c r="T11" s="497"/>
      <c r="U11" s="497"/>
      <c r="V11" s="292"/>
      <c r="W11" s="497"/>
      <c r="X11" s="497"/>
      <c r="Y11" s="497"/>
      <c r="Z11" s="497"/>
      <c r="AA11" s="292"/>
      <c r="AB11" s="292"/>
      <c r="AC11" s="297">
        <f t="shared" si="2"/>
        <v>0</v>
      </c>
    </row>
    <row r="12" spans="1:29">
      <c r="A12" s="3">
        <v>2008</v>
      </c>
      <c r="B12" s="5"/>
      <c r="C12" s="5"/>
      <c r="D12" s="5"/>
      <c r="E12" s="5">
        <v>15.23</v>
      </c>
      <c r="F12" s="5"/>
      <c r="G12" s="5">
        <v>56.34</v>
      </c>
      <c r="H12" s="5"/>
      <c r="I12" s="5">
        <v>6.69</v>
      </c>
      <c r="J12" s="5"/>
      <c r="K12" s="5">
        <v>13.45</v>
      </c>
      <c r="L12" s="5"/>
      <c r="M12" s="5">
        <v>5.45</v>
      </c>
      <c r="N12" s="70">
        <f t="shared" si="0"/>
        <v>97.160000000000011</v>
      </c>
      <c r="O12" s="72">
        <f t="shared" si="1"/>
        <v>654</v>
      </c>
      <c r="Q12" s="292"/>
      <c r="R12" s="292"/>
      <c r="S12" s="292"/>
      <c r="T12" s="292">
        <v>105</v>
      </c>
      <c r="U12" s="292"/>
      <c r="V12" s="292">
        <v>382</v>
      </c>
      <c r="W12" s="292"/>
      <c r="X12" s="292">
        <v>44</v>
      </c>
      <c r="Y12" s="292"/>
      <c r="Z12" s="292">
        <v>88</v>
      </c>
      <c r="AA12" s="292"/>
      <c r="AB12" s="292">
        <v>35</v>
      </c>
      <c r="AC12" s="297">
        <f t="shared" si="2"/>
        <v>654</v>
      </c>
    </row>
    <row r="13" spans="1:29">
      <c r="A13" s="3">
        <v>2009</v>
      </c>
      <c r="B13" s="5">
        <v>1.03</v>
      </c>
      <c r="C13" s="5">
        <v>185.31</v>
      </c>
      <c r="D13" s="5">
        <v>19.399999999999999</v>
      </c>
      <c r="E13" s="5">
        <v>3</v>
      </c>
      <c r="F13" s="5">
        <v>2.76</v>
      </c>
      <c r="G13" s="5">
        <v>2.3199999999999998</v>
      </c>
      <c r="H13" s="5">
        <v>1.18</v>
      </c>
      <c r="I13" s="498"/>
      <c r="J13" s="5">
        <v>106.75</v>
      </c>
      <c r="K13" s="5">
        <v>44.83</v>
      </c>
      <c r="L13" s="5">
        <v>37.82</v>
      </c>
      <c r="M13" s="5">
        <v>37.82</v>
      </c>
      <c r="N13" s="70">
        <f t="shared" si="0"/>
        <v>442.21999999999997</v>
      </c>
      <c r="O13" s="72">
        <f t="shared" si="1"/>
        <v>2709</v>
      </c>
      <c r="Q13" s="291">
        <v>7</v>
      </c>
      <c r="R13" s="291">
        <v>1170</v>
      </c>
      <c r="S13" s="291">
        <v>122</v>
      </c>
      <c r="T13" s="291">
        <v>19</v>
      </c>
      <c r="U13" s="291">
        <v>17</v>
      </c>
      <c r="V13" s="291">
        <v>14</v>
      </c>
      <c r="W13" s="291">
        <v>7</v>
      </c>
      <c r="X13" s="497"/>
      <c r="Y13" s="291">
        <v>640</v>
      </c>
      <c r="Z13" s="291">
        <v>267</v>
      </c>
      <c r="AA13" s="291">
        <v>224</v>
      </c>
      <c r="AB13" s="291">
        <v>222</v>
      </c>
      <c r="AC13" s="297">
        <f t="shared" si="2"/>
        <v>2709</v>
      </c>
    </row>
    <row r="14" spans="1:29" s="45" customFormat="1">
      <c r="A14" s="91">
        <v>2010</v>
      </c>
      <c r="B14" s="498"/>
      <c r="C14" s="498"/>
      <c r="D14" s="5"/>
      <c r="E14" s="498"/>
      <c r="F14" s="498"/>
      <c r="G14" s="498"/>
      <c r="H14" s="5"/>
      <c r="I14" s="5">
        <v>124.12</v>
      </c>
      <c r="J14" s="5">
        <v>53.38</v>
      </c>
      <c r="K14" s="5"/>
      <c r="L14" s="5"/>
      <c r="M14" s="5"/>
      <c r="N14" s="70">
        <f t="shared" si="0"/>
        <v>177.5</v>
      </c>
      <c r="O14" s="72">
        <f t="shared" si="1"/>
        <v>980</v>
      </c>
      <c r="Q14" s="291"/>
      <c r="R14" s="291"/>
      <c r="S14" s="291"/>
      <c r="T14" s="497"/>
      <c r="U14" s="497"/>
      <c r="V14" s="497"/>
      <c r="W14" s="291"/>
      <c r="X14" s="291">
        <v>687</v>
      </c>
      <c r="Y14" s="291">
        <v>293</v>
      </c>
      <c r="Z14" s="291"/>
      <c r="AA14" s="291"/>
      <c r="AB14" s="291"/>
      <c r="AC14" s="291">
        <f t="shared" si="2"/>
        <v>980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7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>
        <v>2.4</v>
      </c>
      <c r="I16" s="5"/>
      <c r="J16" s="5"/>
      <c r="K16" s="5"/>
      <c r="L16" s="5"/>
      <c r="M16" s="5"/>
      <c r="N16" s="70">
        <f t="shared" si="0"/>
        <v>2.4</v>
      </c>
      <c r="O16" s="72">
        <f t="shared" si="1"/>
        <v>11</v>
      </c>
      <c r="Q16" s="292"/>
      <c r="R16" s="292"/>
      <c r="S16" s="292"/>
      <c r="T16" s="292"/>
      <c r="U16" s="292"/>
      <c r="V16" s="292"/>
      <c r="W16" s="292">
        <v>11</v>
      </c>
      <c r="X16" s="292"/>
      <c r="Y16" s="292"/>
      <c r="Z16" s="292"/>
      <c r="AA16" s="292"/>
      <c r="AB16" s="292"/>
      <c r="AC16" s="297">
        <f t="shared" si="2"/>
        <v>11</v>
      </c>
    </row>
    <row r="17" spans="1:29" ht="15.75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 t="shared" si="0"/>
        <v>0</v>
      </c>
      <c r="O17" s="72">
        <f t="shared" si="1"/>
        <v>0</v>
      </c>
      <c r="P17" s="1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7">
        <f>SUM(N2:N17)</f>
        <v>999.06</v>
      </c>
      <c r="O18" s="300">
        <f>SUM(O2:O17)</f>
        <v>10500</v>
      </c>
    </row>
    <row r="19" spans="1:29" ht="15.75" customHeight="1">
      <c r="A19" s="536" t="s">
        <v>177</v>
      </c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406">
        <v>16149</v>
      </c>
    </row>
    <row r="20" spans="1:29">
      <c r="O20" s="257">
        <v>46062</v>
      </c>
    </row>
    <row r="21" spans="1:29">
      <c r="A21" s="57" t="s">
        <v>46</v>
      </c>
      <c r="B21" s="2" t="s">
        <v>49</v>
      </c>
      <c r="C21" s="2" t="s">
        <v>56</v>
      </c>
      <c r="D21" s="2" t="s">
        <v>15</v>
      </c>
      <c r="E21" s="58" t="s">
        <v>47</v>
      </c>
      <c r="F21" s="2" t="s">
        <v>48</v>
      </c>
      <c r="O21" s="298" t="s">
        <v>302</v>
      </c>
      <c r="R21" s="286"/>
      <c r="S21" s="287"/>
      <c r="T21" s="288" t="s">
        <v>443</v>
      </c>
      <c r="U21" s="287"/>
      <c r="V21" s="287" t="s">
        <v>3</v>
      </c>
      <c r="W21" s="287"/>
      <c r="X21" s="287" t="s">
        <v>444</v>
      </c>
    </row>
    <row r="22" spans="1:29">
      <c r="A22" s="533">
        <v>1998</v>
      </c>
      <c r="B22" s="71" t="s">
        <v>11</v>
      </c>
      <c r="C22" s="71" t="s">
        <v>11</v>
      </c>
      <c r="D22" s="60">
        <v>360.92</v>
      </c>
      <c r="E22" s="60">
        <v>307.81</v>
      </c>
      <c r="F22" s="94">
        <f>D22-E22</f>
        <v>53.110000000000014</v>
      </c>
      <c r="G22" s="174"/>
      <c r="I22" s="540" t="s">
        <v>113</v>
      </c>
      <c r="J22" s="540"/>
      <c r="K22" s="540"/>
      <c r="L22" s="540"/>
      <c r="M22" s="540"/>
      <c r="R22" s="289" t="s">
        <v>445</v>
      </c>
      <c r="S22" s="290">
        <v>5555</v>
      </c>
      <c r="T22" s="291">
        <v>1111</v>
      </c>
      <c r="U22" s="292"/>
      <c r="V22" s="292">
        <f>S22*T22</f>
        <v>6171605</v>
      </c>
      <c r="W22" s="1"/>
      <c r="X22" s="291">
        <f>O19*V22/N18</f>
        <v>99759022.6262687</v>
      </c>
    </row>
    <row r="23" spans="1:29">
      <c r="A23" s="531"/>
      <c r="B23" s="71" t="s">
        <v>12</v>
      </c>
      <c r="C23" s="71" t="s">
        <v>12</v>
      </c>
      <c r="D23" s="60">
        <v>746.45</v>
      </c>
      <c r="E23" s="60">
        <v>618.52</v>
      </c>
      <c r="F23" s="94">
        <f>D23-E23</f>
        <v>127.93000000000006</v>
      </c>
      <c r="G23" s="174"/>
      <c r="I23" s="540" t="s">
        <v>113</v>
      </c>
      <c r="J23" s="540"/>
      <c r="K23" s="540"/>
      <c r="L23" s="540"/>
      <c r="M23" s="540"/>
      <c r="R23" s="289" t="s">
        <v>446</v>
      </c>
      <c r="S23" s="291">
        <v>5555</v>
      </c>
      <c r="T23" s="291">
        <v>555</v>
      </c>
      <c r="U23" s="292"/>
      <c r="V23" s="292">
        <f>S23*T23</f>
        <v>3083025</v>
      </c>
      <c r="W23" s="292"/>
      <c r="X23" s="291">
        <v>77777777</v>
      </c>
    </row>
    <row r="24" spans="1:29">
      <c r="A24" s="531"/>
      <c r="B24" s="71" t="s">
        <v>13</v>
      </c>
      <c r="C24" s="71" t="s">
        <v>13</v>
      </c>
      <c r="D24" s="60">
        <v>150.62</v>
      </c>
      <c r="E24" s="60">
        <v>150.37</v>
      </c>
      <c r="F24" s="94">
        <f>D24-E24</f>
        <v>0.25</v>
      </c>
      <c r="G24" s="174"/>
      <c r="I24" s="198" t="s">
        <v>113</v>
      </c>
      <c r="J24" s="198"/>
      <c r="K24" s="198"/>
      <c r="L24" s="198"/>
      <c r="R24" s="289" t="s">
        <v>447</v>
      </c>
      <c r="S24" s="291">
        <v>5555</v>
      </c>
      <c r="T24" s="291">
        <v>111</v>
      </c>
      <c r="U24" s="292"/>
      <c r="V24" s="292">
        <f>S24*T24</f>
        <v>616605</v>
      </c>
      <c r="W24" s="292"/>
      <c r="X24" s="291">
        <v>88888888</v>
      </c>
    </row>
    <row r="25" spans="1:29" ht="15.75" thickBot="1">
      <c r="A25" s="532"/>
      <c r="B25" s="156" t="s">
        <v>14</v>
      </c>
      <c r="C25" s="156" t="s">
        <v>14</v>
      </c>
      <c r="D25" s="148">
        <v>441.18</v>
      </c>
      <c r="E25" s="148">
        <v>437.31</v>
      </c>
      <c r="F25" s="170">
        <f t="shared" ref="F25:F85" si="3">D25-E25</f>
        <v>3.8700000000000045</v>
      </c>
      <c r="G25" s="171"/>
      <c r="I25" s="198" t="s">
        <v>113</v>
      </c>
      <c r="J25" s="198"/>
      <c r="K25" s="198"/>
      <c r="L25" s="198"/>
      <c r="R25" s="293"/>
      <c r="S25" s="294"/>
      <c r="T25" s="292"/>
      <c r="U25" s="292"/>
      <c r="V25" s="292">
        <f t="shared" ref="V25" si="4">SUM(V22:V24)</f>
        <v>9871235</v>
      </c>
      <c r="W25" s="292"/>
      <c r="X25" s="291">
        <f>SUM(X22:X24)</f>
        <v>266425687.62626868</v>
      </c>
    </row>
    <row r="26" spans="1:29">
      <c r="A26" s="537">
        <v>1999</v>
      </c>
      <c r="B26" s="141" t="s">
        <v>5</v>
      </c>
      <c r="C26" s="154" t="s">
        <v>5</v>
      </c>
      <c r="D26" s="143">
        <v>259.41000000000003</v>
      </c>
      <c r="E26" s="143">
        <v>248.49</v>
      </c>
      <c r="F26" s="144">
        <f t="shared" si="3"/>
        <v>10.920000000000016</v>
      </c>
      <c r="G26" s="4"/>
      <c r="I26" s="198" t="s">
        <v>113</v>
      </c>
      <c r="J26" s="198"/>
      <c r="K26" s="198"/>
      <c r="L26" s="198"/>
    </row>
    <row r="27" spans="1:29">
      <c r="A27" s="534"/>
      <c r="B27" s="80" t="s">
        <v>7</v>
      </c>
      <c r="C27" s="71" t="s">
        <v>7</v>
      </c>
      <c r="D27" s="60">
        <v>148.38999999999999</v>
      </c>
      <c r="E27" s="60">
        <v>137.84</v>
      </c>
      <c r="F27" s="94">
        <f t="shared" si="3"/>
        <v>10.549999999999983</v>
      </c>
      <c r="G27" s="4"/>
      <c r="I27" s="198" t="s">
        <v>113</v>
      </c>
      <c r="J27" s="198"/>
      <c r="K27" s="198"/>
      <c r="L27" s="198"/>
    </row>
    <row r="28" spans="1:29">
      <c r="A28" s="534"/>
      <c r="B28" s="80" t="s">
        <v>2</v>
      </c>
      <c r="C28" s="71" t="s">
        <v>2</v>
      </c>
      <c r="D28" s="60">
        <v>123.07</v>
      </c>
      <c r="E28" s="60">
        <v>116.2</v>
      </c>
      <c r="F28" s="94">
        <f t="shared" ref="F28:F29" si="5">D28-E28</f>
        <v>6.8699999999999903</v>
      </c>
      <c r="G28" s="4"/>
      <c r="I28" s="198" t="s">
        <v>113</v>
      </c>
      <c r="J28" s="198"/>
      <c r="K28" s="198"/>
      <c r="L28" s="198"/>
    </row>
    <row r="29" spans="1:29">
      <c r="A29" s="534"/>
      <c r="B29" s="80" t="s">
        <v>10</v>
      </c>
      <c r="C29" s="71" t="s">
        <v>10</v>
      </c>
      <c r="D29" s="60">
        <v>562.19000000000005</v>
      </c>
      <c r="E29" s="60">
        <v>562.04</v>
      </c>
      <c r="F29" s="94">
        <f t="shared" si="5"/>
        <v>0.15000000000009095</v>
      </c>
      <c r="G29" s="4"/>
      <c r="I29" s="198" t="s">
        <v>113</v>
      </c>
      <c r="J29" s="198"/>
      <c r="K29" s="198"/>
      <c r="L29" s="198"/>
    </row>
    <row r="30" spans="1:29" ht="15.75" thickBot="1">
      <c r="A30" s="535"/>
      <c r="B30" s="145" t="s">
        <v>12</v>
      </c>
      <c r="C30" s="156" t="s">
        <v>12</v>
      </c>
      <c r="D30" s="148">
        <v>248.91</v>
      </c>
      <c r="E30" s="148">
        <v>242.32</v>
      </c>
      <c r="F30" s="170">
        <f t="shared" si="3"/>
        <v>6.5900000000000034</v>
      </c>
      <c r="G30" s="171"/>
      <c r="I30" s="198" t="s">
        <v>113</v>
      </c>
      <c r="J30" s="198"/>
      <c r="K30" s="198"/>
      <c r="L30" s="198"/>
    </row>
    <row r="31" spans="1:29">
      <c r="A31" s="538">
        <v>2000</v>
      </c>
      <c r="B31" s="141" t="s">
        <v>4</v>
      </c>
      <c r="C31" s="154" t="s">
        <v>4</v>
      </c>
      <c r="D31" s="143">
        <v>59.58</v>
      </c>
      <c r="E31" s="143">
        <v>58.89</v>
      </c>
      <c r="F31" s="144">
        <f t="shared" si="3"/>
        <v>0.68999999999999773</v>
      </c>
      <c r="G31" s="4"/>
      <c r="I31" s="198" t="s">
        <v>113</v>
      </c>
      <c r="J31" s="198"/>
      <c r="K31" s="198"/>
      <c r="L31" s="198"/>
    </row>
    <row r="32" spans="1:29">
      <c r="A32" s="531"/>
      <c r="B32" s="80" t="s">
        <v>5</v>
      </c>
      <c r="C32" s="71" t="s">
        <v>5</v>
      </c>
      <c r="D32" s="60">
        <v>156.26</v>
      </c>
      <c r="E32" s="60">
        <v>151.30000000000001</v>
      </c>
      <c r="F32" s="94">
        <f t="shared" si="3"/>
        <v>4.9599999999999795</v>
      </c>
      <c r="G32" s="4"/>
      <c r="I32" s="198" t="s">
        <v>113</v>
      </c>
      <c r="J32" s="198"/>
      <c r="K32" s="198"/>
      <c r="L32" s="198"/>
    </row>
    <row r="33" spans="1:13">
      <c r="A33" s="531"/>
      <c r="B33" s="80" t="s">
        <v>6</v>
      </c>
      <c r="C33" s="71" t="s">
        <v>6</v>
      </c>
      <c r="D33" s="60">
        <v>197.44</v>
      </c>
      <c r="E33" s="5">
        <v>148.21</v>
      </c>
      <c r="F33" s="94">
        <f t="shared" si="3"/>
        <v>49.22999999999999</v>
      </c>
      <c r="G33" s="4"/>
      <c r="I33" s="198" t="s">
        <v>113</v>
      </c>
      <c r="J33" s="198"/>
      <c r="K33" s="198"/>
      <c r="L33" s="198"/>
    </row>
    <row r="34" spans="1:13">
      <c r="A34" s="531"/>
      <c r="B34" s="80" t="s">
        <v>7</v>
      </c>
      <c r="C34" s="71" t="s">
        <v>7</v>
      </c>
      <c r="D34" s="60">
        <v>137.11000000000001</v>
      </c>
      <c r="E34" s="60">
        <v>134.97</v>
      </c>
      <c r="F34" s="94">
        <f t="shared" si="3"/>
        <v>2.1400000000000148</v>
      </c>
      <c r="G34" s="4"/>
      <c r="I34" s="198" t="s">
        <v>113</v>
      </c>
      <c r="J34" s="198"/>
      <c r="K34" s="198"/>
      <c r="L34" s="198"/>
    </row>
    <row r="35" spans="1:13" ht="15.75" thickBot="1">
      <c r="A35" s="532"/>
      <c r="B35" s="145" t="s">
        <v>12</v>
      </c>
      <c r="C35" s="156" t="s">
        <v>12</v>
      </c>
      <c r="D35" s="148">
        <v>471</v>
      </c>
      <c r="E35" s="148">
        <v>468.09</v>
      </c>
      <c r="F35" s="492"/>
      <c r="G35" s="171"/>
      <c r="I35" s="459"/>
      <c r="J35" s="459"/>
      <c r="K35" s="459"/>
      <c r="L35" s="459"/>
    </row>
    <row r="36" spans="1:13">
      <c r="A36" s="537">
        <v>2001</v>
      </c>
      <c r="B36" s="182" t="s">
        <v>5</v>
      </c>
      <c r="C36" s="217" t="s">
        <v>5</v>
      </c>
      <c r="D36" s="165">
        <v>517.62</v>
      </c>
      <c r="E36" s="165">
        <v>512.70000000000005</v>
      </c>
      <c r="F36" s="496"/>
      <c r="G36" s="172"/>
      <c r="I36" s="459"/>
      <c r="J36" s="459"/>
      <c r="K36" s="459"/>
      <c r="L36" s="459"/>
    </row>
    <row r="37" spans="1:13">
      <c r="A37" s="534"/>
      <c r="B37" s="80" t="s">
        <v>6</v>
      </c>
      <c r="C37" s="71" t="s">
        <v>6</v>
      </c>
      <c r="D37" s="60">
        <v>530.99</v>
      </c>
      <c r="E37" s="60">
        <v>528.07000000000005</v>
      </c>
      <c r="F37" s="491"/>
      <c r="G37" s="174"/>
      <c r="I37" s="459"/>
      <c r="J37" s="459"/>
      <c r="K37" s="459"/>
      <c r="L37" s="459"/>
    </row>
    <row r="38" spans="1:13">
      <c r="A38" s="534"/>
      <c r="B38" s="80" t="s">
        <v>7</v>
      </c>
      <c r="C38" s="71" t="s">
        <v>7</v>
      </c>
      <c r="D38" s="60">
        <v>329.3</v>
      </c>
      <c r="E38" s="60">
        <v>325.93</v>
      </c>
      <c r="F38" s="491"/>
      <c r="G38" s="174"/>
      <c r="I38" s="459"/>
      <c r="J38" s="459"/>
      <c r="K38" s="459"/>
      <c r="L38" s="459"/>
    </row>
    <row r="39" spans="1:13">
      <c r="A39" s="534"/>
      <c r="B39" s="80" t="s">
        <v>8</v>
      </c>
      <c r="C39" s="71" t="s">
        <v>8</v>
      </c>
      <c r="D39" s="60">
        <v>385.56</v>
      </c>
      <c r="E39" s="60">
        <v>370.19</v>
      </c>
      <c r="F39" s="491"/>
      <c r="G39" s="174"/>
      <c r="I39" s="459"/>
      <c r="J39" s="459"/>
      <c r="K39" s="459"/>
      <c r="L39" s="459"/>
    </row>
    <row r="40" spans="1:13">
      <c r="A40" s="534"/>
      <c r="B40" s="80" t="s">
        <v>10</v>
      </c>
      <c r="C40" s="71" t="s">
        <v>10</v>
      </c>
      <c r="D40" s="60">
        <v>564.78</v>
      </c>
      <c r="E40" s="60">
        <v>563.94000000000005</v>
      </c>
      <c r="F40" s="491"/>
      <c r="G40" s="174"/>
      <c r="I40" s="459"/>
      <c r="J40" s="459"/>
      <c r="K40" s="459"/>
      <c r="L40" s="459"/>
    </row>
    <row r="41" spans="1:13">
      <c r="A41" s="534"/>
      <c r="B41" s="80" t="s">
        <v>11</v>
      </c>
      <c r="C41" s="71" t="s">
        <v>11</v>
      </c>
      <c r="D41" s="60">
        <v>182.21</v>
      </c>
      <c r="E41" s="60">
        <v>180.65</v>
      </c>
      <c r="F41" s="491"/>
      <c r="G41" s="174"/>
      <c r="I41" s="459"/>
      <c r="J41" s="459"/>
      <c r="K41" s="459"/>
      <c r="L41" s="459"/>
    </row>
    <row r="42" spans="1:13" ht="15.75" thickBot="1">
      <c r="A42" s="535"/>
      <c r="B42" s="145" t="s">
        <v>13</v>
      </c>
      <c r="C42" s="156" t="s">
        <v>13</v>
      </c>
      <c r="D42" s="148">
        <v>447.79</v>
      </c>
      <c r="E42" s="148">
        <v>441.18</v>
      </c>
      <c r="F42" s="492"/>
      <c r="G42" s="171"/>
      <c r="I42" s="459"/>
      <c r="J42" s="459"/>
      <c r="K42" s="459"/>
      <c r="L42" s="459"/>
    </row>
    <row r="43" spans="1:13">
      <c r="A43" s="538">
        <v>2002</v>
      </c>
      <c r="B43" s="141" t="s">
        <v>6</v>
      </c>
      <c r="C43" s="154" t="s">
        <v>6</v>
      </c>
      <c r="D43" s="143">
        <v>242.04</v>
      </c>
      <c r="E43" s="143">
        <v>241.79</v>
      </c>
      <c r="F43" s="493"/>
      <c r="G43" s="4"/>
      <c r="H43" s="45"/>
      <c r="I43" s="459"/>
      <c r="J43" s="459"/>
      <c r="K43" s="459"/>
      <c r="L43" s="459"/>
    </row>
    <row r="44" spans="1:13">
      <c r="A44" s="531"/>
      <c r="B44" s="141" t="s">
        <v>7</v>
      </c>
      <c r="C44" s="154" t="s">
        <v>7</v>
      </c>
      <c r="D44" s="143">
        <v>778.79</v>
      </c>
      <c r="E44" s="143">
        <v>778.29</v>
      </c>
      <c r="F44" s="144">
        <f t="shared" si="3"/>
        <v>0.5</v>
      </c>
      <c r="G44" s="4"/>
      <c r="H44" s="45"/>
      <c r="I44" s="540" t="s">
        <v>113</v>
      </c>
      <c r="J44" s="540"/>
      <c r="K44" s="540"/>
      <c r="L44" s="540"/>
      <c r="M44" s="540"/>
    </row>
    <row r="45" spans="1:13">
      <c r="A45" s="531"/>
      <c r="B45" s="141" t="s">
        <v>2</v>
      </c>
      <c r="C45" s="154" t="s">
        <v>2</v>
      </c>
      <c r="D45" s="143">
        <v>190.06</v>
      </c>
      <c r="E45" s="143">
        <v>188.04</v>
      </c>
      <c r="F45" s="144">
        <f t="shared" si="3"/>
        <v>2.0200000000000102</v>
      </c>
      <c r="G45" s="4"/>
      <c r="H45" s="45"/>
      <c r="I45" s="198" t="s">
        <v>113</v>
      </c>
      <c r="J45" s="198"/>
      <c r="K45" s="198"/>
      <c r="L45" s="198"/>
    </row>
    <row r="46" spans="1:13">
      <c r="A46" s="531"/>
      <c r="B46" s="141" t="s">
        <v>9</v>
      </c>
      <c r="C46" s="154" t="s">
        <v>9</v>
      </c>
      <c r="D46" s="143">
        <v>466.23</v>
      </c>
      <c r="E46" s="143">
        <v>463.44</v>
      </c>
      <c r="F46" s="493"/>
      <c r="G46" s="4"/>
      <c r="H46" s="45"/>
      <c r="I46" s="460"/>
      <c r="J46" s="459"/>
      <c r="K46" s="459"/>
      <c r="L46" s="459"/>
    </row>
    <row r="47" spans="1:13">
      <c r="A47" s="531"/>
      <c r="B47" s="141" t="s">
        <v>13</v>
      </c>
      <c r="C47" s="154" t="s">
        <v>13</v>
      </c>
      <c r="D47" s="143">
        <v>409.58</v>
      </c>
      <c r="E47" s="143">
        <v>408.69</v>
      </c>
      <c r="F47" s="493"/>
      <c r="G47" s="4"/>
      <c r="H47" s="45"/>
      <c r="I47" s="137"/>
    </row>
    <row r="48" spans="1:13" ht="15.75" thickBot="1">
      <c r="A48" s="532"/>
      <c r="B48" s="219" t="s">
        <v>14</v>
      </c>
      <c r="C48" s="261" t="s">
        <v>14</v>
      </c>
      <c r="D48" s="221">
        <v>460.27</v>
      </c>
      <c r="E48" s="221">
        <v>456.14</v>
      </c>
      <c r="F48" s="495"/>
      <c r="G48" s="171"/>
      <c r="H48" s="45"/>
      <c r="I48" s="137"/>
    </row>
    <row r="49" spans="1:12" ht="15.75" thickBot="1">
      <c r="A49" s="320">
        <v>2003</v>
      </c>
      <c r="B49" s="403" t="s">
        <v>13</v>
      </c>
      <c r="C49" s="322" t="s">
        <v>13</v>
      </c>
      <c r="D49" s="323">
        <v>710.2</v>
      </c>
      <c r="E49" s="323">
        <v>707.35</v>
      </c>
      <c r="F49" s="494"/>
      <c r="G49" s="404"/>
    </row>
    <row r="50" spans="1:12">
      <c r="A50" s="319">
        <v>2004</v>
      </c>
      <c r="B50" s="141"/>
      <c r="C50" s="154"/>
      <c r="D50" s="143"/>
      <c r="E50" s="143"/>
      <c r="F50" s="144">
        <f t="shared" si="3"/>
        <v>0</v>
      </c>
      <c r="G50" s="4"/>
    </row>
    <row r="51" spans="1:12">
      <c r="A51" s="129">
        <v>2005</v>
      </c>
      <c r="B51" s="80"/>
      <c r="C51" s="71"/>
      <c r="D51" s="60"/>
      <c r="E51" s="60"/>
      <c r="F51" s="94">
        <f t="shared" si="3"/>
        <v>0</v>
      </c>
      <c r="G51" s="4"/>
    </row>
    <row r="52" spans="1:12">
      <c r="A52" s="120">
        <v>2006</v>
      </c>
      <c r="B52" s="80"/>
      <c r="C52" s="71"/>
      <c r="D52" s="60"/>
      <c r="E52" s="60"/>
      <c r="F52" s="94"/>
      <c r="G52" s="4"/>
    </row>
    <row r="53" spans="1:12">
      <c r="A53" s="539">
        <v>2007</v>
      </c>
      <c r="B53" s="133" t="s">
        <v>4</v>
      </c>
      <c r="C53" s="132" t="s">
        <v>158</v>
      </c>
      <c r="D53" s="5">
        <v>868.99</v>
      </c>
      <c r="E53" s="5">
        <v>827.76</v>
      </c>
      <c r="F53" s="491"/>
      <c r="G53" s="174"/>
    </row>
    <row r="54" spans="1:12">
      <c r="A54" s="534"/>
      <c r="B54" s="133" t="s">
        <v>5</v>
      </c>
      <c r="C54" s="132" t="s">
        <v>5</v>
      </c>
      <c r="D54" s="5">
        <v>508.77</v>
      </c>
      <c r="E54" s="5">
        <v>502.52</v>
      </c>
      <c r="F54" s="491"/>
      <c r="G54" s="174"/>
    </row>
    <row r="55" spans="1:12">
      <c r="A55" s="534"/>
      <c r="B55" s="133" t="s">
        <v>7</v>
      </c>
      <c r="C55" s="132" t="s">
        <v>7</v>
      </c>
      <c r="D55" s="5">
        <v>2372.98</v>
      </c>
      <c r="E55" s="5">
        <v>2347.94</v>
      </c>
      <c r="F55" s="491"/>
      <c r="G55" s="174"/>
    </row>
    <row r="56" spans="1:12">
      <c r="A56" s="534"/>
      <c r="B56" s="133" t="s">
        <v>2</v>
      </c>
      <c r="C56" s="132" t="s">
        <v>2</v>
      </c>
      <c r="D56" s="5">
        <v>329.13</v>
      </c>
      <c r="E56" s="5">
        <v>308.69</v>
      </c>
      <c r="F56" s="491"/>
      <c r="G56" s="174"/>
    </row>
    <row r="57" spans="1:12">
      <c r="A57" s="534"/>
      <c r="B57" s="133" t="s">
        <v>9</v>
      </c>
      <c r="C57" s="132" t="s">
        <v>9</v>
      </c>
      <c r="D57" s="5">
        <v>1355.67</v>
      </c>
      <c r="E57" s="5">
        <v>1326.23</v>
      </c>
      <c r="F57" s="491"/>
      <c r="G57" s="174"/>
    </row>
    <row r="58" spans="1:12">
      <c r="A58" s="534"/>
      <c r="B58" s="133" t="s">
        <v>10</v>
      </c>
      <c r="C58" s="132" t="s">
        <v>10</v>
      </c>
      <c r="D58" s="5">
        <v>1243.43</v>
      </c>
      <c r="E58" s="5">
        <v>1240.6400000000001</v>
      </c>
      <c r="F58" s="491"/>
      <c r="G58" s="174"/>
    </row>
    <row r="59" spans="1:12">
      <c r="A59" s="534"/>
      <c r="B59" s="133" t="s">
        <v>11</v>
      </c>
      <c r="C59" s="132" t="s">
        <v>11</v>
      </c>
      <c r="D59" s="5">
        <v>486.14</v>
      </c>
      <c r="E59" s="5">
        <v>469.47</v>
      </c>
      <c r="F59" s="491"/>
      <c r="G59" s="174"/>
    </row>
    <row r="60" spans="1:12" ht="15.75" thickBot="1">
      <c r="A60" s="535"/>
      <c r="B60" s="223" t="s">
        <v>12</v>
      </c>
      <c r="C60" s="215" t="s">
        <v>12</v>
      </c>
      <c r="D60" s="193">
        <v>800.4</v>
      </c>
      <c r="E60" s="193">
        <v>794.45</v>
      </c>
      <c r="F60" s="492"/>
      <c r="G60" s="171"/>
    </row>
    <row r="61" spans="1:12">
      <c r="A61" s="531">
        <v>2008</v>
      </c>
      <c r="B61" s="141" t="s">
        <v>7</v>
      </c>
      <c r="C61" s="154" t="s">
        <v>7</v>
      </c>
      <c r="D61" s="143">
        <v>467.39</v>
      </c>
      <c r="E61" s="143">
        <v>452.16</v>
      </c>
      <c r="F61" s="144">
        <f t="shared" si="3"/>
        <v>15.229999999999961</v>
      </c>
      <c r="G61" s="174"/>
      <c r="I61" s="198" t="s">
        <v>113</v>
      </c>
      <c r="J61" s="198"/>
      <c r="K61" s="198"/>
      <c r="L61" s="198"/>
    </row>
    <row r="62" spans="1:12">
      <c r="A62" s="531"/>
      <c r="B62" s="80" t="s">
        <v>8</v>
      </c>
      <c r="C62" s="71" t="s">
        <v>8</v>
      </c>
      <c r="D62" s="60">
        <v>572.41999999999996</v>
      </c>
      <c r="E62" s="60">
        <v>516.08000000000004</v>
      </c>
      <c r="F62" s="94">
        <f t="shared" si="3"/>
        <v>56.339999999999918</v>
      </c>
      <c r="G62" s="174"/>
      <c r="I62" s="198" t="s">
        <v>113</v>
      </c>
      <c r="J62" s="198"/>
      <c r="K62" s="198"/>
      <c r="L62" s="198"/>
    </row>
    <row r="63" spans="1:12">
      <c r="A63" s="531"/>
      <c r="B63" s="80" t="s">
        <v>10</v>
      </c>
      <c r="C63" s="71" t="s">
        <v>10</v>
      </c>
      <c r="D63" s="60">
        <v>1235.8800000000001</v>
      </c>
      <c r="E63" s="5">
        <v>1229.19</v>
      </c>
      <c r="F63" s="94">
        <f t="shared" si="3"/>
        <v>6.6900000000000546</v>
      </c>
      <c r="G63" s="174"/>
      <c r="I63" s="198" t="s">
        <v>113</v>
      </c>
      <c r="J63" s="198"/>
      <c r="K63" s="198"/>
      <c r="L63" s="198"/>
    </row>
    <row r="64" spans="1:12">
      <c r="A64" s="531"/>
      <c r="B64" s="80" t="s">
        <v>12</v>
      </c>
      <c r="C64" s="71" t="s">
        <v>12</v>
      </c>
      <c r="D64" s="60">
        <v>637.38</v>
      </c>
      <c r="E64" s="60">
        <v>623.92999999999995</v>
      </c>
      <c r="F64" s="94">
        <f t="shared" si="3"/>
        <v>13.450000000000045</v>
      </c>
      <c r="G64" s="174"/>
      <c r="I64" s="198" t="s">
        <v>113</v>
      </c>
      <c r="J64" s="198"/>
      <c r="K64" s="198"/>
      <c r="L64" s="198"/>
    </row>
    <row r="65" spans="1:12" ht="15.75" thickBot="1">
      <c r="A65" s="532"/>
      <c r="B65" s="145" t="s">
        <v>14</v>
      </c>
      <c r="C65" s="156" t="s">
        <v>14</v>
      </c>
      <c r="D65" s="148">
        <v>719.83</v>
      </c>
      <c r="E65" s="148">
        <v>714.38</v>
      </c>
      <c r="F65" s="170">
        <f t="shared" si="3"/>
        <v>5.4500000000000455</v>
      </c>
      <c r="G65" s="171"/>
      <c r="I65" s="198" t="s">
        <v>113</v>
      </c>
      <c r="J65" s="198"/>
      <c r="K65" s="198"/>
      <c r="L65" s="198"/>
    </row>
    <row r="66" spans="1:12">
      <c r="A66" s="534">
        <v>2009</v>
      </c>
      <c r="B66" s="230" t="s">
        <v>4</v>
      </c>
      <c r="C66" s="72" t="s">
        <v>4</v>
      </c>
      <c r="D66" s="70">
        <v>391.38</v>
      </c>
      <c r="E66" s="70">
        <v>390.35</v>
      </c>
      <c r="F66" s="144">
        <f t="shared" ref="F66:F72" si="6">D66-E66</f>
        <v>1.0299999999999727</v>
      </c>
      <c r="G66" s="174"/>
      <c r="H66" s="1"/>
      <c r="I66" s="198" t="s">
        <v>113</v>
      </c>
      <c r="J66" s="198"/>
      <c r="K66" s="198"/>
      <c r="L66" s="198"/>
    </row>
    <row r="67" spans="1:12">
      <c r="A67" s="534"/>
      <c r="B67" s="133" t="s">
        <v>5</v>
      </c>
      <c r="C67" s="132" t="s">
        <v>5</v>
      </c>
      <c r="D67" s="5">
        <v>367.03</v>
      </c>
      <c r="E67" s="5">
        <v>181.72</v>
      </c>
      <c r="F67" s="94">
        <f t="shared" si="6"/>
        <v>185.30999999999997</v>
      </c>
      <c r="G67" s="174"/>
      <c r="H67" s="1"/>
      <c r="I67" s="198" t="s">
        <v>113</v>
      </c>
      <c r="J67" s="198"/>
      <c r="K67" s="198"/>
      <c r="L67" s="198"/>
    </row>
    <row r="68" spans="1:12">
      <c r="A68" s="534"/>
      <c r="B68" s="133" t="s">
        <v>6</v>
      </c>
      <c r="C68" s="132" t="s">
        <v>6</v>
      </c>
      <c r="D68" s="5">
        <v>498.41</v>
      </c>
      <c r="E68" s="5">
        <v>479.01</v>
      </c>
      <c r="F68" s="94">
        <f t="shared" si="6"/>
        <v>19.400000000000034</v>
      </c>
      <c r="G68" s="174"/>
      <c r="H68" s="1"/>
      <c r="I68" s="198" t="s">
        <v>113</v>
      </c>
      <c r="J68" s="198"/>
      <c r="K68" s="198"/>
      <c r="L68" s="198"/>
    </row>
    <row r="69" spans="1:12">
      <c r="A69" s="534"/>
      <c r="B69" s="133" t="s">
        <v>7</v>
      </c>
      <c r="C69" s="132" t="s">
        <v>7</v>
      </c>
      <c r="D69" s="5">
        <v>400.48</v>
      </c>
      <c r="E69" s="5">
        <v>397.48</v>
      </c>
      <c r="F69" s="94">
        <f t="shared" si="6"/>
        <v>3</v>
      </c>
      <c r="G69" s="174"/>
      <c r="H69" s="1"/>
      <c r="I69" s="198" t="s">
        <v>113</v>
      </c>
      <c r="J69" s="198"/>
      <c r="K69" s="198"/>
      <c r="L69" s="198"/>
    </row>
    <row r="70" spans="1:12">
      <c r="A70" s="534"/>
      <c r="B70" s="133" t="s">
        <v>2</v>
      </c>
      <c r="C70" s="132" t="s">
        <v>2</v>
      </c>
      <c r="D70" s="5">
        <v>406.31</v>
      </c>
      <c r="E70" s="5">
        <v>403.55</v>
      </c>
      <c r="F70" s="94">
        <f t="shared" si="6"/>
        <v>2.7599999999999909</v>
      </c>
      <c r="G70" s="174"/>
      <c r="H70" s="1"/>
      <c r="I70" s="198" t="s">
        <v>113</v>
      </c>
      <c r="J70" s="198"/>
      <c r="K70" s="198"/>
      <c r="L70" s="198"/>
    </row>
    <row r="71" spans="1:12">
      <c r="A71" s="534"/>
      <c r="B71" s="133" t="s">
        <v>8</v>
      </c>
      <c r="C71" s="132" t="s">
        <v>8</v>
      </c>
      <c r="D71" s="5">
        <v>156.08000000000001</v>
      </c>
      <c r="E71" s="5">
        <v>153.76</v>
      </c>
      <c r="F71" s="94">
        <f t="shared" si="6"/>
        <v>2.3200000000000216</v>
      </c>
      <c r="G71" s="174"/>
      <c r="H71" s="1"/>
      <c r="I71" s="198" t="s">
        <v>113</v>
      </c>
      <c r="J71" s="198"/>
      <c r="K71" s="198"/>
      <c r="L71" s="198"/>
    </row>
    <row r="72" spans="1:12">
      <c r="A72" s="534"/>
      <c r="B72" s="133" t="s">
        <v>9</v>
      </c>
      <c r="C72" s="132" t="s">
        <v>9</v>
      </c>
      <c r="D72" s="5">
        <v>616.11</v>
      </c>
      <c r="E72" s="5">
        <v>614.92999999999995</v>
      </c>
      <c r="F72" s="94">
        <f t="shared" si="6"/>
        <v>1.1800000000000637</v>
      </c>
      <c r="G72" s="174"/>
      <c r="H72" s="1"/>
      <c r="I72" s="198" t="s">
        <v>113</v>
      </c>
      <c r="J72" s="198"/>
      <c r="K72" s="198"/>
      <c r="L72" s="198"/>
    </row>
    <row r="73" spans="1:12">
      <c r="A73" s="534"/>
      <c r="B73" s="133" t="s">
        <v>10</v>
      </c>
      <c r="C73" s="132" t="s">
        <v>10</v>
      </c>
      <c r="D73" s="5">
        <v>662.64</v>
      </c>
      <c r="E73" s="5">
        <v>630.88</v>
      </c>
      <c r="F73" s="491"/>
      <c r="G73" s="174"/>
      <c r="H73" s="1"/>
      <c r="I73" s="137"/>
    </row>
    <row r="74" spans="1:12">
      <c r="A74" s="534"/>
      <c r="B74" s="133" t="s">
        <v>11</v>
      </c>
      <c r="C74" s="132" t="s">
        <v>11</v>
      </c>
      <c r="D74" s="5">
        <v>1040.44</v>
      </c>
      <c r="E74" s="5">
        <v>933.69</v>
      </c>
      <c r="F74" s="94">
        <f t="shared" ref="F74:F76" si="7">D74-E74</f>
        <v>106.75</v>
      </c>
      <c r="G74" s="174"/>
      <c r="H74" s="1"/>
      <c r="I74" s="198" t="s">
        <v>113</v>
      </c>
      <c r="J74" s="198"/>
      <c r="K74" s="198"/>
      <c r="L74" s="198"/>
    </row>
    <row r="75" spans="1:12">
      <c r="A75" s="534"/>
      <c r="B75" s="133" t="s">
        <v>12</v>
      </c>
      <c r="C75" s="132" t="s">
        <v>12</v>
      </c>
      <c r="D75" s="5">
        <v>636.15</v>
      </c>
      <c r="E75" s="5">
        <v>591.32000000000005</v>
      </c>
      <c r="F75" s="94">
        <f t="shared" si="7"/>
        <v>44.829999999999927</v>
      </c>
      <c r="G75" s="174"/>
      <c r="H75" s="1"/>
      <c r="I75" s="198" t="s">
        <v>113</v>
      </c>
      <c r="J75" s="198"/>
      <c r="K75" s="198"/>
      <c r="L75" s="198"/>
    </row>
    <row r="76" spans="1:12">
      <c r="A76" s="534"/>
      <c r="B76" s="133" t="s">
        <v>13</v>
      </c>
      <c r="C76" s="132" t="s">
        <v>13</v>
      </c>
      <c r="D76" s="5">
        <v>897.15</v>
      </c>
      <c r="E76" s="5">
        <v>859.33</v>
      </c>
      <c r="F76" s="94">
        <f t="shared" si="7"/>
        <v>37.819999999999936</v>
      </c>
      <c r="G76" s="174"/>
      <c r="H76" s="1"/>
      <c r="I76" s="198" t="s">
        <v>113</v>
      </c>
      <c r="J76" s="198"/>
      <c r="K76" s="198"/>
      <c r="L76" s="198"/>
    </row>
    <row r="77" spans="1:12" ht="15.75" thickBot="1">
      <c r="A77" s="535"/>
      <c r="B77" s="223" t="s">
        <v>14</v>
      </c>
      <c r="C77" s="215" t="s">
        <v>14</v>
      </c>
      <c r="D77" s="193">
        <v>702.58</v>
      </c>
      <c r="E77" s="193">
        <v>659.17</v>
      </c>
      <c r="F77" s="170">
        <v>37.82</v>
      </c>
      <c r="G77" s="171"/>
      <c r="H77" s="1"/>
      <c r="I77" s="198" t="s">
        <v>113</v>
      </c>
      <c r="J77" s="198"/>
      <c r="K77" s="198"/>
      <c r="L77" s="198"/>
    </row>
    <row r="78" spans="1:12">
      <c r="A78" s="531">
        <v>2010</v>
      </c>
      <c r="B78" s="230" t="s">
        <v>4</v>
      </c>
      <c r="C78" s="72" t="s">
        <v>4</v>
      </c>
      <c r="D78" s="70">
        <v>494.05</v>
      </c>
      <c r="E78" s="70">
        <v>491.2</v>
      </c>
      <c r="F78" s="493"/>
      <c r="G78" s="174"/>
      <c r="I78" s="211"/>
    </row>
    <row r="79" spans="1:12">
      <c r="A79" s="531"/>
      <c r="B79" s="133" t="s">
        <v>5</v>
      </c>
      <c r="C79" s="132" t="s">
        <v>5</v>
      </c>
      <c r="D79" s="5">
        <v>520.02</v>
      </c>
      <c r="E79" s="5">
        <v>508.26</v>
      </c>
      <c r="F79" s="491"/>
      <c r="G79" s="174"/>
      <c r="I79" s="211"/>
    </row>
    <row r="80" spans="1:12">
      <c r="A80" s="531"/>
      <c r="B80" s="133" t="s">
        <v>7</v>
      </c>
      <c r="C80" s="132" t="s">
        <v>7</v>
      </c>
      <c r="D80" s="5">
        <v>1203.4100000000001</v>
      </c>
      <c r="E80" s="5">
        <v>1193.75</v>
      </c>
      <c r="F80" s="491"/>
      <c r="G80" s="174"/>
      <c r="I80" s="211"/>
    </row>
    <row r="81" spans="1:12">
      <c r="A81" s="531"/>
      <c r="B81" s="133" t="s">
        <v>2</v>
      </c>
      <c r="C81" s="132" t="s">
        <v>2</v>
      </c>
      <c r="D81" s="5">
        <v>767.95</v>
      </c>
      <c r="E81" s="5">
        <v>742.09</v>
      </c>
      <c r="F81" s="491"/>
      <c r="G81" s="174"/>
      <c r="I81" s="211"/>
    </row>
    <row r="82" spans="1:12">
      <c r="A82" s="531"/>
      <c r="B82" s="133" t="s">
        <v>8</v>
      </c>
      <c r="C82" s="132" t="s">
        <v>8</v>
      </c>
      <c r="D82" s="5">
        <v>1034.7</v>
      </c>
      <c r="E82" s="5">
        <v>1026.72</v>
      </c>
      <c r="F82" s="491"/>
      <c r="G82" s="174"/>
      <c r="I82" s="211"/>
    </row>
    <row r="83" spans="1:12">
      <c r="A83" s="531"/>
      <c r="B83" s="133" t="s">
        <v>10</v>
      </c>
      <c r="C83" s="132" t="s">
        <v>10</v>
      </c>
      <c r="D83" s="5">
        <v>645.54999999999995</v>
      </c>
      <c r="E83" s="5">
        <v>521.42999999999995</v>
      </c>
      <c r="F83" s="94">
        <f t="shared" ref="F83" si="8">D83-E83</f>
        <v>124.12</v>
      </c>
      <c r="G83" s="174"/>
      <c r="I83" s="198" t="s">
        <v>113</v>
      </c>
      <c r="J83" s="198"/>
      <c r="K83" s="198"/>
      <c r="L83" s="198"/>
    </row>
    <row r="84" spans="1:12" ht="15.75" thickBot="1">
      <c r="A84" s="532"/>
      <c r="B84" s="223" t="s">
        <v>11</v>
      </c>
      <c r="C84" s="215" t="s">
        <v>11</v>
      </c>
      <c r="D84" s="193">
        <v>471.35</v>
      </c>
      <c r="E84" s="193">
        <v>417.97</v>
      </c>
      <c r="F84" s="170">
        <f t="shared" ref="F84" si="9">D84-E84</f>
        <v>53.379999999999995</v>
      </c>
      <c r="G84" s="171"/>
      <c r="I84" s="198" t="s">
        <v>113</v>
      </c>
      <c r="J84" s="198"/>
      <c r="K84" s="198"/>
      <c r="L84" s="198"/>
    </row>
    <row r="85" spans="1:12" ht="15.75" thickBot="1">
      <c r="A85" s="199">
        <v>2012</v>
      </c>
      <c r="B85" s="226" t="s">
        <v>9</v>
      </c>
      <c r="C85" s="246" t="s">
        <v>9</v>
      </c>
      <c r="D85" s="229">
        <v>253.22</v>
      </c>
      <c r="E85" s="229">
        <v>250.82</v>
      </c>
      <c r="F85" s="222">
        <f t="shared" si="3"/>
        <v>2.4000000000000057</v>
      </c>
      <c r="G85" s="171"/>
      <c r="I85" s="198" t="s">
        <v>113</v>
      </c>
      <c r="J85" s="198"/>
      <c r="K85" s="198"/>
      <c r="L85" s="198"/>
    </row>
    <row r="86" spans="1:12">
      <c r="A86" s="12"/>
      <c r="B86" s="141"/>
      <c r="C86" s="154"/>
      <c r="D86" s="143"/>
      <c r="E86" s="143"/>
      <c r="F86" s="144"/>
      <c r="G86" s="4"/>
    </row>
    <row r="87" spans="1:12">
      <c r="B87" s="4"/>
      <c r="C87" s="4"/>
      <c r="D87" s="4"/>
      <c r="E87" s="4"/>
      <c r="F87" s="4"/>
      <c r="G87" s="4"/>
    </row>
    <row r="88" spans="1:12">
      <c r="B88" s="4"/>
      <c r="C88" s="4"/>
      <c r="D88" s="4"/>
      <c r="E88" s="4"/>
      <c r="F88" s="4"/>
      <c r="G88" s="4"/>
    </row>
    <row r="89" spans="1:12">
      <c r="B89" s="4"/>
      <c r="C89" s="4"/>
      <c r="D89" s="4"/>
      <c r="E89" s="4"/>
      <c r="F89" s="4"/>
      <c r="G89" s="4"/>
    </row>
    <row r="90" spans="1:12">
      <c r="B90" s="4"/>
      <c r="C90" s="4"/>
      <c r="D90" s="4"/>
      <c r="E90" s="4"/>
      <c r="F90" s="4"/>
      <c r="G90" s="4"/>
    </row>
    <row r="91" spans="1:12">
      <c r="B91" s="4"/>
      <c r="C91" s="4"/>
      <c r="D91" s="4"/>
      <c r="E91" s="4"/>
      <c r="F91" s="4"/>
      <c r="G91" s="4"/>
    </row>
  </sheetData>
  <mergeCells count="13">
    <mergeCell ref="A78:A84"/>
    <mergeCell ref="A22:A25"/>
    <mergeCell ref="A66:A77"/>
    <mergeCell ref="A19:N19"/>
    <mergeCell ref="A36:A42"/>
    <mergeCell ref="A61:A65"/>
    <mergeCell ref="A31:A35"/>
    <mergeCell ref="A26:A30"/>
    <mergeCell ref="A53:A60"/>
    <mergeCell ref="A43:A48"/>
    <mergeCell ref="I22:M22"/>
    <mergeCell ref="I23:M23"/>
    <mergeCell ref="I44:M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5"/>
  <sheetViews>
    <sheetView workbookViewId="0">
      <pane ySplit="1" topLeftCell="A2" activePane="bottomLeft" state="frozen"/>
      <selection pane="bottomLeft" activeCell="O20" sqref="O20"/>
    </sheetView>
  </sheetViews>
  <sheetFormatPr defaultRowHeight="15"/>
  <cols>
    <col min="1" max="1" width="5" style="11" bestFit="1" customWidth="1"/>
    <col min="2" max="2" width="8" style="11" bestFit="1" customWidth="1"/>
    <col min="3" max="3" width="8.44140625" style="11" bestFit="1" customWidth="1"/>
    <col min="4" max="6" width="9" style="11" bestFit="1" customWidth="1"/>
    <col min="7" max="7" width="10.77734375" style="11" customWidth="1"/>
    <col min="8" max="8" width="3.88671875" style="11" bestFit="1" customWidth="1"/>
    <col min="9" max="9" width="7" style="11" bestFit="1" customWidth="1"/>
    <col min="10" max="10" width="3.88671875" style="11" bestFit="1" customWidth="1"/>
    <col min="11" max="11" width="9" style="11" bestFit="1" customWidth="1"/>
    <col min="12" max="12" width="7" style="11" bestFit="1" customWidth="1"/>
    <col min="13" max="14" width="9" style="11" bestFit="1" customWidth="1"/>
    <col min="15" max="15" width="9.6640625" style="11" customWidth="1"/>
    <col min="16" max="16" width="3.21875" style="11" bestFit="1" customWidth="1"/>
    <col min="17" max="17" width="5.33203125" style="11" customWidth="1"/>
    <col min="18" max="18" width="4.88671875" style="11" customWidth="1"/>
    <col min="19" max="19" width="5.6640625" style="11" bestFit="1" customWidth="1"/>
    <col min="20" max="20" width="4.6640625" style="11" bestFit="1" customWidth="1"/>
    <col min="21" max="21" width="4" style="11" bestFit="1" customWidth="1"/>
    <col min="22" max="22" width="8" style="11" bestFit="1" customWidth="1"/>
    <col min="23" max="23" width="4.109375" style="11" customWidth="1"/>
    <col min="24" max="24" width="9.33203125" style="11" bestFit="1" customWidth="1"/>
    <col min="25" max="25" width="3.6640625" style="11" customWidth="1"/>
    <col min="26" max="26" width="4.6640625" style="11" bestFit="1" customWidth="1"/>
    <col min="27" max="27" width="4" style="11" bestFit="1" customWidth="1"/>
    <col min="28" max="28" width="5.6640625" style="11" bestFit="1" customWidth="1"/>
    <col min="29" max="16384" width="8.88671875" style="11"/>
  </cols>
  <sheetData>
    <row r="1" spans="1:29" ht="12.75" customHeight="1">
      <c r="A1" s="22"/>
      <c r="B1" s="27" t="s">
        <v>4</v>
      </c>
      <c r="C1" s="28" t="s">
        <v>5</v>
      </c>
      <c r="D1" s="27" t="s">
        <v>6</v>
      </c>
      <c r="E1" s="29" t="s">
        <v>7</v>
      </c>
      <c r="F1" s="27" t="s">
        <v>2</v>
      </c>
      <c r="G1" s="28" t="s">
        <v>8</v>
      </c>
      <c r="H1" s="27" t="s">
        <v>9</v>
      </c>
      <c r="I1" s="29" t="s">
        <v>10</v>
      </c>
      <c r="J1" s="27" t="s">
        <v>11</v>
      </c>
      <c r="K1" s="28" t="s">
        <v>12</v>
      </c>
      <c r="L1" s="27" t="s">
        <v>13</v>
      </c>
      <c r="M1" s="29" t="s">
        <v>14</v>
      </c>
      <c r="N1" s="304" t="s">
        <v>3</v>
      </c>
      <c r="O1" s="304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12">
        <v>1998</v>
      </c>
      <c r="B2" s="13"/>
      <c r="C2" s="13"/>
      <c r="D2" s="13"/>
      <c r="E2" s="13"/>
      <c r="F2" s="13"/>
      <c r="G2" s="13"/>
      <c r="H2" s="13"/>
      <c r="I2" s="38"/>
      <c r="J2" s="38"/>
      <c r="K2" s="38">
        <v>5.99</v>
      </c>
      <c r="L2" s="38"/>
      <c r="M2" s="38">
        <v>239.38</v>
      </c>
      <c r="N2" s="38">
        <f t="shared" ref="N2:N17" si="0">SUM(B2:M2)</f>
        <v>245.37</v>
      </c>
      <c r="O2" s="295">
        <f>AC2</f>
        <v>5475</v>
      </c>
      <c r="Q2" s="292"/>
      <c r="R2" s="292"/>
      <c r="S2" s="292"/>
      <c r="T2" s="292"/>
      <c r="U2" s="292"/>
      <c r="V2" s="292"/>
      <c r="W2" s="292"/>
      <c r="X2" s="292"/>
      <c r="Y2" s="292"/>
      <c r="Z2" s="292">
        <v>139</v>
      </c>
      <c r="AA2" s="292"/>
      <c r="AB2" s="292">
        <v>5336</v>
      </c>
      <c r="AC2" s="297">
        <f>SUM(Q2:AB2)</f>
        <v>5475</v>
      </c>
    </row>
    <row r="3" spans="1:29">
      <c r="A3" s="14">
        <v>1999</v>
      </c>
      <c r="B3" s="20"/>
      <c r="C3" s="20">
        <v>8.77</v>
      </c>
      <c r="D3" s="20"/>
      <c r="E3" s="20"/>
      <c r="F3" s="20">
        <v>4.3</v>
      </c>
      <c r="G3" s="20"/>
      <c r="H3" s="20"/>
      <c r="I3" s="20">
        <v>0.01</v>
      </c>
      <c r="J3" s="20"/>
      <c r="K3" s="20"/>
      <c r="L3" s="20"/>
      <c r="M3" s="20"/>
      <c r="N3" s="38">
        <f t="shared" si="0"/>
        <v>13.08</v>
      </c>
      <c r="O3" s="295">
        <f t="shared" ref="O3:O16" si="1">AC3</f>
        <v>278</v>
      </c>
      <c r="Q3" s="292"/>
      <c r="R3" s="292">
        <v>189</v>
      </c>
      <c r="S3" s="292"/>
      <c r="T3" s="292"/>
      <c r="U3" s="292">
        <v>88</v>
      </c>
      <c r="V3" s="292"/>
      <c r="W3" s="292"/>
      <c r="X3" s="292">
        <v>1</v>
      </c>
      <c r="Y3" s="292"/>
      <c r="Z3" s="292"/>
      <c r="AA3" s="292"/>
      <c r="AB3" s="292"/>
      <c r="AC3" s="297">
        <f t="shared" ref="AC3:AC17" si="2">SUM(Q3:AB3)</f>
        <v>278</v>
      </c>
    </row>
    <row r="4" spans="1:29">
      <c r="A4" s="14">
        <v>2000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38">
        <f t="shared" si="0"/>
        <v>0</v>
      </c>
      <c r="O4" s="295">
        <f t="shared" si="1"/>
        <v>0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7">
        <f t="shared" si="2"/>
        <v>0</v>
      </c>
    </row>
    <row r="5" spans="1:29">
      <c r="A5" s="14">
        <v>2001</v>
      </c>
      <c r="B5" s="20"/>
      <c r="C5" s="502"/>
      <c r="D5" s="20"/>
      <c r="E5" s="502"/>
      <c r="F5" s="20"/>
      <c r="G5" s="20"/>
      <c r="H5" s="20"/>
      <c r="I5" s="20"/>
      <c r="J5" s="20"/>
      <c r="K5" s="20"/>
      <c r="L5" s="20"/>
      <c r="M5" s="20"/>
      <c r="N5" s="38">
        <f t="shared" si="0"/>
        <v>0</v>
      </c>
      <c r="O5" s="295">
        <f t="shared" si="1"/>
        <v>0</v>
      </c>
      <c r="Q5" s="292"/>
      <c r="R5" s="497"/>
      <c r="S5" s="292"/>
      <c r="T5" s="497"/>
      <c r="U5" s="292"/>
      <c r="V5" s="292"/>
      <c r="W5" s="292"/>
      <c r="X5" s="292"/>
      <c r="Y5" s="292"/>
      <c r="Z5" s="292"/>
      <c r="AA5" s="292"/>
      <c r="AB5" s="292"/>
      <c r="AC5" s="297">
        <f t="shared" si="2"/>
        <v>0</v>
      </c>
    </row>
    <row r="6" spans="1:29">
      <c r="A6" s="14">
        <v>2002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8">
        <f t="shared" si="0"/>
        <v>0</v>
      </c>
      <c r="O6" s="295">
        <f t="shared" si="1"/>
        <v>0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7">
        <f t="shared" si="2"/>
        <v>0</v>
      </c>
    </row>
    <row r="7" spans="1:29">
      <c r="A7" s="14">
        <v>2003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503"/>
      <c r="M7" s="42"/>
      <c r="N7" s="38">
        <f t="shared" si="0"/>
        <v>0</v>
      </c>
      <c r="O7" s="295">
        <f t="shared" si="1"/>
        <v>0</v>
      </c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497"/>
      <c r="AB7" s="292"/>
      <c r="AC7" s="297">
        <f t="shared" si="2"/>
        <v>0</v>
      </c>
    </row>
    <row r="8" spans="1:29">
      <c r="A8" s="14">
        <v>2004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8">
        <f t="shared" si="0"/>
        <v>0</v>
      </c>
      <c r="O8" s="295">
        <f t="shared" si="1"/>
        <v>0</v>
      </c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7">
        <f t="shared" si="2"/>
        <v>0</v>
      </c>
    </row>
    <row r="9" spans="1:29">
      <c r="A9" s="14">
        <v>2005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8">
        <f t="shared" si="0"/>
        <v>0</v>
      </c>
      <c r="O9" s="295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14">
        <v>2006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8">
        <f t="shared" si="0"/>
        <v>0</v>
      </c>
      <c r="O10" s="295">
        <f t="shared" si="1"/>
        <v>0</v>
      </c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7">
        <f t="shared" si="2"/>
        <v>0</v>
      </c>
    </row>
    <row r="11" spans="1:29">
      <c r="A11" s="14">
        <v>2007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8">
        <f t="shared" si="0"/>
        <v>0</v>
      </c>
      <c r="O11" s="295">
        <f t="shared" si="1"/>
        <v>0</v>
      </c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0</v>
      </c>
    </row>
    <row r="12" spans="1:29">
      <c r="A12" s="14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8">
        <f t="shared" si="0"/>
        <v>0</v>
      </c>
      <c r="O12" s="295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14">
        <v>2009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8">
        <f t="shared" si="0"/>
        <v>0</v>
      </c>
      <c r="O13" s="295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14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8">
        <f t="shared" si="0"/>
        <v>0</v>
      </c>
      <c r="O14" s="295">
        <f t="shared" si="1"/>
        <v>0</v>
      </c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>
        <f t="shared" si="2"/>
        <v>0</v>
      </c>
    </row>
    <row r="15" spans="1:29">
      <c r="A15" s="14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8">
        <f t="shared" si="0"/>
        <v>0</v>
      </c>
      <c r="O15" s="295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14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8">
        <f t="shared" si="0"/>
        <v>0</v>
      </c>
      <c r="O16" s="295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 ht="15.75">
      <c r="A17" s="14">
        <v>2013</v>
      </c>
      <c r="B17" s="20"/>
      <c r="C17" s="20"/>
      <c r="D17" s="20"/>
      <c r="E17" s="20"/>
      <c r="F17" s="20"/>
      <c r="G17" s="15"/>
      <c r="H17" s="15"/>
      <c r="I17" s="15"/>
      <c r="J17" s="15"/>
      <c r="K17" s="15"/>
      <c r="L17" s="15"/>
      <c r="M17" s="15"/>
      <c r="N17" s="18">
        <f t="shared" si="0"/>
        <v>0</v>
      </c>
      <c r="O17" s="299"/>
      <c r="P17" s="1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6">
        <f>SUM(N2:N17)</f>
        <v>258.45</v>
      </c>
      <c r="O18" s="296">
        <f>SUM(O2:O17)</f>
        <v>5753</v>
      </c>
    </row>
    <row r="19" spans="1:29">
      <c r="O19" s="405">
        <v>6942</v>
      </c>
    </row>
    <row r="20" spans="1:29" ht="15.75" customHeight="1">
      <c r="A20" s="536" t="s">
        <v>200</v>
      </c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298" t="s">
        <v>302</v>
      </c>
    </row>
    <row r="21" spans="1:29">
      <c r="O21" s="257">
        <v>46062</v>
      </c>
      <c r="R21" s="286"/>
      <c r="S21" s="287"/>
      <c r="T21" s="288" t="s">
        <v>443</v>
      </c>
      <c r="U21" s="287"/>
      <c r="V21" s="287" t="s">
        <v>3</v>
      </c>
      <c r="W21" s="287"/>
      <c r="X21" s="287" t="s">
        <v>444</v>
      </c>
    </row>
    <row r="22" spans="1:29">
      <c r="A22" s="57" t="s">
        <v>46</v>
      </c>
      <c r="B22" s="2" t="s">
        <v>49</v>
      </c>
      <c r="C22" s="2" t="s">
        <v>56</v>
      </c>
      <c r="D22" s="2" t="s">
        <v>15</v>
      </c>
      <c r="E22" s="58" t="s">
        <v>47</v>
      </c>
      <c r="F22" s="2" t="s">
        <v>48</v>
      </c>
      <c r="R22" s="289" t="s">
        <v>445</v>
      </c>
      <c r="S22" s="290">
        <v>5555</v>
      </c>
      <c r="T22" s="291">
        <v>555</v>
      </c>
      <c r="U22" s="292"/>
      <c r="V22" s="292">
        <f>S22*T22</f>
        <v>3083025</v>
      </c>
      <c r="W22" s="1"/>
      <c r="X22" s="291">
        <f>O19*V22/N18</f>
        <v>82810445.153801516</v>
      </c>
    </row>
    <row r="23" spans="1:29">
      <c r="A23" s="330">
        <v>1998</v>
      </c>
      <c r="B23" s="553" t="s">
        <v>12</v>
      </c>
      <c r="C23" s="553" t="s">
        <v>12</v>
      </c>
      <c r="D23" s="60">
        <v>413.68</v>
      </c>
      <c r="E23" s="60">
        <v>409.15</v>
      </c>
      <c r="F23" s="33">
        <f>D23-E23</f>
        <v>4.5300000000000296</v>
      </c>
      <c r="G23" s="155"/>
      <c r="I23" s="137"/>
      <c r="R23" s="289" t="s">
        <v>446</v>
      </c>
      <c r="S23" s="291">
        <v>5555</v>
      </c>
      <c r="T23" s="291">
        <v>222</v>
      </c>
      <c r="U23" s="292"/>
      <c r="V23" s="292">
        <f>S23*T23</f>
        <v>1233210</v>
      </c>
      <c r="W23" s="292"/>
      <c r="X23" s="291">
        <v>77777777</v>
      </c>
    </row>
    <row r="24" spans="1:29" ht="15.75">
      <c r="A24" s="372"/>
      <c r="B24" s="554"/>
      <c r="C24" s="554"/>
      <c r="D24" s="60">
        <v>2129.0300000000002</v>
      </c>
      <c r="E24" s="60">
        <v>2127.5700000000002</v>
      </c>
      <c r="F24" s="33">
        <f t="shared" ref="F24:F35" si="3">D24-E24</f>
        <v>1.4600000000000364</v>
      </c>
      <c r="G24" s="159">
        <f>F23+F24</f>
        <v>5.9900000000000659</v>
      </c>
      <c r="I24" s="137" t="s">
        <v>113</v>
      </c>
      <c r="R24" s="289" t="s">
        <v>447</v>
      </c>
      <c r="S24" s="291">
        <v>5555</v>
      </c>
      <c r="T24" s="291">
        <v>55</v>
      </c>
      <c r="U24" s="292"/>
      <c r="V24" s="292">
        <f>S24*T24</f>
        <v>305525</v>
      </c>
      <c r="W24" s="292"/>
      <c r="X24" s="291">
        <v>88888888</v>
      </c>
    </row>
    <row r="25" spans="1:29" ht="15.75" customHeight="1">
      <c r="A25" s="372"/>
      <c r="B25" s="549" t="s">
        <v>14</v>
      </c>
      <c r="C25" s="551" t="s">
        <v>14</v>
      </c>
      <c r="D25" s="60">
        <v>1866.37</v>
      </c>
      <c r="E25" s="60">
        <v>1785.98</v>
      </c>
      <c r="F25" s="33">
        <f t="shared" ref="F25:F26" si="4">D25-E25</f>
        <v>80.389999999999873</v>
      </c>
      <c r="G25" s="155"/>
      <c r="I25" s="137"/>
      <c r="R25" s="293"/>
      <c r="S25" s="294"/>
      <c r="T25" s="292"/>
      <c r="U25" s="292"/>
      <c r="V25" s="292">
        <f t="shared" ref="V25" si="5">SUM(V22:V24)</f>
        <v>4621760</v>
      </c>
      <c r="W25" s="292"/>
      <c r="X25" s="291">
        <f>SUM(X22:X24)</f>
        <v>249477110.1538015</v>
      </c>
    </row>
    <row r="26" spans="1:29" ht="16.5" customHeight="1" thickBot="1">
      <c r="A26" s="373"/>
      <c r="B26" s="550"/>
      <c r="C26" s="552"/>
      <c r="D26" s="148">
        <v>502.45</v>
      </c>
      <c r="E26" s="148">
        <v>343.46</v>
      </c>
      <c r="F26" s="160">
        <f t="shared" si="4"/>
        <v>158.99</v>
      </c>
      <c r="G26" s="161">
        <f>F25+F26</f>
        <v>239.37999999999988</v>
      </c>
      <c r="I26" s="137" t="s">
        <v>113</v>
      </c>
    </row>
    <row r="27" spans="1:29" ht="15.75">
      <c r="A27" s="538">
        <v>1999</v>
      </c>
      <c r="B27" s="163" t="s">
        <v>5</v>
      </c>
      <c r="C27" s="164" t="s">
        <v>5</v>
      </c>
      <c r="D27" s="165">
        <v>70.099999999999994</v>
      </c>
      <c r="E27" s="165">
        <v>61.33</v>
      </c>
      <c r="F27" s="166">
        <f t="shared" si="3"/>
        <v>8.769999999999996</v>
      </c>
      <c r="G27" s="167"/>
      <c r="I27" s="137" t="s">
        <v>113</v>
      </c>
    </row>
    <row r="28" spans="1:29" ht="15.75">
      <c r="A28" s="531"/>
      <c r="B28" s="151" t="s">
        <v>2</v>
      </c>
      <c r="C28" s="152" t="s">
        <v>2</v>
      </c>
      <c r="D28" s="60">
        <v>70.69</v>
      </c>
      <c r="E28" s="60">
        <v>66.39</v>
      </c>
      <c r="F28" s="115">
        <f t="shared" ref="F28" si="6">D28-E28</f>
        <v>4.2999999999999972</v>
      </c>
      <c r="G28" s="159"/>
      <c r="I28" s="137" t="s">
        <v>113</v>
      </c>
    </row>
    <row r="29" spans="1:29" ht="16.5" thickBot="1">
      <c r="A29" s="532"/>
      <c r="B29" s="168" t="s">
        <v>10</v>
      </c>
      <c r="C29" s="147" t="s">
        <v>10</v>
      </c>
      <c r="D29" s="148">
        <v>0.09</v>
      </c>
      <c r="E29" s="148">
        <v>0.08</v>
      </c>
      <c r="F29" s="157">
        <f t="shared" si="3"/>
        <v>9.999999999999995E-3</v>
      </c>
      <c r="G29" s="161"/>
      <c r="I29" s="137" t="s">
        <v>113</v>
      </c>
    </row>
    <row r="30" spans="1:29">
      <c r="A30" s="537">
        <v>2001</v>
      </c>
      <c r="B30" s="543" t="s">
        <v>5</v>
      </c>
      <c r="C30" s="541" t="s">
        <v>5</v>
      </c>
      <c r="D30" s="73"/>
      <c r="E30" s="73"/>
      <c r="F30" s="242"/>
      <c r="G30" s="243"/>
    </row>
    <row r="31" spans="1:29" ht="15.75">
      <c r="A31" s="534"/>
      <c r="B31" s="547"/>
      <c r="C31" s="548"/>
      <c r="D31" s="5">
        <v>413.37</v>
      </c>
      <c r="E31" s="5">
        <v>409.68</v>
      </c>
      <c r="F31" s="20">
        <f t="shared" ref="F31:F32" si="7">D31-E31</f>
        <v>3.6899999999999977</v>
      </c>
      <c r="G31" s="500"/>
    </row>
    <row r="32" spans="1:29">
      <c r="A32" s="534"/>
      <c r="B32" s="545" t="s">
        <v>7</v>
      </c>
      <c r="C32" s="546" t="s">
        <v>7</v>
      </c>
      <c r="D32" s="70">
        <v>656.1</v>
      </c>
      <c r="E32" s="70">
        <v>653.11</v>
      </c>
      <c r="F32" s="38">
        <f t="shared" si="7"/>
        <v>2.9900000000000091</v>
      </c>
      <c r="G32" s="244"/>
    </row>
    <row r="33" spans="1:7" ht="16.5" thickBot="1">
      <c r="A33" s="535"/>
      <c r="B33" s="544"/>
      <c r="C33" s="542"/>
      <c r="D33" s="193"/>
      <c r="E33" s="193"/>
      <c r="F33" s="245">
        <f t="shared" ref="F33" si="8">D33-E33</f>
        <v>0</v>
      </c>
      <c r="G33" s="501"/>
    </row>
    <row r="34" spans="1:7">
      <c r="A34" s="370">
        <v>2003</v>
      </c>
      <c r="B34" s="543" t="s">
        <v>13</v>
      </c>
      <c r="C34" s="541" t="s">
        <v>13</v>
      </c>
      <c r="D34" s="73">
        <v>2769.44</v>
      </c>
      <c r="E34" s="73">
        <v>2766</v>
      </c>
      <c r="F34" s="242">
        <f t="shared" si="3"/>
        <v>3.4400000000000546</v>
      </c>
      <c r="G34" s="167"/>
    </row>
    <row r="35" spans="1:7" ht="16.5" thickBot="1">
      <c r="A35" s="371"/>
      <c r="B35" s="544"/>
      <c r="C35" s="542"/>
      <c r="D35" s="193">
        <v>532.04</v>
      </c>
      <c r="E35" s="193">
        <v>531.48</v>
      </c>
      <c r="F35" s="245">
        <f t="shared" si="3"/>
        <v>0.55999999999994543</v>
      </c>
      <c r="G35" s="501"/>
    </row>
  </sheetData>
  <mergeCells count="13">
    <mergeCell ref="A20:N20"/>
    <mergeCell ref="B30:B31"/>
    <mergeCell ref="C30:C31"/>
    <mergeCell ref="B25:B26"/>
    <mergeCell ref="C25:C26"/>
    <mergeCell ref="A27:A29"/>
    <mergeCell ref="B23:B24"/>
    <mergeCell ref="C23:C24"/>
    <mergeCell ref="C34:C35"/>
    <mergeCell ref="B34:B35"/>
    <mergeCell ref="B32:B33"/>
    <mergeCell ref="C32:C33"/>
    <mergeCell ref="A30:A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46"/>
  <sheetViews>
    <sheetView workbookViewId="0">
      <pane ySplit="1" topLeftCell="A2" activePane="bottomLeft" state="frozen"/>
      <selection pane="bottomLeft" activeCell="O20" sqref="O20"/>
    </sheetView>
  </sheetViews>
  <sheetFormatPr defaultRowHeight="12.75"/>
  <cols>
    <col min="1" max="1" width="5" style="4" bestFit="1" customWidth="1"/>
    <col min="2" max="2" width="7" style="4" bestFit="1" customWidth="1"/>
    <col min="3" max="3" width="8" style="4" bestFit="1" customWidth="1"/>
    <col min="4" max="5" width="6.44140625" style="4" bestFit="1" customWidth="1"/>
    <col min="6" max="6" width="5.6640625" style="4" bestFit="1" customWidth="1"/>
    <col min="7" max="7" width="7" style="4" bestFit="1" customWidth="1"/>
    <col min="8" max="8" width="9.44140625" style="4" bestFit="1" customWidth="1"/>
    <col min="9" max="9" width="9.109375" style="4" bestFit="1" customWidth="1"/>
    <col min="10" max="10" width="8.6640625" style="4" bestFit="1" customWidth="1"/>
    <col min="11" max="11" width="9.109375" style="4" bestFit="1" customWidth="1"/>
    <col min="12" max="12" width="7.44140625" style="4" bestFit="1" customWidth="1"/>
    <col min="13" max="14" width="9" style="4" bestFit="1" customWidth="1"/>
    <col min="15" max="15" width="8.88671875" style="4" customWidth="1"/>
    <col min="16" max="16" width="3.21875" style="4" bestFit="1" customWidth="1"/>
    <col min="17" max="17" width="4.6640625" style="4" bestFit="1" customWidth="1"/>
    <col min="18" max="18" width="4.88671875" style="4" customWidth="1"/>
    <col min="19" max="19" width="5.6640625" style="4" bestFit="1" customWidth="1"/>
    <col min="20" max="20" width="4.6640625" style="4" bestFit="1" customWidth="1"/>
    <col min="21" max="21" width="1.44140625" style="4" bestFit="1" customWidth="1"/>
    <col min="22" max="22" width="8" style="4" bestFit="1" customWidth="1"/>
    <col min="23" max="23" width="4.6640625" style="4" bestFit="1" customWidth="1"/>
    <col min="24" max="24" width="9.33203125" style="4" bestFit="1" customWidth="1"/>
    <col min="25" max="26" width="4.6640625" style="4" bestFit="1" customWidth="1"/>
    <col min="27" max="27" width="3.33203125" style="4" bestFit="1" customWidth="1"/>
    <col min="28" max="29" width="5.6640625" style="4" bestFit="1" customWidth="1"/>
    <col min="30" max="16384" width="8.88671875" style="4"/>
  </cols>
  <sheetData>
    <row r="1" spans="1:29" ht="12.75" customHeight="1">
      <c r="A1" s="84"/>
      <c r="B1" s="48" t="s">
        <v>4</v>
      </c>
      <c r="C1" s="47" t="s">
        <v>5</v>
      </c>
      <c r="D1" s="48" t="s">
        <v>6</v>
      </c>
      <c r="E1" s="46" t="s">
        <v>7</v>
      </c>
      <c r="F1" s="48" t="s">
        <v>2</v>
      </c>
      <c r="G1" s="47" t="s">
        <v>8</v>
      </c>
      <c r="H1" s="48" t="s">
        <v>9</v>
      </c>
      <c r="I1" s="46" t="s">
        <v>10</v>
      </c>
      <c r="J1" s="48" t="s">
        <v>11</v>
      </c>
      <c r="K1" s="47" t="s">
        <v>12</v>
      </c>
      <c r="L1" s="48" t="s">
        <v>13</v>
      </c>
      <c r="M1" s="46" t="s">
        <v>14</v>
      </c>
      <c r="N1" s="304" t="s">
        <v>3</v>
      </c>
      <c r="O1" s="304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0"/>
      <c r="K2" s="70"/>
      <c r="L2" s="70"/>
      <c r="M2" s="70"/>
      <c r="N2" s="70">
        <f t="shared" ref="N2:N17" si="0">SUM(B2:M2)</f>
        <v>0</v>
      </c>
      <c r="O2" s="72">
        <f>AC2</f>
        <v>0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7">
        <f>SUM(Q2:AB2)</f>
        <v>0</v>
      </c>
    </row>
    <row r="3" spans="1:29">
      <c r="A3" s="3">
        <v>1999</v>
      </c>
      <c r="B3" s="5"/>
      <c r="C3" s="5"/>
      <c r="D3" s="5"/>
      <c r="E3" s="5"/>
      <c r="F3" s="5"/>
      <c r="G3" s="5"/>
      <c r="H3" s="5"/>
      <c r="I3" s="5"/>
      <c r="J3" s="5">
        <v>16.54</v>
      </c>
      <c r="K3" s="5"/>
      <c r="L3" s="5"/>
      <c r="M3" s="5"/>
      <c r="N3" s="70">
        <f t="shared" si="0"/>
        <v>16.54</v>
      </c>
      <c r="O3" s="72">
        <f t="shared" ref="O3:O17" si="1">AC3</f>
        <v>317</v>
      </c>
      <c r="Q3" s="292"/>
      <c r="R3" s="292"/>
      <c r="S3" s="292"/>
      <c r="T3" s="292"/>
      <c r="U3" s="292"/>
      <c r="V3" s="292"/>
      <c r="W3" s="292"/>
      <c r="X3" s="292"/>
      <c r="Y3" s="292">
        <v>317</v>
      </c>
      <c r="Z3" s="292"/>
      <c r="AA3" s="292"/>
      <c r="AB3" s="292"/>
      <c r="AC3" s="297">
        <f t="shared" ref="AC3:AC17" si="2">SUM(Q3:AB3)</f>
        <v>317</v>
      </c>
    </row>
    <row r="4" spans="1:29">
      <c r="A4" s="3">
        <v>2000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300</v>
      </c>
      <c r="N4" s="70">
        <f t="shared" si="0"/>
        <v>300</v>
      </c>
      <c r="O4" s="72">
        <f t="shared" si="1"/>
        <v>4648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>
        <v>4648</v>
      </c>
      <c r="AC4" s="297">
        <f t="shared" si="2"/>
        <v>4648</v>
      </c>
    </row>
    <row r="5" spans="1:29">
      <c r="A5" s="3">
        <v>2001</v>
      </c>
      <c r="B5" s="5"/>
      <c r="C5" s="5">
        <v>2.92</v>
      </c>
      <c r="D5" s="5">
        <v>27.27</v>
      </c>
      <c r="E5" s="5">
        <v>2.85</v>
      </c>
      <c r="F5" s="5"/>
      <c r="G5" s="5"/>
      <c r="H5" s="5">
        <v>22.41</v>
      </c>
      <c r="I5" s="5"/>
      <c r="J5" s="5"/>
      <c r="K5" s="5"/>
      <c r="L5" s="5"/>
      <c r="M5" s="5"/>
      <c r="N5" s="70">
        <f t="shared" si="0"/>
        <v>55.45</v>
      </c>
      <c r="O5" s="72">
        <f t="shared" si="1"/>
        <v>818</v>
      </c>
      <c r="Q5" s="292"/>
      <c r="R5" s="292">
        <v>44</v>
      </c>
      <c r="S5" s="292">
        <v>409</v>
      </c>
      <c r="T5" s="292">
        <v>42</v>
      </c>
      <c r="U5" s="292"/>
      <c r="V5" s="292"/>
      <c r="W5" s="292">
        <v>323</v>
      </c>
      <c r="X5" s="292"/>
      <c r="Y5" s="292"/>
      <c r="Z5" s="292"/>
      <c r="AA5" s="292"/>
      <c r="AB5" s="292"/>
      <c r="AC5" s="297">
        <f t="shared" si="2"/>
        <v>818</v>
      </c>
    </row>
    <row r="6" spans="1:29">
      <c r="A6" s="3">
        <v>2002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>
        <v>3.99</v>
      </c>
      <c r="N6" s="70">
        <f t="shared" si="0"/>
        <v>3.99</v>
      </c>
      <c r="O6" s="72">
        <f t="shared" si="1"/>
        <v>49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>
        <v>49</v>
      </c>
      <c r="AC6" s="297">
        <f t="shared" si="2"/>
        <v>49</v>
      </c>
    </row>
    <row r="7" spans="1:29">
      <c r="A7" s="3">
        <v>2003</v>
      </c>
      <c r="B7" s="86"/>
      <c r="C7" s="86"/>
      <c r="D7" s="86"/>
      <c r="E7" s="86"/>
      <c r="F7" s="86"/>
      <c r="G7" s="86">
        <v>0.19</v>
      </c>
      <c r="H7" s="86">
        <v>2.99</v>
      </c>
      <c r="I7" s="86"/>
      <c r="J7" s="86"/>
      <c r="K7" s="86"/>
      <c r="L7" s="86">
        <v>0.57999999999999996</v>
      </c>
      <c r="M7" s="86"/>
      <c r="N7" s="70">
        <f t="shared" si="0"/>
        <v>3.7600000000000002</v>
      </c>
      <c r="O7" s="72">
        <f t="shared" si="1"/>
        <v>43</v>
      </c>
      <c r="Q7" s="292"/>
      <c r="R7" s="292"/>
      <c r="S7" s="292"/>
      <c r="T7" s="292"/>
      <c r="U7" s="292"/>
      <c r="V7" s="291">
        <v>2</v>
      </c>
      <c r="W7" s="292">
        <v>35</v>
      </c>
      <c r="X7" s="292"/>
      <c r="Y7" s="292"/>
      <c r="Z7" s="292"/>
      <c r="AA7" s="292">
        <v>6</v>
      </c>
      <c r="AB7" s="292"/>
      <c r="AC7" s="297">
        <f t="shared" si="2"/>
        <v>43</v>
      </c>
    </row>
    <row r="8" spans="1:29">
      <c r="A8" s="3">
        <v>2004</v>
      </c>
      <c r="B8" s="86">
        <v>13.04</v>
      </c>
      <c r="C8" s="86"/>
      <c r="D8" s="86"/>
      <c r="E8" s="86"/>
      <c r="F8" s="86">
        <v>7.08</v>
      </c>
      <c r="G8" s="86"/>
      <c r="H8" s="86"/>
      <c r="I8" s="86"/>
      <c r="J8" s="86"/>
      <c r="K8" s="86"/>
      <c r="L8" s="86"/>
      <c r="M8" s="86"/>
      <c r="N8" s="70">
        <f t="shared" si="0"/>
        <v>20.119999999999997</v>
      </c>
      <c r="O8" s="72">
        <f t="shared" si="1"/>
        <v>144</v>
      </c>
      <c r="Q8" s="292">
        <v>144</v>
      </c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7">
        <f t="shared" si="2"/>
        <v>144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0">
        <f t="shared" si="0"/>
        <v>0</v>
      </c>
      <c r="O9" s="7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/>
      <c r="G10" s="5">
        <v>6.8</v>
      </c>
      <c r="H10" s="5"/>
      <c r="I10" s="5"/>
      <c r="J10" s="5"/>
      <c r="K10" s="5">
        <v>19.440000000000001</v>
      </c>
      <c r="L10" s="5"/>
      <c r="M10" s="5">
        <v>24.62</v>
      </c>
      <c r="N10" s="70">
        <f t="shared" si="0"/>
        <v>50.86</v>
      </c>
      <c r="O10" s="72">
        <f t="shared" si="1"/>
        <v>422</v>
      </c>
      <c r="Q10" s="292"/>
      <c r="R10" s="292"/>
      <c r="S10" s="292"/>
      <c r="T10" s="292"/>
      <c r="U10" s="292"/>
      <c r="V10" s="292">
        <v>59</v>
      </c>
      <c r="W10" s="292"/>
      <c r="X10" s="292"/>
      <c r="Y10" s="292"/>
      <c r="Z10" s="292">
        <v>162</v>
      </c>
      <c r="AA10" s="292"/>
      <c r="AB10" s="292">
        <v>201</v>
      </c>
      <c r="AC10" s="297">
        <f t="shared" si="2"/>
        <v>422</v>
      </c>
    </row>
    <row r="11" spans="1:29">
      <c r="A11" s="3">
        <v>2007</v>
      </c>
      <c r="B11" s="5"/>
      <c r="C11" s="5"/>
      <c r="D11" s="5"/>
      <c r="E11" s="5">
        <v>0.38</v>
      </c>
      <c r="F11" s="5"/>
      <c r="G11" s="5"/>
      <c r="H11" s="5"/>
      <c r="I11" s="5"/>
      <c r="J11" s="5"/>
      <c r="K11" s="5"/>
      <c r="L11" s="5"/>
      <c r="M11" s="5"/>
      <c r="N11" s="70">
        <f t="shared" si="0"/>
        <v>0.38</v>
      </c>
      <c r="O11" s="72">
        <f t="shared" si="1"/>
        <v>3</v>
      </c>
      <c r="Q11" s="292"/>
      <c r="R11" s="292"/>
      <c r="S11" s="292"/>
      <c r="T11" s="292">
        <v>3</v>
      </c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3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7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0">
        <f t="shared" si="0"/>
        <v>0</v>
      </c>
      <c r="O13" s="72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3">
        <v>2010</v>
      </c>
      <c r="B14" s="5"/>
      <c r="C14" s="5">
        <v>33.29</v>
      </c>
      <c r="D14" s="5"/>
      <c r="E14" s="5"/>
      <c r="F14" s="5"/>
      <c r="G14" s="5"/>
      <c r="H14" s="5"/>
      <c r="I14" s="5">
        <v>78.599999999999994</v>
      </c>
      <c r="J14" s="5"/>
      <c r="K14" s="5"/>
      <c r="L14" s="5"/>
      <c r="M14" s="5"/>
      <c r="N14" s="70">
        <f t="shared" si="0"/>
        <v>111.88999999999999</v>
      </c>
      <c r="O14" s="72">
        <f t="shared" si="1"/>
        <v>632</v>
      </c>
      <c r="Q14" s="291"/>
      <c r="R14" s="291">
        <v>194</v>
      </c>
      <c r="S14" s="291"/>
      <c r="T14" s="291"/>
      <c r="U14" s="291"/>
      <c r="V14" s="291"/>
      <c r="W14" s="291"/>
      <c r="X14" s="291">
        <v>438</v>
      </c>
      <c r="Y14" s="291"/>
      <c r="Z14" s="291"/>
      <c r="AA14" s="291"/>
      <c r="AB14" s="291"/>
      <c r="AC14" s="301">
        <f t="shared" si="2"/>
        <v>632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7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 t="shared" si="0"/>
        <v>0</v>
      </c>
      <c r="O16" s="7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65">
        <f t="shared" si="0"/>
        <v>0</v>
      </c>
      <c r="O17" s="7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7">
        <f>SUM(N2:N17)</f>
        <v>562.99</v>
      </c>
      <c r="O18" s="300">
        <f>SUM(O2:O17)</f>
        <v>7076</v>
      </c>
    </row>
    <row r="19" spans="1:29">
      <c r="O19" s="406">
        <v>8902</v>
      </c>
      <c r="X19" s="7"/>
      <c r="Y19" s="88"/>
    </row>
    <row r="20" spans="1:29" ht="15.75" customHeight="1">
      <c r="A20" s="576" t="s">
        <v>183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298" t="s">
        <v>302</v>
      </c>
    </row>
    <row r="21" spans="1:29" ht="1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257">
        <v>46062</v>
      </c>
    </row>
    <row r="22" spans="1:29">
      <c r="A22" s="577" t="s">
        <v>46</v>
      </c>
      <c r="B22" s="577" t="s">
        <v>49</v>
      </c>
      <c r="C22" s="579" t="s">
        <v>56</v>
      </c>
      <c r="D22" s="581" t="s">
        <v>52</v>
      </c>
      <c r="E22" s="582"/>
      <c r="F22" s="582"/>
      <c r="G22" s="583"/>
      <c r="H22" s="587" t="s">
        <v>57</v>
      </c>
      <c r="I22" s="588" t="s">
        <v>53</v>
      </c>
      <c r="J22" s="589"/>
      <c r="K22" s="577" t="s">
        <v>48</v>
      </c>
      <c r="R22" s="286"/>
      <c r="S22" s="287"/>
      <c r="T22" s="288" t="s">
        <v>443</v>
      </c>
      <c r="U22" s="287"/>
      <c r="V22" s="287" t="s">
        <v>3</v>
      </c>
      <c r="W22" s="287"/>
      <c r="X22" s="287" t="s">
        <v>444</v>
      </c>
    </row>
    <row r="23" spans="1:29">
      <c r="A23" s="578"/>
      <c r="B23" s="578"/>
      <c r="C23" s="580"/>
      <c r="D23" s="584"/>
      <c r="E23" s="585"/>
      <c r="F23" s="585"/>
      <c r="G23" s="586"/>
      <c r="H23" s="587"/>
      <c r="I23" s="3" t="s">
        <v>51</v>
      </c>
      <c r="J23" s="61" t="s">
        <v>47</v>
      </c>
      <c r="K23" s="578"/>
      <c r="R23" s="289" t="s">
        <v>445</v>
      </c>
      <c r="S23" s="290">
        <v>5555</v>
      </c>
      <c r="T23" s="291">
        <v>555</v>
      </c>
      <c r="U23" s="292"/>
      <c r="V23" s="292">
        <f>S23*T23</f>
        <v>3083025</v>
      </c>
      <c r="W23" s="1"/>
      <c r="X23" s="291">
        <f>O19*V23/N18</f>
        <v>48748802.909465529</v>
      </c>
    </row>
    <row r="24" spans="1:29">
      <c r="A24" s="368">
        <v>1999</v>
      </c>
      <c r="B24" s="80">
        <v>44077</v>
      </c>
      <c r="C24" s="81">
        <v>622</v>
      </c>
      <c r="D24" s="570" t="s">
        <v>54</v>
      </c>
      <c r="E24" s="571"/>
      <c r="F24" s="571"/>
      <c r="G24" s="572"/>
      <c r="H24" s="90">
        <v>234.78</v>
      </c>
      <c r="I24" s="60">
        <v>3.37</v>
      </c>
      <c r="J24" s="60">
        <v>1.0900000000000001</v>
      </c>
      <c r="K24" s="100">
        <f>I24-J24</f>
        <v>2.2800000000000002</v>
      </c>
      <c r="R24" s="289" t="s">
        <v>446</v>
      </c>
      <c r="S24" s="291">
        <v>5555</v>
      </c>
      <c r="T24" s="291">
        <v>222</v>
      </c>
      <c r="U24" s="292"/>
      <c r="V24" s="292">
        <f>S24*T24</f>
        <v>1233210</v>
      </c>
      <c r="W24" s="292"/>
      <c r="X24" s="291">
        <v>55555555</v>
      </c>
    </row>
    <row r="25" spans="1:29" ht="13.5" thickBot="1">
      <c r="A25" s="369"/>
      <c r="B25" s="145">
        <v>45178</v>
      </c>
      <c r="C25" s="146">
        <v>657</v>
      </c>
      <c r="D25" s="590" t="s">
        <v>97</v>
      </c>
      <c r="E25" s="591"/>
      <c r="F25" s="591"/>
      <c r="G25" s="592"/>
      <c r="H25" s="147">
        <v>1467.35</v>
      </c>
      <c r="I25" s="148">
        <v>16.68</v>
      </c>
      <c r="J25" s="148">
        <v>2.42</v>
      </c>
      <c r="K25" s="149">
        <f>I25-J25</f>
        <v>14.26</v>
      </c>
      <c r="L25" s="150">
        <f>SUM(K24:K25)</f>
        <v>16.54</v>
      </c>
      <c r="R25" s="289" t="s">
        <v>447</v>
      </c>
      <c r="S25" s="291">
        <v>5555</v>
      </c>
      <c r="T25" s="291">
        <v>55</v>
      </c>
      <c r="U25" s="292"/>
      <c r="V25" s="292">
        <f>S25*T25</f>
        <v>305525</v>
      </c>
      <c r="W25" s="292"/>
      <c r="X25" s="291">
        <v>66666666</v>
      </c>
    </row>
    <row r="26" spans="1:29" ht="13.5" thickBot="1">
      <c r="A26" s="169">
        <v>2000</v>
      </c>
      <c r="B26" s="145">
        <v>45272</v>
      </c>
      <c r="C26" s="146">
        <v>1355</v>
      </c>
      <c r="D26" s="561" t="s">
        <v>58</v>
      </c>
      <c r="E26" s="562"/>
      <c r="F26" s="562"/>
      <c r="G26" s="563"/>
      <c r="H26" s="147">
        <v>28088.52</v>
      </c>
      <c r="I26" s="148">
        <v>331.17</v>
      </c>
      <c r="J26" s="148">
        <v>31.17</v>
      </c>
      <c r="K26" s="170">
        <f t="shared" ref="K26:K45" si="3">I26-J26</f>
        <v>300</v>
      </c>
      <c r="L26" s="171"/>
      <c r="R26" s="293"/>
      <c r="S26" s="294"/>
      <c r="T26" s="292"/>
      <c r="U26" s="292"/>
      <c r="V26" s="292">
        <f t="shared" ref="V26" si="4">SUM(V23:V25)</f>
        <v>4621760</v>
      </c>
      <c r="W26" s="292"/>
      <c r="X26" s="291">
        <f>SUM(X23:X25)</f>
        <v>170971023.90946552</v>
      </c>
    </row>
    <row r="27" spans="1:29">
      <c r="A27" s="558">
        <v>2001</v>
      </c>
      <c r="B27" s="182">
        <v>45324</v>
      </c>
      <c r="C27" s="186">
        <v>1472</v>
      </c>
      <c r="D27" s="573" t="s">
        <v>209</v>
      </c>
      <c r="E27" s="574"/>
      <c r="F27" s="574"/>
      <c r="G27" s="575"/>
      <c r="H27" s="240">
        <v>16056.57</v>
      </c>
      <c r="I27" s="165">
        <v>24.27</v>
      </c>
      <c r="J27" s="165">
        <v>21.35</v>
      </c>
      <c r="K27" s="196">
        <f t="shared" si="3"/>
        <v>2.9199999999999982</v>
      </c>
      <c r="L27" s="172"/>
    </row>
    <row r="28" spans="1:29">
      <c r="A28" s="559"/>
      <c r="B28" s="141">
        <v>45354</v>
      </c>
      <c r="C28" s="142">
        <v>1479</v>
      </c>
      <c r="D28" s="567" t="s">
        <v>210</v>
      </c>
      <c r="E28" s="568"/>
      <c r="F28" s="568"/>
      <c r="G28" s="569"/>
      <c r="H28" s="201">
        <v>38289.79</v>
      </c>
      <c r="I28" s="143">
        <v>45.12</v>
      </c>
      <c r="J28" s="143">
        <v>42.19</v>
      </c>
      <c r="K28" s="241">
        <f t="shared" si="3"/>
        <v>2.9299999999999997</v>
      </c>
      <c r="L28" s="174"/>
    </row>
    <row r="29" spans="1:29">
      <c r="A29" s="559"/>
      <c r="B29" s="141">
        <v>45354</v>
      </c>
      <c r="C29" s="142">
        <v>1491</v>
      </c>
      <c r="D29" s="570" t="s">
        <v>211</v>
      </c>
      <c r="E29" s="571"/>
      <c r="F29" s="571"/>
      <c r="G29" s="572"/>
      <c r="H29" s="201">
        <v>75421.86</v>
      </c>
      <c r="I29" s="143">
        <v>82.29</v>
      </c>
      <c r="J29" s="143">
        <v>81.34</v>
      </c>
      <c r="K29" s="241">
        <f t="shared" si="3"/>
        <v>0.95000000000000284</v>
      </c>
      <c r="L29" s="174"/>
    </row>
    <row r="30" spans="1:29">
      <c r="A30" s="559"/>
      <c r="B30" s="141">
        <v>45005</v>
      </c>
      <c r="C30" s="142">
        <v>1503</v>
      </c>
      <c r="D30" s="564" t="s">
        <v>61</v>
      </c>
      <c r="E30" s="565"/>
      <c r="F30" s="565"/>
      <c r="G30" s="566"/>
      <c r="H30" s="201">
        <v>2347.7600000000002</v>
      </c>
      <c r="I30" s="143">
        <v>26.82</v>
      </c>
      <c r="J30" s="143">
        <v>3.43</v>
      </c>
      <c r="K30" s="241">
        <f t="shared" ref="K30" si="5">I30-J30</f>
        <v>23.39</v>
      </c>
      <c r="L30" s="179">
        <f>K28+K29+K30</f>
        <v>27.270000000000003</v>
      </c>
    </row>
    <row r="31" spans="1:29">
      <c r="A31" s="559"/>
      <c r="B31" s="80">
        <v>45035</v>
      </c>
      <c r="C31" s="81">
        <v>1537</v>
      </c>
      <c r="D31" s="570" t="s">
        <v>63</v>
      </c>
      <c r="E31" s="571"/>
      <c r="F31" s="571"/>
      <c r="G31" s="572"/>
      <c r="H31" s="207">
        <v>293.47000000000003</v>
      </c>
      <c r="I31" s="60">
        <v>4</v>
      </c>
      <c r="J31" s="60">
        <v>1.1499999999999999</v>
      </c>
      <c r="K31" s="94">
        <f t="shared" si="3"/>
        <v>2.85</v>
      </c>
      <c r="L31" s="174"/>
    </row>
    <row r="32" spans="1:29" ht="13.5" thickBot="1">
      <c r="A32" s="560"/>
      <c r="B32" s="145">
        <v>45137</v>
      </c>
      <c r="C32" s="146">
        <v>1672</v>
      </c>
      <c r="D32" s="561" t="s">
        <v>64</v>
      </c>
      <c r="E32" s="562"/>
      <c r="F32" s="562"/>
      <c r="G32" s="563"/>
      <c r="H32" s="147">
        <v>2300.69</v>
      </c>
      <c r="I32" s="148">
        <v>25.73</v>
      </c>
      <c r="J32" s="148">
        <v>3.32</v>
      </c>
      <c r="K32" s="170">
        <f t="shared" si="3"/>
        <v>22.41</v>
      </c>
      <c r="L32" s="171"/>
    </row>
    <row r="33" spans="1:12" ht="13.5" thickBot="1">
      <c r="A33" s="218">
        <v>2002</v>
      </c>
      <c r="B33" s="226">
        <v>45638</v>
      </c>
      <c r="C33" s="227">
        <v>2587</v>
      </c>
      <c r="D33" s="561" t="s">
        <v>107</v>
      </c>
      <c r="E33" s="562"/>
      <c r="F33" s="562"/>
      <c r="G33" s="563"/>
      <c r="H33" s="260">
        <v>1352.27</v>
      </c>
      <c r="I33" s="229">
        <v>6.27</v>
      </c>
      <c r="J33" s="229">
        <v>2.2799999999999998</v>
      </c>
      <c r="K33" s="170">
        <f>I33-J33</f>
        <v>3.9899999999999998</v>
      </c>
      <c r="L33" s="171"/>
    </row>
    <row r="34" spans="1:12">
      <c r="A34" s="558">
        <v>2003</v>
      </c>
      <c r="B34" s="326">
        <v>45449</v>
      </c>
      <c r="C34" s="265">
        <v>2925</v>
      </c>
      <c r="D34" s="555" t="s">
        <v>54</v>
      </c>
      <c r="E34" s="556"/>
      <c r="F34" s="556"/>
      <c r="G34" s="557"/>
      <c r="H34" s="266">
        <v>29139.72</v>
      </c>
      <c r="I34" s="73">
        <v>29.25</v>
      </c>
      <c r="J34" s="73">
        <v>29.06</v>
      </c>
      <c r="K34" s="185">
        <f t="shared" ref="K34" si="6">I34-J34</f>
        <v>0.19000000000000128</v>
      </c>
      <c r="L34" s="172"/>
    </row>
    <row r="35" spans="1:12">
      <c r="A35" s="559"/>
      <c r="B35" s="133">
        <v>45114</v>
      </c>
      <c r="C35" s="134">
        <v>2981</v>
      </c>
      <c r="D35" s="567" t="s">
        <v>54</v>
      </c>
      <c r="E35" s="568"/>
      <c r="F35" s="568"/>
      <c r="G35" s="569"/>
      <c r="H35" s="86">
        <v>3999.68</v>
      </c>
      <c r="I35" s="5">
        <v>7.99</v>
      </c>
      <c r="J35" s="5">
        <v>5</v>
      </c>
      <c r="K35" s="94">
        <f t="shared" ref="K35" si="7">I35-J35</f>
        <v>2.99</v>
      </c>
      <c r="L35" s="174"/>
    </row>
    <row r="36" spans="1:12" ht="13.5" thickBot="1">
      <c r="A36" s="560"/>
      <c r="B36" s="145">
        <v>45245</v>
      </c>
      <c r="C36" s="146">
        <v>3463</v>
      </c>
      <c r="D36" s="561" t="s">
        <v>54</v>
      </c>
      <c r="E36" s="562"/>
      <c r="F36" s="562"/>
      <c r="G36" s="563"/>
      <c r="H36" s="147">
        <v>8282.39</v>
      </c>
      <c r="I36" s="148">
        <v>10.36</v>
      </c>
      <c r="J36" s="148">
        <v>9.7799999999999994</v>
      </c>
      <c r="K36" s="170">
        <f t="shared" ref="K36" si="8">I36-J36</f>
        <v>0.58000000000000007</v>
      </c>
      <c r="L36" s="171"/>
    </row>
    <row r="37" spans="1:12">
      <c r="A37" s="325">
        <v>2004</v>
      </c>
      <c r="B37" s="230">
        <v>44941</v>
      </c>
      <c r="C37" s="231">
        <v>3587</v>
      </c>
      <c r="D37" s="593" t="s">
        <v>97</v>
      </c>
      <c r="E37" s="594"/>
      <c r="F37" s="594"/>
      <c r="G37" s="595"/>
      <c r="H37" s="374">
        <v>1087.75</v>
      </c>
      <c r="I37" s="70">
        <v>15.05</v>
      </c>
      <c r="J37" s="70">
        <v>2.0099999999999998</v>
      </c>
      <c r="K37" s="232">
        <f t="shared" si="3"/>
        <v>13.040000000000001</v>
      </c>
    </row>
    <row r="38" spans="1:12" ht="13.5" thickBot="1">
      <c r="A38" s="218"/>
      <c r="B38" s="226">
        <v>45782</v>
      </c>
      <c r="C38" s="227">
        <v>3864</v>
      </c>
      <c r="D38" s="596" t="s">
        <v>97</v>
      </c>
      <c r="E38" s="597"/>
      <c r="F38" s="597"/>
      <c r="G38" s="598"/>
      <c r="H38" s="375">
        <v>8118.17</v>
      </c>
      <c r="I38" s="229">
        <v>16.68</v>
      </c>
      <c r="J38" s="229">
        <v>9.6</v>
      </c>
      <c r="K38" s="234">
        <f t="shared" si="3"/>
        <v>7.08</v>
      </c>
      <c r="L38" s="171"/>
    </row>
    <row r="39" spans="1:12">
      <c r="A39" s="396">
        <v>2005</v>
      </c>
      <c r="B39" s="141"/>
      <c r="C39" s="142"/>
      <c r="D39" s="377"/>
      <c r="E39" s="378"/>
      <c r="F39" s="378"/>
      <c r="G39" s="379"/>
      <c r="H39" s="376"/>
      <c r="I39" s="143"/>
      <c r="J39" s="143"/>
      <c r="K39" s="144">
        <f t="shared" si="3"/>
        <v>0</v>
      </c>
    </row>
    <row r="40" spans="1:12">
      <c r="A40" s="361">
        <v>2006</v>
      </c>
      <c r="B40" s="80">
        <v>45091</v>
      </c>
      <c r="C40" s="81">
        <v>6084</v>
      </c>
      <c r="D40" s="570" t="s">
        <v>54</v>
      </c>
      <c r="E40" s="571"/>
      <c r="F40" s="571"/>
      <c r="G40" s="572"/>
      <c r="H40" s="90">
        <v>32957.300000000003</v>
      </c>
      <c r="I40" s="60">
        <v>43.47</v>
      </c>
      <c r="J40" s="60">
        <v>36.67</v>
      </c>
      <c r="K40" s="94">
        <f t="shared" si="3"/>
        <v>6.7999999999999972</v>
      </c>
    </row>
    <row r="41" spans="1:12">
      <c r="A41" s="362"/>
      <c r="B41" s="80">
        <v>45204</v>
      </c>
      <c r="C41" s="81">
        <v>6373</v>
      </c>
      <c r="D41" s="570" t="s">
        <v>105</v>
      </c>
      <c r="E41" s="571"/>
      <c r="F41" s="571"/>
      <c r="G41" s="572"/>
      <c r="H41" s="90">
        <v>2000</v>
      </c>
      <c r="I41" s="60">
        <v>22.68</v>
      </c>
      <c r="J41" s="60">
        <v>3.24</v>
      </c>
      <c r="K41" s="94">
        <f t="shared" si="3"/>
        <v>19.439999999999998</v>
      </c>
    </row>
    <row r="42" spans="1:12">
      <c r="A42" s="363"/>
      <c r="B42" s="80">
        <v>45267</v>
      </c>
      <c r="C42" s="81">
        <v>6513</v>
      </c>
      <c r="D42" s="570" t="s">
        <v>97</v>
      </c>
      <c r="E42" s="571"/>
      <c r="F42" s="571"/>
      <c r="G42" s="572"/>
      <c r="H42" s="90">
        <v>2053.0700000000002</v>
      </c>
      <c r="I42" s="60">
        <v>27.92</v>
      </c>
      <c r="J42" s="60">
        <v>3.3</v>
      </c>
      <c r="K42" s="94">
        <f t="shared" si="3"/>
        <v>24.62</v>
      </c>
    </row>
    <row r="43" spans="1:12" ht="13.5" thickBot="1">
      <c r="A43" s="195">
        <v>2007</v>
      </c>
      <c r="B43" s="145">
        <v>45041</v>
      </c>
      <c r="C43" s="146">
        <v>6870</v>
      </c>
      <c r="D43" s="561" t="s">
        <v>58</v>
      </c>
      <c r="E43" s="562"/>
      <c r="F43" s="562"/>
      <c r="G43" s="563"/>
      <c r="H43" s="147">
        <v>10483</v>
      </c>
      <c r="I43" s="148">
        <v>12.78</v>
      </c>
      <c r="J43" s="148">
        <v>12.4</v>
      </c>
      <c r="K43" s="170">
        <f t="shared" si="3"/>
        <v>0.37999999999999901</v>
      </c>
      <c r="L43" s="171"/>
    </row>
    <row r="44" spans="1:12">
      <c r="A44" s="364">
        <v>2010</v>
      </c>
      <c r="B44" s="141">
        <v>44976</v>
      </c>
      <c r="C44" s="142">
        <v>9263</v>
      </c>
      <c r="D44" s="564" t="s">
        <v>107</v>
      </c>
      <c r="E44" s="565"/>
      <c r="F44" s="565"/>
      <c r="G44" s="566"/>
      <c r="H44" s="206">
        <v>239.75</v>
      </c>
      <c r="I44" s="143">
        <v>37.11</v>
      </c>
      <c r="J44" s="143">
        <v>3.82</v>
      </c>
      <c r="K44" s="144">
        <f t="shared" si="3"/>
        <v>33.29</v>
      </c>
      <c r="L44" s="174"/>
    </row>
    <row r="45" spans="1:12" ht="13.5" thickBot="1">
      <c r="A45" s="365"/>
      <c r="B45" s="223">
        <v>45169</v>
      </c>
      <c r="C45" s="224">
        <v>9676</v>
      </c>
      <c r="D45" s="590" t="s">
        <v>54</v>
      </c>
      <c r="E45" s="591"/>
      <c r="F45" s="591"/>
      <c r="G45" s="592"/>
      <c r="H45" s="66">
        <v>9656.3700000000008</v>
      </c>
      <c r="I45" s="193">
        <v>89.09</v>
      </c>
      <c r="J45" s="193">
        <v>10.49</v>
      </c>
      <c r="K45" s="170">
        <f t="shared" si="3"/>
        <v>78.600000000000009</v>
      </c>
      <c r="L45" s="171"/>
    </row>
    <row r="46" spans="1:12">
      <c r="A46" s="239"/>
      <c r="B46" s="141"/>
      <c r="C46" s="142"/>
      <c r="D46" s="203"/>
      <c r="E46" s="204"/>
      <c r="F46" s="204"/>
      <c r="G46" s="205"/>
      <c r="H46" s="206"/>
      <c r="I46" s="143"/>
      <c r="J46" s="143"/>
      <c r="K46" s="144"/>
    </row>
  </sheetData>
  <mergeCells count="31">
    <mergeCell ref="D45:G45"/>
    <mergeCell ref="D35:G35"/>
    <mergeCell ref="D37:G37"/>
    <mergeCell ref="D44:G44"/>
    <mergeCell ref="D40:G40"/>
    <mergeCell ref="D41:G41"/>
    <mergeCell ref="D42:G42"/>
    <mergeCell ref="D43:G43"/>
    <mergeCell ref="D36:G36"/>
    <mergeCell ref="D38:G38"/>
    <mergeCell ref="D24:G24"/>
    <mergeCell ref="D26:G26"/>
    <mergeCell ref="D27:G27"/>
    <mergeCell ref="D31:G31"/>
    <mergeCell ref="A20:N20"/>
    <mergeCell ref="A22:A23"/>
    <mergeCell ref="B22:B23"/>
    <mergeCell ref="C22:C23"/>
    <mergeCell ref="D22:G23"/>
    <mergeCell ref="H22:H23"/>
    <mergeCell ref="I22:J22"/>
    <mergeCell ref="K22:K23"/>
    <mergeCell ref="D25:G25"/>
    <mergeCell ref="D34:G34"/>
    <mergeCell ref="A34:A36"/>
    <mergeCell ref="A27:A32"/>
    <mergeCell ref="D32:G32"/>
    <mergeCell ref="D30:G30"/>
    <mergeCell ref="D28:G28"/>
    <mergeCell ref="D29:G29"/>
    <mergeCell ref="D33:G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59"/>
  <sheetViews>
    <sheetView workbookViewId="0">
      <selection activeCell="P19" sqref="P19"/>
    </sheetView>
  </sheetViews>
  <sheetFormatPr defaultRowHeight="12.75"/>
  <cols>
    <col min="1" max="1" width="5" style="4" bestFit="1" customWidth="1"/>
    <col min="2" max="2" width="7" style="4" bestFit="1" customWidth="1"/>
    <col min="3" max="3" width="6.5546875" style="4" bestFit="1" customWidth="1"/>
    <col min="4" max="4" width="3.88671875" style="4" bestFit="1" customWidth="1"/>
    <col min="5" max="5" width="5.6640625" style="4" bestFit="1" customWidth="1"/>
    <col min="6" max="6" width="6.44140625" style="4" bestFit="1" customWidth="1"/>
    <col min="7" max="7" width="7.21875" style="4" bestFit="1" customWidth="1"/>
    <col min="8" max="8" width="9.44140625" style="4" bestFit="1" customWidth="1"/>
    <col min="9" max="9" width="8.5546875" style="4" bestFit="1" customWidth="1"/>
    <col min="10" max="10" width="10.44140625" style="4" bestFit="1" customWidth="1"/>
    <col min="11" max="11" width="9" style="4" bestFit="1" customWidth="1"/>
    <col min="12" max="12" width="7.44140625" style="4" bestFit="1" customWidth="1"/>
    <col min="13" max="14" width="9" style="4" bestFit="1" customWidth="1"/>
    <col min="15" max="15" width="10" style="4" customWidth="1"/>
    <col min="16" max="16" width="3.21875" style="4" bestFit="1" customWidth="1"/>
    <col min="17" max="17" width="1.44140625" style="4" bestFit="1" customWidth="1"/>
    <col min="18" max="18" width="6.6640625" style="4" customWidth="1"/>
    <col min="19" max="19" width="5.6640625" style="4" bestFit="1" customWidth="1"/>
    <col min="20" max="21" width="4.6640625" style="4" bestFit="1" customWidth="1"/>
    <col min="22" max="22" width="8" style="4" bestFit="1" customWidth="1"/>
    <col min="23" max="23" width="5.6640625" style="4" bestFit="1" customWidth="1"/>
    <col min="24" max="24" width="9.33203125" style="4" bestFit="1" customWidth="1"/>
    <col min="25" max="25" width="4.6640625" style="4" bestFit="1" customWidth="1"/>
    <col min="26" max="26" width="2.109375" style="4" bestFit="1" customWidth="1"/>
    <col min="27" max="27" width="4" style="4" bestFit="1" customWidth="1"/>
    <col min="28" max="28" width="2.109375" style="4" bestFit="1" customWidth="1"/>
    <col min="29" max="16384" width="8.88671875" style="4"/>
  </cols>
  <sheetData>
    <row r="1" spans="1:29" ht="12.75" customHeight="1">
      <c r="A1" s="84"/>
      <c r="B1" s="48" t="s">
        <v>4</v>
      </c>
      <c r="C1" s="47" t="s">
        <v>5</v>
      </c>
      <c r="D1" s="48" t="s">
        <v>6</v>
      </c>
      <c r="E1" s="46" t="s">
        <v>7</v>
      </c>
      <c r="F1" s="48" t="s">
        <v>2</v>
      </c>
      <c r="G1" s="47" t="s">
        <v>8</v>
      </c>
      <c r="H1" s="48" t="s">
        <v>9</v>
      </c>
      <c r="I1" s="46" t="s">
        <v>10</v>
      </c>
      <c r="J1" s="48" t="s">
        <v>11</v>
      </c>
      <c r="K1" s="47" t="s">
        <v>12</v>
      </c>
      <c r="L1" s="48" t="s">
        <v>13</v>
      </c>
      <c r="M1" s="46" t="s">
        <v>14</v>
      </c>
      <c r="N1" s="304" t="s">
        <v>3</v>
      </c>
      <c r="O1" s="304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>
        <v>0.3</v>
      </c>
      <c r="J2" s="70"/>
      <c r="K2" s="70"/>
      <c r="L2" s="70"/>
      <c r="M2" s="70"/>
      <c r="N2" s="70">
        <f t="shared" ref="N2:N17" si="0">SUM(B2:M2)</f>
        <v>0.3</v>
      </c>
      <c r="O2" s="72">
        <f>AC2</f>
        <v>7</v>
      </c>
      <c r="Q2" s="292"/>
      <c r="R2" s="292"/>
      <c r="S2" s="292"/>
      <c r="T2" s="292"/>
      <c r="U2" s="292"/>
      <c r="V2" s="292"/>
      <c r="W2" s="292"/>
      <c r="X2" s="292">
        <v>7</v>
      </c>
      <c r="Y2" s="292"/>
      <c r="Z2" s="292"/>
      <c r="AA2" s="292"/>
      <c r="AB2" s="292"/>
      <c r="AC2" s="297">
        <f>SUM(Q2:AB2)</f>
        <v>7</v>
      </c>
    </row>
    <row r="3" spans="1:29">
      <c r="A3" s="91">
        <v>1999</v>
      </c>
      <c r="B3" s="5"/>
      <c r="C3" s="5"/>
      <c r="D3" s="5"/>
      <c r="E3" s="5"/>
      <c r="F3" s="5"/>
      <c r="G3" s="5"/>
      <c r="H3" s="5"/>
      <c r="I3" s="5">
        <v>0.05</v>
      </c>
      <c r="J3" s="5">
        <v>16.37</v>
      </c>
      <c r="K3" s="5"/>
      <c r="L3" s="5"/>
      <c r="M3" s="5"/>
      <c r="N3" s="70">
        <f t="shared" si="0"/>
        <v>16.420000000000002</v>
      </c>
      <c r="O3" s="72">
        <f t="shared" ref="O3:O17" si="1">AC3</f>
        <v>314</v>
      </c>
      <c r="Q3" s="292"/>
      <c r="R3" s="292"/>
      <c r="S3" s="292"/>
      <c r="T3" s="292"/>
      <c r="U3" s="292"/>
      <c r="V3" s="292"/>
      <c r="W3" s="292"/>
      <c r="X3" s="292">
        <v>1</v>
      </c>
      <c r="Y3" s="292">
        <v>313</v>
      </c>
      <c r="Z3" s="292"/>
      <c r="AA3" s="292"/>
      <c r="AB3" s="292"/>
      <c r="AC3" s="297">
        <f t="shared" ref="AC3:AC17" si="2">SUM(Q3:AB3)</f>
        <v>314</v>
      </c>
    </row>
    <row r="4" spans="1:29">
      <c r="A4" s="3">
        <v>2000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0">
        <f t="shared" si="0"/>
        <v>0</v>
      </c>
      <c r="O4" s="72">
        <f t="shared" si="1"/>
        <v>0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7">
        <f t="shared" si="2"/>
        <v>0</v>
      </c>
    </row>
    <row r="5" spans="1:29">
      <c r="A5" s="3">
        <v>2001</v>
      </c>
      <c r="B5" s="5"/>
      <c r="C5" s="5">
        <v>22.74</v>
      </c>
      <c r="D5" s="5"/>
      <c r="E5" s="5"/>
      <c r="F5" s="5"/>
      <c r="G5" s="5"/>
      <c r="H5" s="5">
        <v>160.80000000000001</v>
      </c>
      <c r="I5" s="5"/>
      <c r="J5" s="5"/>
      <c r="K5" s="5"/>
      <c r="L5" s="5"/>
      <c r="M5" s="5"/>
      <c r="N5" s="70">
        <f t="shared" si="0"/>
        <v>183.54000000000002</v>
      </c>
      <c r="O5" s="72">
        <f t="shared" si="1"/>
        <v>2661</v>
      </c>
      <c r="Q5" s="292"/>
      <c r="R5" s="292">
        <v>345</v>
      </c>
      <c r="S5" s="292"/>
      <c r="T5" s="292"/>
      <c r="U5" s="292"/>
      <c r="V5" s="292"/>
      <c r="W5" s="292">
        <v>2316</v>
      </c>
      <c r="X5" s="292"/>
      <c r="Y5" s="292"/>
      <c r="Z5" s="292"/>
      <c r="AA5" s="292"/>
      <c r="AB5" s="292"/>
      <c r="AC5" s="297">
        <f t="shared" si="2"/>
        <v>2661</v>
      </c>
    </row>
    <row r="6" spans="1:29" ht="11.25" customHeight="1">
      <c r="A6" s="3">
        <v>2002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0">
        <f t="shared" si="0"/>
        <v>0</v>
      </c>
      <c r="O6" s="72">
        <f t="shared" si="1"/>
        <v>0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7">
        <f t="shared" si="2"/>
        <v>0</v>
      </c>
    </row>
    <row r="7" spans="1:29">
      <c r="A7" s="3">
        <v>2003</v>
      </c>
      <c r="B7" s="86"/>
      <c r="C7" s="86"/>
      <c r="D7" s="86"/>
      <c r="E7" s="86"/>
      <c r="F7" s="86"/>
      <c r="G7" s="86">
        <v>1.38</v>
      </c>
      <c r="H7" s="86">
        <v>2.99</v>
      </c>
      <c r="I7" s="86"/>
      <c r="J7" s="86"/>
      <c r="K7" s="86"/>
      <c r="L7" s="86">
        <v>4.22</v>
      </c>
      <c r="M7" s="86"/>
      <c r="N7" s="70">
        <f t="shared" si="0"/>
        <v>8.59</v>
      </c>
      <c r="O7" s="72">
        <f t="shared" si="1"/>
        <v>95</v>
      </c>
      <c r="Q7" s="292"/>
      <c r="R7" s="292"/>
      <c r="S7" s="292"/>
      <c r="T7" s="292"/>
      <c r="U7" s="292"/>
      <c r="V7" s="291">
        <v>13</v>
      </c>
      <c r="W7" s="292">
        <v>35</v>
      </c>
      <c r="X7" s="292"/>
      <c r="Y7" s="292"/>
      <c r="Z7" s="292"/>
      <c r="AA7" s="292">
        <v>47</v>
      </c>
      <c r="AB7" s="292"/>
      <c r="AC7" s="297">
        <f t="shared" si="2"/>
        <v>95</v>
      </c>
    </row>
    <row r="8" spans="1:29">
      <c r="A8" s="3">
        <v>2004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70">
        <f t="shared" si="0"/>
        <v>0</v>
      </c>
      <c r="O8" s="72">
        <f t="shared" si="1"/>
        <v>0</v>
      </c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7">
        <f t="shared" si="2"/>
        <v>0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0">
        <f t="shared" si="0"/>
        <v>0</v>
      </c>
      <c r="O9" s="7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/>
      <c r="G10" s="5">
        <v>48.82</v>
      </c>
      <c r="H10" s="5"/>
      <c r="I10" s="5"/>
      <c r="J10" s="5"/>
      <c r="K10" s="5"/>
      <c r="L10" s="5"/>
      <c r="M10" s="5"/>
      <c r="N10" s="70">
        <f t="shared" si="0"/>
        <v>48.82</v>
      </c>
      <c r="O10" s="72">
        <f t="shared" si="1"/>
        <v>421</v>
      </c>
      <c r="Q10" s="292"/>
      <c r="R10" s="292"/>
      <c r="S10" s="292"/>
      <c r="T10" s="292"/>
      <c r="U10" s="292"/>
      <c r="V10" s="292">
        <v>421</v>
      </c>
      <c r="W10" s="292"/>
      <c r="X10" s="292"/>
      <c r="Y10" s="292"/>
      <c r="Z10" s="292"/>
      <c r="AA10" s="292"/>
      <c r="AB10" s="292"/>
      <c r="AC10" s="297">
        <f t="shared" si="2"/>
        <v>421</v>
      </c>
    </row>
    <row r="11" spans="1:29">
      <c r="A11" s="3">
        <v>2007</v>
      </c>
      <c r="B11" s="5"/>
      <c r="C11" s="5"/>
      <c r="D11" s="5"/>
      <c r="E11" s="5">
        <v>2.79</v>
      </c>
      <c r="F11" s="5"/>
      <c r="G11" s="5">
        <v>173.49</v>
      </c>
      <c r="H11" s="5"/>
      <c r="I11" s="5"/>
      <c r="J11" s="5"/>
      <c r="K11" s="5"/>
      <c r="L11" s="5"/>
      <c r="M11" s="5"/>
      <c r="N11" s="70">
        <f t="shared" si="0"/>
        <v>176.28</v>
      </c>
      <c r="O11" s="72">
        <f t="shared" si="1"/>
        <v>1356</v>
      </c>
      <c r="Q11" s="292"/>
      <c r="R11" s="292"/>
      <c r="S11" s="292"/>
      <c r="T11" s="292">
        <v>22</v>
      </c>
      <c r="U11" s="292"/>
      <c r="V11" s="292">
        <v>1334</v>
      </c>
      <c r="W11" s="292"/>
      <c r="X11" s="292"/>
      <c r="Y11" s="292"/>
      <c r="Z11" s="292"/>
      <c r="AA11" s="292"/>
      <c r="AB11" s="292"/>
      <c r="AC11" s="297">
        <f t="shared" si="2"/>
        <v>1356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7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0">
        <f t="shared" si="0"/>
        <v>0</v>
      </c>
      <c r="O13" s="72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3">
        <v>2010</v>
      </c>
      <c r="B14" s="5"/>
      <c r="C14" s="5"/>
      <c r="D14" s="5"/>
      <c r="E14" s="5"/>
      <c r="F14" s="5">
        <v>40.46</v>
      </c>
      <c r="G14" s="5"/>
      <c r="H14" s="5"/>
      <c r="I14" s="5"/>
      <c r="J14" s="5"/>
      <c r="K14" s="5"/>
      <c r="L14" s="5"/>
      <c r="M14" s="5"/>
      <c r="N14" s="70">
        <f t="shared" si="0"/>
        <v>40.46</v>
      </c>
      <c r="O14" s="72">
        <f t="shared" si="1"/>
        <v>230</v>
      </c>
      <c r="Q14" s="291"/>
      <c r="R14" s="291"/>
      <c r="S14" s="291"/>
      <c r="T14" s="291"/>
      <c r="U14" s="291">
        <v>230</v>
      </c>
      <c r="V14" s="291"/>
      <c r="W14" s="291"/>
      <c r="X14" s="291"/>
      <c r="Y14" s="291"/>
      <c r="Z14" s="291"/>
      <c r="AA14" s="291"/>
      <c r="AB14" s="291"/>
      <c r="AC14" s="301">
        <f t="shared" si="2"/>
        <v>230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7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 t="shared" si="0"/>
        <v>0</v>
      </c>
      <c r="O16" s="7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 t="shared" si="0"/>
        <v>0</v>
      </c>
      <c r="O17" s="7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474.41</v>
      </c>
      <c r="O18" s="132">
        <f>SUM(O2:O17)</f>
        <v>5084</v>
      </c>
    </row>
    <row r="19" spans="1:29">
      <c r="O19" s="406">
        <v>6402</v>
      </c>
    </row>
    <row r="20" spans="1:29" ht="15.75" customHeight="1">
      <c r="A20" s="576" t="s">
        <v>266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298" t="s">
        <v>302</v>
      </c>
    </row>
    <row r="21" spans="1:29" ht="1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257">
        <v>46062</v>
      </c>
    </row>
    <row r="23" spans="1:29">
      <c r="A23" s="4">
        <v>2003</v>
      </c>
      <c r="B23" s="602">
        <v>2944</v>
      </c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</row>
    <row r="24" spans="1:29">
      <c r="R24" s="286"/>
      <c r="S24" s="287"/>
      <c r="T24" s="288" t="s">
        <v>443</v>
      </c>
      <c r="U24" s="287"/>
      <c r="V24" s="287" t="s">
        <v>3</v>
      </c>
      <c r="W24" s="287"/>
      <c r="X24" s="287" t="s">
        <v>444</v>
      </c>
    </row>
    <row r="25" spans="1:29">
      <c r="R25" s="289" t="s">
        <v>445</v>
      </c>
      <c r="S25" s="290">
        <v>5555</v>
      </c>
      <c r="T25" s="291">
        <v>444</v>
      </c>
      <c r="U25" s="292"/>
      <c r="V25" s="292">
        <f>S25*T25</f>
        <v>2466420</v>
      </c>
      <c r="W25" s="1"/>
      <c r="X25" s="291">
        <f>O19*V25/N18</f>
        <v>33283490.735861383</v>
      </c>
    </row>
    <row r="26" spans="1:29">
      <c r="R26" s="289" t="s">
        <v>446</v>
      </c>
      <c r="S26" s="291">
        <v>5555</v>
      </c>
      <c r="T26" s="291">
        <v>222</v>
      </c>
      <c r="U26" s="292"/>
      <c r="V26" s="292">
        <f>S26*T26</f>
        <v>1233210</v>
      </c>
      <c r="W26" s="292"/>
      <c r="X26" s="291">
        <v>33333333</v>
      </c>
    </row>
    <row r="27" spans="1:29">
      <c r="A27" s="577" t="s">
        <v>46</v>
      </c>
      <c r="B27" s="577" t="s">
        <v>49</v>
      </c>
      <c r="C27" s="579" t="s">
        <v>56</v>
      </c>
      <c r="D27" s="581" t="s">
        <v>52</v>
      </c>
      <c r="E27" s="582"/>
      <c r="F27" s="582"/>
      <c r="G27" s="583"/>
      <c r="H27" s="587" t="s">
        <v>57</v>
      </c>
      <c r="I27" s="588" t="s">
        <v>53</v>
      </c>
      <c r="J27" s="589"/>
      <c r="K27" s="577" t="s">
        <v>48</v>
      </c>
      <c r="R27" s="289" t="s">
        <v>447</v>
      </c>
      <c r="S27" s="291">
        <v>5555</v>
      </c>
      <c r="T27" s="291">
        <v>111</v>
      </c>
      <c r="U27" s="292"/>
      <c r="V27" s="292">
        <f>S27*T27</f>
        <v>616605</v>
      </c>
      <c r="W27" s="292"/>
      <c r="X27" s="291">
        <v>44444444</v>
      </c>
    </row>
    <row r="28" spans="1:29">
      <c r="A28" s="578"/>
      <c r="B28" s="578"/>
      <c r="C28" s="580"/>
      <c r="D28" s="584"/>
      <c r="E28" s="585"/>
      <c r="F28" s="585"/>
      <c r="G28" s="586"/>
      <c r="H28" s="587"/>
      <c r="I28" s="3" t="s">
        <v>51</v>
      </c>
      <c r="J28" s="61" t="s">
        <v>47</v>
      </c>
      <c r="K28" s="578"/>
      <c r="R28" s="293"/>
      <c r="S28" s="294"/>
      <c r="T28" s="292"/>
      <c r="U28" s="292"/>
      <c r="V28" s="292">
        <f t="shared" ref="V28" si="3">SUM(V25:V27)</f>
        <v>4316235</v>
      </c>
      <c r="W28" s="292"/>
      <c r="X28" s="291">
        <f>SUM(X25:X27)</f>
        <v>111061267.73586139</v>
      </c>
    </row>
    <row r="29" spans="1:29" ht="13.5" thickBot="1">
      <c r="A29" s="169">
        <v>1998</v>
      </c>
      <c r="B29" s="145">
        <v>44074</v>
      </c>
      <c r="C29" s="146">
        <v>9</v>
      </c>
      <c r="D29" s="561" t="s">
        <v>58</v>
      </c>
      <c r="E29" s="562"/>
      <c r="F29" s="562"/>
      <c r="G29" s="563"/>
      <c r="H29" s="147">
        <v>10564.93</v>
      </c>
      <c r="I29" s="148"/>
      <c r="J29" s="148"/>
      <c r="K29" s="170">
        <v>0.3</v>
      </c>
      <c r="L29" s="171"/>
      <c r="R29" s="7"/>
    </row>
    <row r="30" spans="1:29">
      <c r="A30" s="558">
        <v>1999</v>
      </c>
      <c r="B30" s="614">
        <v>45146</v>
      </c>
      <c r="C30" s="629">
        <v>596</v>
      </c>
      <c r="D30" s="622" t="s">
        <v>54</v>
      </c>
      <c r="E30" s="623"/>
      <c r="F30" s="623"/>
      <c r="G30" s="624"/>
      <c r="H30" s="620">
        <v>20779.669999999998</v>
      </c>
      <c r="I30" s="165">
        <v>135.11000000000001</v>
      </c>
      <c r="J30" s="165">
        <v>135.07</v>
      </c>
      <c r="K30" s="165">
        <f t="shared" ref="K30:K31" si="4">I30-J30</f>
        <v>4.0000000000020464E-2</v>
      </c>
      <c r="L30" s="172"/>
      <c r="R30" s="7"/>
    </row>
    <row r="31" spans="1:29">
      <c r="A31" s="559"/>
      <c r="B31" s="615"/>
      <c r="C31" s="628"/>
      <c r="D31" s="564"/>
      <c r="E31" s="565"/>
      <c r="F31" s="565"/>
      <c r="G31" s="566"/>
      <c r="H31" s="616"/>
      <c r="I31" s="60">
        <v>25.98</v>
      </c>
      <c r="J31" s="60">
        <v>25.97</v>
      </c>
      <c r="K31" s="60">
        <f t="shared" si="4"/>
        <v>1.0000000000001563E-2</v>
      </c>
      <c r="L31" s="173">
        <f>K30+K31</f>
        <v>5.0000000000022027E-2</v>
      </c>
      <c r="R31" s="7"/>
    </row>
    <row r="32" spans="1:29">
      <c r="A32" s="559"/>
      <c r="B32" s="604">
        <v>45172</v>
      </c>
      <c r="C32" s="606">
        <v>622</v>
      </c>
      <c r="D32" s="608" t="s">
        <v>54</v>
      </c>
      <c r="E32" s="609"/>
      <c r="F32" s="609"/>
      <c r="G32" s="610"/>
      <c r="H32" s="551">
        <v>234.78</v>
      </c>
      <c r="I32" s="60">
        <v>15.26</v>
      </c>
      <c r="J32" s="60">
        <v>1.53</v>
      </c>
      <c r="K32" s="60">
        <f t="shared" ref="K32:K33" si="5">I32-J32</f>
        <v>13.73</v>
      </c>
      <c r="L32" s="174"/>
      <c r="R32" s="7"/>
    </row>
    <row r="33" spans="1:18" ht="13.5" thickBot="1">
      <c r="A33" s="560"/>
      <c r="B33" s="605"/>
      <c r="C33" s="607"/>
      <c r="D33" s="611"/>
      <c r="E33" s="612"/>
      <c r="F33" s="612"/>
      <c r="G33" s="613"/>
      <c r="H33" s="552"/>
      <c r="I33" s="148">
        <v>2.93</v>
      </c>
      <c r="J33" s="148">
        <v>0.28999999999999998</v>
      </c>
      <c r="K33" s="148">
        <f t="shared" si="5"/>
        <v>2.64</v>
      </c>
      <c r="L33" s="175">
        <f>K32+K33</f>
        <v>16.37</v>
      </c>
      <c r="R33" s="7"/>
    </row>
    <row r="34" spans="1:18">
      <c r="A34" s="601">
        <v>2001</v>
      </c>
      <c r="B34" s="614">
        <v>45324</v>
      </c>
      <c r="C34" s="629">
        <v>1472</v>
      </c>
      <c r="D34" s="622" t="s">
        <v>209</v>
      </c>
      <c r="E34" s="623"/>
      <c r="F34" s="623"/>
      <c r="G34" s="624"/>
      <c r="H34" s="620">
        <v>16056.57</v>
      </c>
      <c r="I34" s="165">
        <v>123.44</v>
      </c>
      <c r="J34" s="165">
        <v>104.37</v>
      </c>
      <c r="K34" s="165">
        <f t="shared" ref="K34:K59" si="6">I34-J34</f>
        <v>19.069999999999993</v>
      </c>
      <c r="L34" s="172"/>
    </row>
    <row r="35" spans="1:18">
      <c r="A35" s="599"/>
      <c r="B35" s="615"/>
      <c r="C35" s="628"/>
      <c r="D35" s="564"/>
      <c r="E35" s="565"/>
      <c r="F35" s="565"/>
      <c r="G35" s="566"/>
      <c r="H35" s="616"/>
      <c r="I35" s="60">
        <v>23.74</v>
      </c>
      <c r="J35" s="60">
        <v>20.07</v>
      </c>
      <c r="K35" s="60">
        <f t="shared" si="6"/>
        <v>3.6699999999999982</v>
      </c>
      <c r="L35" s="173">
        <f>K34+K35</f>
        <v>22.739999999999991</v>
      </c>
    </row>
    <row r="36" spans="1:18">
      <c r="A36" s="599"/>
      <c r="B36" s="637">
        <v>45137</v>
      </c>
      <c r="C36" s="638">
        <v>1672</v>
      </c>
      <c r="D36" s="639" t="s">
        <v>64</v>
      </c>
      <c r="E36" s="640"/>
      <c r="F36" s="640"/>
      <c r="G36" s="641"/>
      <c r="H36" s="621">
        <v>2300.69</v>
      </c>
      <c r="I36" s="143">
        <v>149.82</v>
      </c>
      <c r="J36" s="143">
        <v>14.95</v>
      </c>
      <c r="K36" s="143">
        <f t="shared" ref="K36:K37" si="7">I36-J36</f>
        <v>134.87</v>
      </c>
      <c r="L36" s="174"/>
    </row>
    <row r="37" spans="1:18" ht="13.5" thickBot="1">
      <c r="A37" s="600"/>
      <c r="B37" s="605"/>
      <c r="C37" s="607"/>
      <c r="D37" s="611"/>
      <c r="E37" s="612"/>
      <c r="F37" s="612"/>
      <c r="G37" s="613"/>
      <c r="H37" s="552"/>
      <c r="I37" s="148">
        <v>28.81</v>
      </c>
      <c r="J37" s="148">
        <v>2.88</v>
      </c>
      <c r="K37" s="148">
        <f t="shared" si="7"/>
        <v>25.93</v>
      </c>
      <c r="L37" s="175">
        <f>K36+K37</f>
        <v>160.80000000000001</v>
      </c>
    </row>
    <row r="38" spans="1:18" ht="15" customHeight="1">
      <c r="A38" s="558">
        <v>2003</v>
      </c>
      <c r="B38" s="614">
        <v>45449</v>
      </c>
      <c r="C38" s="629">
        <v>2925</v>
      </c>
      <c r="D38" s="622" t="s">
        <v>54</v>
      </c>
      <c r="E38" s="623"/>
      <c r="F38" s="623"/>
      <c r="G38" s="624"/>
      <c r="H38" s="643">
        <v>26139.72</v>
      </c>
      <c r="I38" s="165">
        <v>171.07</v>
      </c>
      <c r="J38" s="165">
        <v>169.91</v>
      </c>
      <c r="K38" s="327">
        <f t="shared" si="6"/>
        <v>1.1599999999999966</v>
      </c>
      <c r="L38" s="172"/>
    </row>
    <row r="39" spans="1:18">
      <c r="A39" s="559"/>
      <c r="B39" s="615"/>
      <c r="C39" s="628"/>
      <c r="D39" s="564"/>
      <c r="E39" s="565"/>
      <c r="F39" s="565"/>
      <c r="G39" s="566"/>
      <c r="H39" s="578"/>
      <c r="I39" s="143">
        <v>32.89</v>
      </c>
      <c r="J39" s="143">
        <v>32.67</v>
      </c>
      <c r="K39" s="313">
        <f t="shared" si="6"/>
        <v>0.21999999999999886</v>
      </c>
      <c r="L39" s="179">
        <f>K38+K39</f>
        <v>1.3799999999999955</v>
      </c>
    </row>
    <row r="40" spans="1:18">
      <c r="A40" s="559"/>
      <c r="B40" s="314">
        <v>45114</v>
      </c>
      <c r="C40" s="81">
        <v>2981</v>
      </c>
      <c r="D40" s="642" t="s">
        <v>54</v>
      </c>
      <c r="E40" s="642"/>
      <c r="F40" s="642"/>
      <c r="G40" s="642"/>
      <c r="H40" s="318">
        <v>3999.68</v>
      </c>
      <c r="I40" s="60">
        <v>7.99</v>
      </c>
      <c r="J40" s="60">
        <v>5</v>
      </c>
      <c r="K40" s="94">
        <f t="shared" ref="K40" si="8">I40-J40</f>
        <v>2.99</v>
      </c>
      <c r="L40" s="174"/>
    </row>
    <row r="41" spans="1:18">
      <c r="A41" s="559"/>
      <c r="B41" s="604">
        <v>45245</v>
      </c>
      <c r="C41" s="606">
        <v>3463</v>
      </c>
      <c r="D41" s="608" t="s">
        <v>54</v>
      </c>
      <c r="E41" s="609"/>
      <c r="F41" s="609"/>
      <c r="G41" s="610"/>
      <c r="H41" s="551">
        <v>8282.39</v>
      </c>
      <c r="I41" s="60">
        <v>57.38</v>
      </c>
      <c r="J41" s="60">
        <v>53.84</v>
      </c>
      <c r="K41" s="60">
        <f t="shared" ref="K41:K42" si="9">I41-J41</f>
        <v>3.5399999999999991</v>
      </c>
      <c r="L41" s="174"/>
    </row>
    <row r="42" spans="1:18" ht="13.5" thickBot="1">
      <c r="A42" s="560"/>
      <c r="B42" s="605"/>
      <c r="C42" s="607"/>
      <c r="D42" s="611"/>
      <c r="E42" s="612"/>
      <c r="F42" s="612"/>
      <c r="G42" s="613"/>
      <c r="H42" s="552"/>
      <c r="I42" s="148">
        <v>11.03</v>
      </c>
      <c r="J42" s="148">
        <v>10.35</v>
      </c>
      <c r="K42" s="148">
        <f t="shared" si="9"/>
        <v>0.67999999999999972</v>
      </c>
      <c r="L42" s="175">
        <f>K41+K42</f>
        <v>4.2199999999999989</v>
      </c>
    </row>
    <row r="43" spans="1:18" ht="13.5" thickBot="1">
      <c r="A43" s="332">
        <v>2004</v>
      </c>
      <c r="B43" s="176"/>
      <c r="C43" s="333"/>
      <c r="D43" s="617"/>
      <c r="E43" s="618"/>
      <c r="F43" s="618"/>
      <c r="G43" s="619"/>
      <c r="H43" s="395"/>
      <c r="I43" s="334"/>
      <c r="J43" s="334"/>
      <c r="K43" s="334">
        <f t="shared" si="6"/>
        <v>0</v>
      </c>
      <c r="L43" s="178"/>
    </row>
    <row r="44" spans="1:18">
      <c r="A44" s="8"/>
      <c r="B44" s="141"/>
      <c r="C44" s="142"/>
      <c r="D44" s="564"/>
      <c r="E44" s="565"/>
      <c r="F44" s="565"/>
      <c r="G44" s="566"/>
      <c r="H44" s="316"/>
      <c r="I44" s="143"/>
      <c r="J44" s="143"/>
      <c r="K44" s="143">
        <f t="shared" ref="K44:K47" si="10">I44-J44</f>
        <v>0</v>
      </c>
    </row>
    <row r="45" spans="1:18">
      <c r="A45" s="8"/>
      <c r="B45" s="141"/>
      <c r="C45" s="142"/>
      <c r="D45" s="564"/>
      <c r="E45" s="565"/>
      <c r="F45" s="565"/>
      <c r="G45" s="566"/>
      <c r="H45" s="316"/>
      <c r="I45" s="143"/>
      <c r="J45" s="143"/>
      <c r="K45" s="143">
        <f t="shared" si="10"/>
        <v>0</v>
      </c>
    </row>
    <row r="46" spans="1:18">
      <c r="A46" s="8"/>
      <c r="B46" s="141"/>
      <c r="C46" s="142"/>
      <c r="D46" s="564"/>
      <c r="E46" s="565"/>
      <c r="F46" s="565"/>
      <c r="G46" s="566"/>
      <c r="H46" s="316"/>
      <c r="I46" s="143"/>
      <c r="J46" s="143"/>
      <c r="K46" s="143">
        <f t="shared" si="10"/>
        <v>0</v>
      </c>
    </row>
    <row r="47" spans="1:18">
      <c r="A47" s="8"/>
      <c r="B47" s="141"/>
      <c r="C47" s="142"/>
      <c r="D47" s="564"/>
      <c r="E47" s="565"/>
      <c r="F47" s="565"/>
      <c r="G47" s="566"/>
      <c r="H47" s="316"/>
      <c r="I47" s="143"/>
      <c r="J47" s="143"/>
      <c r="K47" s="143">
        <f t="shared" si="10"/>
        <v>0</v>
      </c>
    </row>
    <row r="48" spans="1:18">
      <c r="A48" s="625">
        <v>2006</v>
      </c>
      <c r="B48" s="604">
        <v>45091</v>
      </c>
      <c r="C48" s="606">
        <v>6084</v>
      </c>
      <c r="D48" s="608" t="s">
        <v>54</v>
      </c>
      <c r="E48" s="609"/>
      <c r="F48" s="609"/>
      <c r="G48" s="610"/>
      <c r="H48" s="551">
        <v>32957.300000000003</v>
      </c>
      <c r="I48" s="60">
        <v>255.17</v>
      </c>
      <c r="J48" s="60">
        <v>214.22</v>
      </c>
      <c r="K48" s="60">
        <f t="shared" si="6"/>
        <v>40.949999999999989</v>
      </c>
    </row>
    <row r="49" spans="1:14">
      <c r="A49" s="626"/>
      <c r="B49" s="615"/>
      <c r="C49" s="628"/>
      <c r="D49" s="564"/>
      <c r="E49" s="565"/>
      <c r="F49" s="565"/>
      <c r="G49" s="566"/>
      <c r="H49" s="616"/>
      <c r="I49" s="60">
        <v>49.07</v>
      </c>
      <c r="J49" s="60">
        <v>41.2</v>
      </c>
      <c r="K49" s="60">
        <f t="shared" si="6"/>
        <v>7.8699999999999974</v>
      </c>
      <c r="L49" s="98">
        <f>K48+K49</f>
        <v>48.819999999999986</v>
      </c>
    </row>
    <row r="50" spans="1:14">
      <c r="A50" s="3"/>
      <c r="B50" s="80"/>
      <c r="C50" s="81"/>
      <c r="D50" s="95"/>
      <c r="E50" s="96"/>
      <c r="F50" s="96"/>
      <c r="G50" s="97"/>
      <c r="H50" s="79"/>
      <c r="I50" s="60"/>
      <c r="J50" s="60"/>
      <c r="K50" s="60"/>
    </row>
    <row r="51" spans="1:14">
      <c r="A51" s="627">
        <v>2007</v>
      </c>
      <c r="B51" s="604">
        <v>45041</v>
      </c>
      <c r="C51" s="606">
        <v>6870</v>
      </c>
      <c r="D51" s="608" t="s">
        <v>58</v>
      </c>
      <c r="E51" s="609"/>
      <c r="F51" s="609"/>
      <c r="G51" s="610"/>
      <c r="H51" s="551">
        <v>10483.299999999999</v>
      </c>
      <c r="I51" s="60">
        <v>70.48</v>
      </c>
      <c r="J51" s="60">
        <v>68.14</v>
      </c>
      <c r="K51" s="100">
        <f t="shared" ref="K51:K52" si="11">I51-J51</f>
        <v>2.3400000000000034</v>
      </c>
      <c r="L51" s="174"/>
    </row>
    <row r="52" spans="1:14">
      <c r="A52" s="559"/>
      <c r="B52" s="615"/>
      <c r="C52" s="628"/>
      <c r="D52" s="564"/>
      <c r="E52" s="565"/>
      <c r="F52" s="565"/>
      <c r="G52" s="566"/>
      <c r="H52" s="616"/>
      <c r="I52" s="60">
        <v>13.55</v>
      </c>
      <c r="J52" s="60">
        <v>13.1</v>
      </c>
      <c r="K52" s="60">
        <f t="shared" si="11"/>
        <v>0.45000000000000107</v>
      </c>
      <c r="L52" s="173">
        <f>K51+K52</f>
        <v>2.7900000000000045</v>
      </c>
    </row>
    <row r="53" spans="1:14">
      <c r="A53" s="559"/>
      <c r="B53" s="604">
        <v>45092</v>
      </c>
      <c r="C53" s="606">
        <v>7054</v>
      </c>
      <c r="D53" s="608" t="s">
        <v>54</v>
      </c>
      <c r="E53" s="609"/>
      <c r="F53" s="609"/>
      <c r="G53" s="610"/>
      <c r="H53" s="551">
        <v>16913.93</v>
      </c>
      <c r="I53" s="60">
        <v>255.45</v>
      </c>
      <c r="J53" s="60">
        <v>109.94</v>
      </c>
      <c r="K53" s="100">
        <f t="shared" ref="K53:K54" si="12">I53-J53</f>
        <v>145.51</v>
      </c>
      <c r="L53" s="174"/>
    </row>
    <row r="54" spans="1:14" ht="13.5" thickBot="1">
      <c r="A54" s="560"/>
      <c r="B54" s="605"/>
      <c r="C54" s="607"/>
      <c r="D54" s="611"/>
      <c r="E54" s="612"/>
      <c r="F54" s="612"/>
      <c r="G54" s="613"/>
      <c r="H54" s="552"/>
      <c r="I54" s="148">
        <v>49.12</v>
      </c>
      <c r="J54" s="148">
        <v>21.14</v>
      </c>
      <c r="K54" s="148">
        <f t="shared" si="12"/>
        <v>27.979999999999997</v>
      </c>
      <c r="L54" s="175">
        <f>K53+K54</f>
        <v>173.48999999999998</v>
      </c>
    </row>
    <row r="55" spans="1:14">
      <c r="A55" s="599">
        <v>2010</v>
      </c>
      <c r="B55" s="645">
        <v>45052</v>
      </c>
      <c r="C55" s="647">
        <v>9431</v>
      </c>
      <c r="D55" s="649" t="s">
        <v>58</v>
      </c>
      <c r="E55" s="650"/>
      <c r="F55" s="650"/>
      <c r="G55" s="651"/>
      <c r="H55" s="546">
        <v>6897.1</v>
      </c>
      <c r="I55" s="70">
        <v>59.26</v>
      </c>
      <c r="J55" s="70">
        <v>44.83</v>
      </c>
      <c r="K55" s="143">
        <f t="shared" ref="K55:K56" si="13">I55-J55</f>
        <v>14.43</v>
      </c>
      <c r="L55" s="174"/>
      <c r="N55" s="137" t="s">
        <v>173</v>
      </c>
    </row>
    <row r="56" spans="1:14">
      <c r="A56" s="599"/>
      <c r="B56" s="646"/>
      <c r="C56" s="648"/>
      <c r="D56" s="593"/>
      <c r="E56" s="594"/>
      <c r="F56" s="594"/>
      <c r="G56" s="595"/>
      <c r="H56" s="548"/>
      <c r="I56" s="5">
        <v>11.4</v>
      </c>
      <c r="J56" s="5">
        <v>8.6199999999999992</v>
      </c>
      <c r="K56" s="60">
        <f t="shared" si="13"/>
        <v>2.7800000000000011</v>
      </c>
      <c r="L56" s="173"/>
      <c r="N56" s="136"/>
    </row>
    <row r="57" spans="1:14">
      <c r="A57" s="599"/>
      <c r="B57" s="630">
        <v>45055</v>
      </c>
      <c r="C57" s="632">
        <v>9432</v>
      </c>
      <c r="D57" s="634" t="s">
        <v>54</v>
      </c>
      <c r="E57" s="635"/>
      <c r="F57" s="635"/>
      <c r="G57" s="636"/>
      <c r="H57" s="644">
        <v>6117.01</v>
      </c>
      <c r="I57" s="5">
        <v>59.26</v>
      </c>
      <c r="J57" s="5">
        <v>39.76</v>
      </c>
      <c r="K57" s="60">
        <f t="shared" ref="K57:K58" si="14">I57-J57</f>
        <v>19.5</v>
      </c>
      <c r="L57" s="174"/>
      <c r="N57" s="137" t="s">
        <v>173</v>
      </c>
    </row>
    <row r="58" spans="1:14" ht="13.5" thickBot="1">
      <c r="A58" s="600"/>
      <c r="B58" s="631"/>
      <c r="C58" s="633"/>
      <c r="D58" s="596"/>
      <c r="E58" s="597"/>
      <c r="F58" s="597"/>
      <c r="G58" s="598"/>
      <c r="H58" s="542"/>
      <c r="I58" s="193">
        <v>11.4</v>
      </c>
      <c r="J58" s="193">
        <v>7.65</v>
      </c>
      <c r="K58" s="148">
        <f t="shared" si="14"/>
        <v>3.75</v>
      </c>
      <c r="L58" s="175">
        <f>SUM(K55:K58)</f>
        <v>40.46</v>
      </c>
    </row>
    <row r="59" spans="1:14">
      <c r="A59" s="8"/>
      <c r="B59" s="141"/>
      <c r="C59" s="154"/>
      <c r="D59" s="564"/>
      <c r="E59" s="565"/>
      <c r="F59" s="565"/>
      <c r="G59" s="566"/>
      <c r="H59" s="8"/>
      <c r="I59" s="143"/>
      <c r="J59" s="143"/>
      <c r="K59" s="143">
        <f t="shared" si="6"/>
        <v>0</v>
      </c>
    </row>
  </sheetData>
  <mergeCells count="67">
    <mergeCell ref="H38:H39"/>
    <mergeCell ref="H57:H58"/>
    <mergeCell ref="B41:B42"/>
    <mergeCell ref="C41:C42"/>
    <mergeCell ref="B55:B56"/>
    <mergeCell ref="C55:C56"/>
    <mergeCell ref="D55:G56"/>
    <mergeCell ref="H55:H56"/>
    <mergeCell ref="D44:G44"/>
    <mergeCell ref="D45:G45"/>
    <mergeCell ref="D46:G46"/>
    <mergeCell ref="D47:G47"/>
    <mergeCell ref="C30:C31"/>
    <mergeCell ref="B57:B58"/>
    <mergeCell ref="C57:C58"/>
    <mergeCell ref="D57:G58"/>
    <mergeCell ref="B36:B37"/>
    <mergeCell ref="C36:C37"/>
    <mergeCell ref="D36:G37"/>
    <mergeCell ref="B34:B35"/>
    <mergeCell ref="C34:C35"/>
    <mergeCell ref="D34:G35"/>
    <mergeCell ref="D40:G40"/>
    <mergeCell ref="B38:B39"/>
    <mergeCell ref="C38:C39"/>
    <mergeCell ref="D38:G39"/>
    <mergeCell ref="A48:A49"/>
    <mergeCell ref="A51:A54"/>
    <mergeCell ref="A38:A42"/>
    <mergeCell ref="B48:B49"/>
    <mergeCell ref="C48:C49"/>
    <mergeCell ref="B53:B54"/>
    <mergeCell ref="C53:C54"/>
    <mergeCell ref="B51:B52"/>
    <mergeCell ref="C51:C52"/>
    <mergeCell ref="D59:G59"/>
    <mergeCell ref="H27:H28"/>
    <mergeCell ref="D29:G29"/>
    <mergeCell ref="D41:G42"/>
    <mergeCell ref="H41:H42"/>
    <mergeCell ref="H48:H49"/>
    <mergeCell ref="D43:G43"/>
    <mergeCell ref="D48:G49"/>
    <mergeCell ref="H53:H54"/>
    <mergeCell ref="H51:H52"/>
    <mergeCell ref="D51:G52"/>
    <mergeCell ref="D53:G54"/>
    <mergeCell ref="H30:H31"/>
    <mergeCell ref="H36:H37"/>
    <mergeCell ref="H34:H35"/>
    <mergeCell ref="D30:G31"/>
    <mergeCell ref="A55:A58"/>
    <mergeCell ref="A34:A37"/>
    <mergeCell ref="A20:N20"/>
    <mergeCell ref="B23:M23"/>
    <mergeCell ref="A27:A28"/>
    <mergeCell ref="B27:B28"/>
    <mergeCell ref="C27:C28"/>
    <mergeCell ref="D27:G28"/>
    <mergeCell ref="I27:J27"/>
    <mergeCell ref="K27:K28"/>
    <mergeCell ref="B32:B33"/>
    <mergeCell ref="C32:C33"/>
    <mergeCell ref="D32:G33"/>
    <mergeCell ref="H32:H33"/>
    <mergeCell ref="A30:A33"/>
    <mergeCell ref="B30:B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49"/>
  <sheetViews>
    <sheetView workbookViewId="0">
      <pane ySplit="1" topLeftCell="A2" activePane="bottomLeft" state="frozen"/>
      <selection pane="bottomLeft" activeCell="E54" sqref="E54"/>
    </sheetView>
  </sheetViews>
  <sheetFormatPr defaultRowHeight="12.75"/>
  <cols>
    <col min="1" max="1" width="5" style="4" bestFit="1" customWidth="1"/>
    <col min="2" max="2" width="5.44140625" style="4" customWidth="1"/>
    <col min="3" max="3" width="8.44140625" style="4" bestFit="1" customWidth="1"/>
    <col min="4" max="4" width="7.21875" style="4" bestFit="1" customWidth="1"/>
    <col min="5" max="6" width="6.44140625" style="4" bestFit="1" customWidth="1"/>
    <col min="7" max="7" width="7.44140625" style="4" bestFit="1" customWidth="1"/>
    <col min="8" max="8" width="5.6640625" style="4" bestFit="1" customWidth="1"/>
    <col min="9" max="10" width="6.44140625" style="4" bestFit="1" customWidth="1"/>
    <col min="11" max="11" width="4.88671875" style="4" bestFit="1" customWidth="1"/>
    <col min="12" max="12" width="10.44140625" style="4" bestFit="1" customWidth="1"/>
    <col min="13" max="13" width="5.6640625" style="4" bestFit="1" customWidth="1"/>
    <col min="14" max="14" width="8" style="4" customWidth="1"/>
    <col min="15" max="15" width="9.44140625" style="4" customWidth="1"/>
    <col min="16" max="16" width="3.21875" style="4" bestFit="1" customWidth="1"/>
    <col min="17" max="17" width="4.5546875" style="4" customWidth="1"/>
    <col min="18" max="18" width="5.5546875" style="4" customWidth="1"/>
    <col min="19" max="19" width="6.109375" style="4" customWidth="1"/>
    <col min="20" max="20" width="5.6640625" style="4" bestFit="1" customWidth="1"/>
    <col min="21" max="21" width="4.6640625" style="4" bestFit="1" customWidth="1"/>
    <col min="22" max="22" width="4.6640625" style="4" customWidth="1"/>
    <col min="23" max="23" width="8" style="4" bestFit="1" customWidth="1"/>
    <col min="24" max="24" width="4.6640625" style="4" bestFit="1" customWidth="1"/>
    <col min="25" max="25" width="9.33203125" style="4" bestFit="1" customWidth="1"/>
    <col min="26" max="26" width="2.109375" style="4" bestFit="1" customWidth="1"/>
    <col min="27" max="27" width="4" style="4" bestFit="1" customWidth="1"/>
    <col min="28" max="28" width="2.109375" style="4" bestFit="1" customWidth="1"/>
    <col min="29" max="29" width="5.6640625" style="4" bestFit="1" customWidth="1"/>
    <col min="30" max="16384" width="8.88671875" style="4"/>
  </cols>
  <sheetData>
    <row r="1" spans="1:29" ht="12.75" customHeight="1">
      <c r="A1" s="84"/>
      <c r="B1" s="48" t="s">
        <v>4</v>
      </c>
      <c r="C1" s="47" t="s">
        <v>5</v>
      </c>
      <c r="D1" s="48" t="s">
        <v>6</v>
      </c>
      <c r="E1" s="46" t="s">
        <v>7</v>
      </c>
      <c r="F1" s="48" t="s">
        <v>2</v>
      </c>
      <c r="G1" s="47" t="s">
        <v>8</v>
      </c>
      <c r="H1" s="48" t="s">
        <v>9</v>
      </c>
      <c r="I1" s="46" t="s">
        <v>10</v>
      </c>
      <c r="J1" s="48" t="s">
        <v>11</v>
      </c>
      <c r="K1" s="47" t="s">
        <v>12</v>
      </c>
      <c r="L1" s="48" t="s">
        <v>13</v>
      </c>
      <c r="M1" s="46" t="s">
        <v>14</v>
      </c>
      <c r="N1" s="85" t="s">
        <v>3</v>
      </c>
      <c r="O1" s="304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0"/>
      <c r="K2" s="70"/>
      <c r="L2" s="70"/>
      <c r="M2" s="70"/>
      <c r="N2" s="70">
        <f t="shared" ref="N2:N17" si="0">SUM(B2:M2)</f>
        <v>0</v>
      </c>
      <c r="O2" s="72">
        <f>AC2</f>
        <v>0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7">
        <f>SUM(Q2:AB2)</f>
        <v>0</v>
      </c>
    </row>
    <row r="3" spans="1:29">
      <c r="A3" s="3">
        <v>1999</v>
      </c>
      <c r="B3" s="5"/>
      <c r="C3" s="5"/>
      <c r="D3" s="5">
        <v>133.51</v>
      </c>
      <c r="E3" s="5"/>
      <c r="F3" s="5"/>
      <c r="G3" s="5"/>
      <c r="H3" s="5"/>
      <c r="I3" s="5"/>
      <c r="J3" s="5"/>
      <c r="K3" s="5"/>
      <c r="L3" s="5"/>
      <c r="M3" s="5"/>
      <c r="N3" s="70">
        <f t="shared" si="0"/>
        <v>133.51</v>
      </c>
      <c r="O3" s="72">
        <f t="shared" ref="O3:O17" si="1">AC3</f>
        <v>2451</v>
      </c>
      <c r="Q3" s="292"/>
      <c r="R3" s="292"/>
      <c r="S3" s="292">
        <v>2451</v>
      </c>
      <c r="T3" s="292"/>
      <c r="U3" s="292"/>
      <c r="V3" s="292"/>
      <c r="W3" s="292"/>
      <c r="X3" s="292"/>
      <c r="Y3" s="292"/>
      <c r="Z3" s="292"/>
      <c r="AA3" s="292"/>
      <c r="AB3" s="292"/>
      <c r="AC3" s="297">
        <f t="shared" ref="AC3:AC17" si="2">SUM(Q3:AB3)</f>
        <v>2451</v>
      </c>
    </row>
    <row r="4" spans="1:29">
      <c r="A4" s="3">
        <v>2000</v>
      </c>
      <c r="B4" s="5"/>
      <c r="C4" s="5"/>
      <c r="D4" s="5">
        <v>36.93</v>
      </c>
      <c r="E4" s="5"/>
      <c r="F4" s="5"/>
      <c r="G4" s="5">
        <v>10.050000000000001</v>
      </c>
      <c r="H4" s="5"/>
      <c r="I4" s="5"/>
      <c r="J4" s="5">
        <v>8.32</v>
      </c>
      <c r="K4" s="5"/>
      <c r="L4" s="5"/>
      <c r="M4" s="5"/>
      <c r="N4" s="70">
        <f t="shared" si="0"/>
        <v>55.300000000000004</v>
      </c>
      <c r="O4" s="72">
        <f t="shared" si="1"/>
        <v>959</v>
      </c>
      <c r="Q4" s="292"/>
      <c r="R4" s="292"/>
      <c r="S4" s="292">
        <v>652</v>
      </c>
      <c r="T4" s="292"/>
      <c r="U4" s="292"/>
      <c r="V4" s="292">
        <v>171</v>
      </c>
      <c r="W4" s="292"/>
      <c r="X4" s="292"/>
      <c r="Y4" s="292">
        <v>136</v>
      </c>
      <c r="Z4" s="292"/>
      <c r="AA4" s="292"/>
      <c r="AB4" s="292"/>
      <c r="AC4" s="297">
        <f t="shared" si="2"/>
        <v>959</v>
      </c>
    </row>
    <row r="5" spans="1:29">
      <c r="A5" s="3">
        <v>2001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0">
        <f t="shared" si="0"/>
        <v>0</v>
      </c>
      <c r="O5" s="72">
        <f t="shared" si="1"/>
        <v>0</v>
      </c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7">
        <f t="shared" si="2"/>
        <v>0</v>
      </c>
    </row>
    <row r="6" spans="1:29">
      <c r="A6" s="3">
        <v>2002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0">
        <f t="shared" si="0"/>
        <v>0</v>
      </c>
      <c r="O6" s="72">
        <f t="shared" si="1"/>
        <v>0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7">
        <f t="shared" si="2"/>
        <v>0</v>
      </c>
    </row>
    <row r="7" spans="1:29">
      <c r="A7" s="3">
        <v>2003</v>
      </c>
      <c r="B7" s="86"/>
      <c r="C7" s="86"/>
      <c r="D7" s="86">
        <v>1.03</v>
      </c>
      <c r="E7" s="86"/>
      <c r="F7" s="86"/>
      <c r="G7" s="86"/>
      <c r="H7" s="86"/>
      <c r="I7" s="86"/>
      <c r="J7" s="86">
        <v>0.28999999999999998</v>
      </c>
      <c r="K7" s="86"/>
      <c r="L7" s="86"/>
      <c r="M7" s="86"/>
      <c r="N7" s="70">
        <f t="shared" si="0"/>
        <v>1.32</v>
      </c>
      <c r="O7" s="72">
        <f t="shared" si="1"/>
        <v>16</v>
      </c>
      <c r="Q7" s="292"/>
      <c r="R7" s="292"/>
      <c r="S7" s="291">
        <v>13</v>
      </c>
      <c r="T7" s="292"/>
      <c r="U7" s="292"/>
      <c r="V7" s="292"/>
      <c r="W7" s="292"/>
      <c r="X7" s="292"/>
      <c r="Y7" s="291">
        <v>3</v>
      </c>
      <c r="Z7" s="292"/>
      <c r="AA7" s="292"/>
      <c r="AB7" s="292"/>
      <c r="AC7" s="297">
        <f t="shared" si="2"/>
        <v>16</v>
      </c>
    </row>
    <row r="8" spans="1:29">
      <c r="A8" s="3">
        <v>2004</v>
      </c>
      <c r="B8" s="86"/>
      <c r="C8" s="86">
        <v>39.56</v>
      </c>
      <c r="D8" s="86">
        <v>2.61</v>
      </c>
      <c r="E8" s="86"/>
      <c r="F8" s="86"/>
      <c r="G8" s="86"/>
      <c r="H8" s="86"/>
      <c r="I8" s="86">
        <v>52.38</v>
      </c>
      <c r="J8" s="86">
        <v>52.38</v>
      </c>
      <c r="K8" s="86"/>
      <c r="L8" s="86">
        <v>1.03</v>
      </c>
      <c r="M8" s="86"/>
      <c r="N8" s="70">
        <f t="shared" si="0"/>
        <v>147.96</v>
      </c>
      <c r="O8" s="72">
        <f t="shared" si="1"/>
        <v>1580</v>
      </c>
      <c r="Q8" s="292"/>
      <c r="R8" s="292">
        <v>439</v>
      </c>
      <c r="S8" s="292">
        <v>29</v>
      </c>
      <c r="T8" s="292"/>
      <c r="U8" s="292"/>
      <c r="V8" s="292"/>
      <c r="W8" s="292"/>
      <c r="X8" s="292">
        <v>553</v>
      </c>
      <c r="Y8" s="292">
        <v>548</v>
      </c>
      <c r="Z8" s="292"/>
      <c r="AA8" s="292">
        <v>11</v>
      </c>
      <c r="AB8" s="292"/>
      <c r="AC8" s="297">
        <f t="shared" si="2"/>
        <v>1580</v>
      </c>
    </row>
    <row r="9" spans="1:29">
      <c r="A9" s="3">
        <v>2005</v>
      </c>
      <c r="B9" s="5"/>
      <c r="C9" s="5"/>
      <c r="D9" s="5"/>
      <c r="E9" s="5"/>
      <c r="F9" s="5"/>
      <c r="G9" s="5"/>
      <c r="H9" s="5">
        <v>0.28999999999999998</v>
      </c>
      <c r="I9" s="5"/>
      <c r="J9" s="5"/>
      <c r="K9" s="5"/>
      <c r="L9" s="5"/>
      <c r="M9" s="5">
        <v>6.51</v>
      </c>
      <c r="N9" s="70">
        <f t="shared" si="0"/>
        <v>6.8</v>
      </c>
      <c r="O9" s="7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>
        <v>4.6500000000000004</v>
      </c>
      <c r="G10" s="5"/>
      <c r="H10" s="5"/>
      <c r="I10" s="5"/>
      <c r="J10" s="5"/>
      <c r="K10" s="5"/>
      <c r="L10" s="5"/>
      <c r="M10" s="5"/>
      <c r="N10" s="70">
        <f t="shared" si="0"/>
        <v>4.6500000000000004</v>
      </c>
      <c r="O10" s="72">
        <f t="shared" si="1"/>
        <v>41</v>
      </c>
      <c r="Q10" s="292"/>
      <c r="R10" s="292"/>
      <c r="S10" s="292"/>
      <c r="T10" s="292"/>
      <c r="U10" s="292">
        <v>41</v>
      </c>
      <c r="V10" s="292"/>
      <c r="W10" s="292"/>
      <c r="X10" s="292"/>
      <c r="Y10" s="292"/>
      <c r="Z10" s="292"/>
      <c r="AA10" s="292"/>
      <c r="AB10" s="292"/>
      <c r="AC10" s="297">
        <f t="shared" si="2"/>
        <v>41</v>
      </c>
    </row>
    <row r="11" spans="1:29">
      <c r="A11" s="3">
        <v>2007</v>
      </c>
      <c r="B11" s="5"/>
      <c r="C11" s="5">
        <v>1.23</v>
      </c>
      <c r="D11" s="5"/>
      <c r="E11" s="5">
        <v>85.79</v>
      </c>
      <c r="F11" s="5">
        <v>18.899999999999999</v>
      </c>
      <c r="G11" s="5"/>
      <c r="H11" s="5">
        <v>1.23</v>
      </c>
      <c r="I11" s="5"/>
      <c r="J11" s="5"/>
      <c r="K11" s="5"/>
      <c r="L11" s="5"/>
      <c r="M11" s="5"/>
      <c r="N11" s="70">
        <f t="shared" si="0"/>
        <v>107.15000000000002</v>
      </c>
      <c r="O11" s="72">
        <f t="shared" si="1"/>
        <v>853</v>
      </c>
      <c r="Q11" s="292"/>
      <c r="R11" s="292">
        <v>10</v>
      </c>
      <c r="S11" s="292"/>
      <c r="T11" s="292">
        <v>684</v>
      </c>
      <c r="U11" s="292">
        <v>149</v>
      </c>
      <c r="V11" s="292"/>
      <c r="W11" s="292">
        <v>10</v>
      </c>
      <c r="X11" s="292"/>
      <c r="Y11" s="292"/>
      <c r="Z11" s="292"/>
      <c r="AA11" s="292"/>
      <c r="AB11" s="292"/>
      <c r="AC11" s="297">
        <f t="shared" si="2"/>
        <v>853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7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0">
        <f t="shared" si="0"/>
        <v>0</v>
      </c>
      <c r="O13" s="72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3">
        <v>2010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0">
        <f t="shared" si="0"/>
        <v>0</v>
      </c>
      <c r="O14" s="72">
        <f t="shared" si="1"/>
        <v>0</v>
      </c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301">
        <f t="shared" si="2"/>
        <v>0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7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 t="shared" si="0"/>
        <v>0</v>
      </c>
      <c r="O16" s="7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 t="shared" si="0"/>
        <v>0</v>
      </c>
      <c r="O17" s="7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456.69000000000005</v>
      </c>
      <c r="O18" s="407">
        <v>7381</v>
      </c>
    </row>
    <row r="19" spans="1:29">
      <c r="O19" s="257">
        <v>46063</v>
      </c>
    </row>
    <row r="20" spans="1:29" ht="15.75" customHeight="1">
      <c r="A20" s="576" t="s">
        <v>184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298" t="s">
        <v>302</v>
      </c>
      <c r="S20" s="286"/>
      <c r="T20" s="287"/>
      <c r="U20" s="288" t="s">
        <v>443</v>
      </c>
      <c r="V20" s="287"/>
      <c r="W20" s="287" t="s">
        <v>3</v>
      </c>
      <c r="X20" s="287"/>
      <c r="Y20" s="287" t="s">
        <v>444</v>
      </c>
    </row>
    <row r="21" spans="1:29">
      <c r="A21" s="576"/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S21" s="289" t="s">
        <v>445</v>
      </c>
      <c r="T21" s="290">
        <v>5555</v>
      </c>
      <c r="U21" s="291">
        <v>333</v>
      </c>
      <c r="V21" s="292"/>
      <c r="W21" s="292">
        <f>T21*U21</f>
        <v>1849815</v>
      </c>
      <c r="X21" s="1"/>
      <c r="Y21" s="291">
        <f>O18*W21/N18</f>
        <v>29896613.709518488</v>
      </c>
    </row>
    <row r="22" spans="1:29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S22" s="289" t="s">
        <v>446</v>
      </c>
      <c r="T22" s="291">
        <v>5555</v>
      </c>
      <c r="U22" s="291">
        <v>111</v>
      </c>
      <c r="V22" s="292"/>
      <c r="W22" s="292">
        <f>T22*U22</f>
        <v>616605</v>
      </c>
      <c r="X22" s="292"/>
      <c r="Y22" s="291">
        <v>33333333</v>
      </c>
    </row>
    <row r="23" spans="1:29">
      <c r="A23" s="577" t="s">
        <v>46</v>
      </c>
      <c r="B23" s="577" t="s">
        <v>170</v>
      </c>
      <c r="C23" s="579" t="s">
        <v>56</v>
      </c>
      <c r="D23" s="658" t="s">
        <v>52</v>
      </c>
      <c r="E23" s="659"/>
      <c r="F23" s="659"/>
      <c r="G23" s="659"/>
      <c r="H23" s="659"/>
      <c r="I23" s="659"/>
      <c r="J23" s="659"/>
      <c r="K23" s="660"/>
      <c r="L23" s="588" t="s">
        <v>53</v>
      </c>
      <c r="M23" s="589"/>
      <c r="N23" s="577" t="s">
        <v>48</v>
      </c>
      <c r="S23" s="289" t="s">
        <v>447</v>
      </c>
      <c r="T23" s="291">
        <v>5555</v>
      </c>
      <c r="U23" s="291">
        <v>44</v>
      </c>
      <c r="V23" s="292"/>
      <c r="W23" s="292">
        <f>T23*U23</f>
        <v>244420</v>
      </c>
      <c r="X23" s="292"/>
      <c r="Y23" s="291">
        <v>44444444</v>
      </c>
    </row>
    <row r="24" spans="1:29">
      <c r="A24" s="578"/>
      <c r="B24" s="578"/>
      <c r="C24" s="580"/>
      <c r="D24" s="655" t="s">
        <v>15</v>
      </c>
      <c r="E24" s="656"/>
      <c r="F24" s="656"/>
      <c r="G24" s="657"/>
      <c r="H24" s="658" t="s">
        <v>50</v>
      </c>
      <c r="I24" s="659"/>
      <c r="J24" s="659"/>
      <c r="K24" s="660"/>
      <c r="L24" s="3" t="s">
        <v>51</v>
      </c>
      <c r="M24" s="61" t="s">
        <v>47</v>
      </c>
      <c r="N24" s="578"/>
      <c r="S24" s="293"/>
      <c r="T24" s="294"/>
      <c r="U24" s="292"/>
      <c r="V24" s="292"/>
      <c r="W24" s="292">
        <f t="shared" ref="W24" si="3">SUM(W21:W23)</f>
        <v>2710840</v>
      </c>
      <c r="X24" s="292"/>
      <c r="Y24" s="291">
        <f>SUM(Y21:Y23)</f>
        <v>107674390.70951849</v>
      </c>
    </row>
    <row r="25" spans="1:29">
      <c r="A25" s="3"/>
      <c r="B25" s="80"/>
      <c r="C25" s="81"/>
      <c r="D25" s="101"/>
      <c r="E25" s="102"/>
      <c r="F25" s="102"/>
      <c r="G25" s="103"/>
      <c r="H25" s="105"/>
      <c r="I25" s="106"/>
      <c r="J25" s="106"/>
      <c r="K25" s="107"/>
      <c r="L25" s="60"/>
      <c r="M25" s="60"/>
      <c r="N25" s="60">
        <f t="shared" ref="N25" si="4">L25-M25</f>
        <v>0</v>
      </c>
      <c r="O25" s="113"/>
      <c r="P25" s="104"/>
      <c r="Q25" s="104"/>
      <c r="Z25" s="104"/>
      <c r="AA25" s="104"/>
    </row>
    <row r="26" spans="1:29" ht="13.5" thickBot="1">
      <c r="A26" s="195">
        <v>1999</v>
      </c>
      <c r="B26" s="145">
        <v>44988</v>
      </c>
      <c r="C26" s="146">
        <v>324</v>
      </c>
      <c r="D26" s="590" t="s">
        <v>54</v>
      </c>
      <c r="E26" s="591"/>
      <c r="F26" s="591"/>
      <c r="G26" s="592"/>
      <c r="H26" s="661" t="s">
        <v>180</v>
      </c>
      <c r="I26" s="662"/>
      <c r="J26" s="662"/>
      <c r="K26" s="663"/>
      <c r="L26" s="148">
        <v>133.94999999999999</v>
      </c>
      <c r="M26" s="148">
        <v>0.44</v>
      </c>
      <c r="N26" s="170">
        <f t="shared" ref="N26:N36" si="5">L26-M26</f>
        <v>133.51</v>
      </c>
      <c r="O26" s="312"/>
      <c r="R26" s="136"/>
    </row>
    <row r="27" spans="1:29">
      <c r="A27" s="601">
        <v>2000</v>
      </c>
      <c r="B27" s="182">
        <v>44988</v>
      </c>
      <c r="C27" s="186">
        <v>903</v>
      </c>
      <c r="D27" s="573" t="s">
        <v>54</v>
      </c>
      <c r="E27" s="574"/>
      <c r="F27" s="574"/>
      <c r="G27" s="575"/>
      <c r="H27" s="664" t="s">
        <v>201</v>
      </c>
      <c r="I27" s="665"/>
      <c r="J27" s="665"/>
      <c r="K27" s="666"/>
      <c r="L27" s="73">
        <v>37.369999999999997</v>
      </c>
      <c r="M27" s="73">
        <v>0.44</v>
      </c>
      <c r="N27" s="196">
        <f t="shared" si="5"/>
        <v>36.93</v>
      </c>
      <c r="Q27" s="331" t="s">
        <v>113</v>
      </c>
      <c r="R27" s="331"/>
      <c r="S27" s="331"/>
      <c r="T27" s="331"/>
    </row>
    <row r="28" spans="1:29">
      <c r="A28" s="599"/>
      <c r="B28" s="80">
        <v>45083</v>
      </c>
      <c r="C28" s="81">
        <v>1015</v>
      </c>
      <c r="D28" s="642" t="s">
        <v>58</v>
      </c>
      <c r="E28" s="642"/>
      <c r="F28" s="642"/>
      <c r="G28" s="642"/>
      <c r="H28" s="682" t="s">
        <v>96</v>
      </c>
      <c r="I28" s="682"/>
      <c r="J28" s="682"/>
      <c r="K28" s="682"/>
      <c r="L28" s="5">
        <v>9.5399999999999991</v>
      </c>
      <c r="M28" s="5">
        <v>1.47</v>
      </c>
      <c r="N28" s="118">
        <f t="shared" si="5"/>
        <v>8.0699999999999985</v>
      </c>
      <c r="Q28" s="1"/>
    </row>
    <row r="29" spans="1:29">
      <c r="A29" s="599"/>
      <c r="B29" s="80">
        <v>36688</v>
      </c>
      <c r="C29" s="81">
        <v>1015</v>
      </c>
      <c r="D29" s="642" t="s">
        <v>58</v>
      </c>
      <c r="E29" s="642"/>
      <c r="F29" s="642"/>
      <c r="G29" s="642"/>
      <c r="H29" s="678" t="s">
        <v>203</v>
      </c>
      <c r="I29" s="678"/>
      <c r="J29" s="678"/>
      <c r="K29" s="678"/>
      <c r="L29" s="5">
        <v>2.42</v>
      </c>
      <c r="M29" s="5">
        <v>0.44</v>
      </c>
      <c r="N29" s="5">
        <f t="shared" si="5"/>
        <v>1.98</v>
      </c>
      <c r="O29" s="93">
        <f>SUM(N28:N29)</f>
        <v>10.049999999999999</v>
      </c>
    </row>
    <row r="30" spans="1:29" ht="13.5" thickBot="1">
      <c r="A30" s="600"/>
      <c r="B30" s="145">
        <v>45178</v>
      </c>
      <c r="C30" s="146">
        <v>1209</v>
      </c>
      <c r="D30" s="561" t="s">
        <v>207</v>
      </c>
      <c r="E30" s="562"/>
      <c r="F30" s="562"/>
      <c r="G30" s="563"/>
      <c r="H30" s="675" t="s">
        <v>478</v>
      </c>
      <c r="I30" s="676"/>
      <c r="J30" s="676"/>
      <c r="K30" s="677"/>
      <c r="L30" s="193">
        <v>8.76</v>
      </c>
      <c r="M30" s="193">
        <v>0.44</v>
      </c>
      <c r="N30" s="197">
        <f t="shared" si="5"/>
        <v>8.32</v>
      </c>
      <c r="O30" s="312"/>
      <c r="S30" s="4" t="s">
        <v>479</v>
      </c>
    </row>
    <row r="31" spans="1:29">
      <c r="A31" s="673">
        <v>2003</v>
      </c>
      <c r="B31" s="182">
        <v>44988</v>
      </c>
      <c r="C31" s="217">
        <v>2703</v>
      </c>
      <c r="D31" s="573" t="s">
        <v>456</v>
      </c>
      <c r="E31" s="574"/>
      <c r="F31" s="574"/>
      <c r="G31" s="575"/>
      <c r="H31" s="679" t="s">
        <v>528</v>
      </c>
      <c r="I31" s="680"/>
      <c r="J31" s="680"/>
      <c r="K31" s="681"/>
      <c r="L31" s="165">
        <v>1.47</v>
      </c>
      <c r="M31" s="165">
        <v>0.44</v>
      </c>
      <c r="N31" s="185">
        <f t="shared" si="5"/>
        <v>1.03</v>
      </c>
      <c r="O31" s="172"/>
    </row>
    <row r="32" spans="1:29" ht="13.5" thickBot="1">
      <c r="A32" s="674"/>
      <c r="B32" s="223">
        <v>45544</v>
      </c>
      <c r="C32" s="224">
        <v>3231</v>
      </c>
      <c r="D32" s="590" t="s">
        <v>244</v>
      </c>
      <c r="E32" s="591"/>
      <c r="F32" s="591"/>
      <c r="G32" s="592"/>
      <c r="H32" s="670" t="s">
        <v>99</v>
      </c>
      <c r="I32" s="671"/>
      <c r="J32" s="671"/>
      <c r="K32" s="672"/>
      <c r="L32" s="193">
        <v>0.73</v>
      </c>
      <c r="M32" s="193">
        <v>0.44</v>
      </c>
      <c r="N32" s="170">
        <f t="shared" si="5"/>
        <v>0.28999999999999998</v>
      </c>
      <c r="O32" s="171"/>
    </row>
    <row r="33" spans="1:19">
      <c r="A33" s="601">
        <v>2004</v>
      </c>
      <c r="B33" s="393" t="s">
        <v>476</v>
      </c>
      <c r="C33" s="72">
        <v>3649</v>
      </c>
      <c r="D33" s="593" t="s">
        <v>244</v>
      </c>
      <c r="E33" s="594"/>
      <c r="F33" s="594"/>
      <c r="G33" s="595"/>
      <c r="H33" s="584" t="s">
        <v>99</v>
      </c>
      <c r="I33" s="585"/>
      <c r="J33" s="585"/>
      <c r="K33" s="586"/>
      <c r="L33" s="70">
        <v>0.73</v>
      </c>
      <c r="M33" s="70">
        <v>0.44</v>
      </c>
      <c r="N33" s="241">
        <f t="shared" si="5"/>
        <v>0.28999999999999998</v>
      </c>
    </row>
    <row r="34" spans="1:19" ht="15" customHeight="1">
      <c r="A34" s="599"/>
      <c r="B34" s="91" t="s">
        <v>476</v>
      </c>
      <c r="C34" s="132">
        <v>3655</v>
      </c>
      <c r="D34" s="567" t="s">
        <v>97</v>
      </c>
      <c r="E34" s="568"/>
      <c r="F34" s="568"/>
      <c r="G34" s="569"/>
      <c r="H34" s="652" t="s">
        <v>478</v>
      </c>
      <c r="I34" s="653"/>
      <c r="J34" s="653"/>
      <c r="K34" s="654"/>
      <c r="L34" s="5">
        <v>39.71</v>
      </c>
      <c r="M34" s="5">
        <v>0.44</v>
      </c>
      <c r="N34" s="118">
        <f t="shared" si="5"/>
        <v>39.270000000000003</v>
      </c>
      <c r="O34" s="93">
        <f>N33+N34</f>
        <v>39.56</v>
      </c>
      <c r="S34" s="4" t="s">
        <v>477</v>
      </c>
    </row>
    <row r="35" spans="1:19" ht="15" customHeight="1">
      <c r="A35" s="599"/>
      <c r="B35" s="91" t="s">
        <v>485</v>
      </c>
      <c r="C35" s="132">
        <v>3738</v>
      </c>
      <c r="D35" s="567" t="s">
        <v>54</v>
      </c>
      <c r="E35" s="568"/>
      <c r="F35" s="568"/>
      <c r="G35" s="569"/>
      <c r="H35" s="652" t="s">
        <v>478</v>
      </c>
      <c r="I35" s="653"/>
      <c r="J35" s="653"/>
      <c r="K35" s="654"/>
      <c r="L35" s="5">
        <v>3.05</v>
      </c>
      <c r="M35" s="5">
        <v>0.44</v>
      </c>
      <c r="N35" s="117">
        <f t="shared" si="5"/>
        <v>2.61</v>
      </c>
      <c r="S35" s="4" t="s">
        <v>486</v>
      </c>
    </row>
    <row r="36" spans="1:19" ht="15" customHeight="1">
      <c r="A36" s="599"/>
      <c r="B36" s="91" t="s">
        <v>497</v>
      </c>
      <c r="C36" s="132">
        <v>4104</v>
      </c>
      <c r="D36" s="567" t="s">
        <v>58</v>
      </c>
      <c r="E36" s="568"/>
      <c r="F36" s="568"/>
      <c r="G36" s="569"/>
      <c r="H36" s="667" t="s">
        <v>496</v>
      </c>
      <c r="I36" s="668"/>
      <c r="J36" s="668"/>
      <c r="K36" s="669"/>
      <c r="L36" s="5">
        <v>52.82</v>
      </c>
      <c r="M36" s="5">
        <v>0.44</v>
      </c>
      <c r="N36" s="117">
        <f t="shared" si="5"/>
        <v>52.38</v>
      </c>
    </row>
    <row r="37" spans="1:19" ht="15" customHeight="1">
      <c r="A37" s="599"/>
      <c r="B37" s="91" t="s">
        <v>502</v>
      </c>
      <c r="C37" s="132">
        <v>4192</v>
      </c>
      <c r="D37" s="567" t="s">
        <v>456</v>
      </c>
      <c r="E37" s="568"/>
      <c r="F37" s="568"/>
      <c r="G37" s="569"/>
      <c r="H37" s="667" t="s">
        <v>478</v>
      </c>
      <c r="I37" s="668"/>
      <c r="J37" s="668"/>
      <c r="K37" s="669"/>
      <c r="L37" s="5">
        <v>52.82</v>
      </c>
      <c r="M37" s="5">
        <v>0.44</v>
      </c>
      <c r="N37" s="117">
        <f t="shared" ref="N37:N39" si="6">L37-M37</f>
        <v>52.38</v>
      </c>
      <c r="S37" s="4" t="s">
        <v>503</v>
      </c>
    </row>
    <row r="38" spans="1:19" ht="15.75" customHeight="1" thickBot="1">
      <c r="A38" s="600"/>
      <c r="B38" s="394" t="s">
        <v>516</v>
      </c>
      <c r="C38" s="215">
        <v>4455</v>
      </c>
      <c r="D38" s="590" t="s">
        <v>456</v>
      </c>
      <c r="E38" s="591"/>
      <c r="F38" s="591"/>
      <c r="G38" s="592"/>
      <c r="H38" s="683" t="s">
        <v>478</v>
      </c>
      <c r="I38" s="684"/>
      <c r="J38" s="684"/>
      <c r="K38" s="685"/>
      <c r="L38" s="193">
        <v>1.47</v>
      </c>
      <c r="M38" s="193">
        <v>0.44</v>
      </c>
      <c r="N38" s="197">
        <f t="shared" si="6"/>
        <v>1.03</v>
      </c>
      <c r="O38" s="171"/>
      <c r="S38" s="4" t="s">
        <v>517</v>
      </c>
    </row>
    <row r="39" spans="1:19">
      <c r="A39" s="392">
        <v>2005</v>
      </c>
      <c r="B39" s="239" t="s">
        <v>527</v>
      </c>
      <c r="C39" s="72">
        <v>4924</v>
      </c>
      <c r="D39" s="593" t="s">
        <v>244</v>
      </c>
      <c r="E39" s="594"/>
      <c r="F39" s="594"/>
      <c r="G39" s="595"/>
      <c r="H39" s="584" t="s">
        <v>99</v>
      </c>
      <c r="I39" s="585"/>
      <c r="J39" s="585"/>
      <c r="K39" s="586"/>
      <c r="L39" s="70">
        <v>0.73</v>
      </c>
      <c r="M39" s="70">
        <v>0.44</v>
      </c>
      <c r="N39" s="232">
        <f t="shared" si="6"/>
        <v>0.28999999999999998</v>
      </c>
    </row>
    <row r="40" spans="1:19">
      <c r="A40" s="8"/>
      <c r="B40" s="393" t="s">
        <v>548</v>
      </c>
      <c r="C40" s="72">
        <v>5600</v>
      </c>
      <c r="D40" s="593" t="s">
        <v>58</v>
      </c>
      <c r="E40" s="594"/>
      <c r="F40" s="594"/>
      <c r="G40" s="595"/>
      <c r="H40" s="584" t="s">
        <v>478</v>
      </c>
      <c r="I40" s="585"/>
      <c r="J40" s="585"/>
      <c r="K40" s="586"/>
      <c r="L40" s="70">
        <v>8.34</v>
      </c>
      <c r="M40" s="70">
        <v>1.83</v>
      </c>
      <c r="N40" s="232">
        <f t="shared" ref="N40" si="7">L40-M40</f>
        <v>6.51</v>
      </c>
      <c r="S40" s="4" t="s">
        <v>549</v>
      </c>
    </row>
    <row r="41" spans="1:19">
      <c r="A41" s="8"/>
      <c r="B41" s="8"/>
      <c r="C41" s="154"/>
      <c r="D41" s="461"/>
      <c r="E41" s="462"/>
      <c r="F41" s="462"/>
      <c r="G41" s="463"/>
      <c r="H41" s="464"/>
      <c r="I41" s="465"/>
      <c r="J41" s="465"/>
      <c r="K41" s="466"/>
      <c r="L41" s="143"/>
      <c r="M41" s="143"/>
      <c r="N41" s="144"/>
    </row>
    <row r="42" spans="1:19">
      <c r="A42" s="3"/>
      <c r="B42" s="3"/>
      <c r="C42" s="71"/>
      <c r="D42" s="567"/>
      <c r="E42" s="568"/>
      <c r="F42" s="568"/>
      <c r="G42" s="569"/>
      <c r="H42" s="652"/>
      <c r="I42" s="653"/>
      <c r="J42" s="653"/>
      <c r="K42" s="654"/>
      <c r="L42" s="60"/>
      <c r="M42" s="60"/>
      <c r="N42" s="94"/>
    </row>
    <row r="43" spans="1:19">
      <c r="A43" s="194">
        <v>2006</v>
      </c>
      <c r="B43" s="80">
        <v>45063</v>
      </c>
      <c r="C43" s="81">
        <v>6027</v>
      </c>
      <c r="D43" s="570" t="s">
        <v>58</v>
      </c>
      <c r="E43" s="571"/>
      <c r="F43" s="571"/>
      <c r="G43" s="572"/>
      <c r="H43" s="655" t="s">
        <v>96</v>
      </c>
      <c r="I43" s="656"/>
      <c r="J43" s="656"/>
      <c r="K43" s="657"/>
      <c r="L43" s="60">
        <v>6.48</v>
      </c>
      <c r="M43" s="60">
        <v>1.83</v>
      </c>
      <c r="N43" s="94">
        <f t="shared" ref="N43" si="8">L43-M43</f>
        <v>4.6500000000000004</v>
      </c>
    </row>
    <row r="45" spans="1:19">
      <c r="A45" s="627">
        <v>2007</v>
      </c>
      <c r="B45" s="133">
        <v>44962</v>
      </c>
      <c r="C45" s="134">
        <v>6683</v>
      </c>
      <c r="D45" s="567" t="s">
        <v>96</v>
      </c>
      <c r="E45" s="568"/>
      <c r="F45" s="568"/>
      <c r="G45" s="569"/>
      <c r="H45" s="652" t="s">
        <v>159</v>
      </c>
      <c r="I45" s="653"/>
      <c r="J45" s="653"/>
      <c r="K45" s="654"/>
      <c r="L45" s="5">
        <v>1.83</v>
      </c>
      <c r="M45" s="5">
        <v>0.6</v>
      </c>
      <c r="N45" s="94">
        <f t="shared" ref="N45:N49" si="9">L45-M45</f>
        <v>1.23</v>
      </c>
      <c r="O45" s="179"/>
    </row>
    <row r="46" spans="1:19">
      <c r="A46" s="559"/>
      <c r="B46" s="133">
        <v>45043</v>
      </c>
      <c r="C46" s="134">
        <v>6897</v>
      </c>
      <c r="D46" s="567" t="s">
        <v>54</v>
      </c>
      <c r="E46" s="568"/>
      <c r="F46" s="568"/>
      <c r="G46" s="569"/>
      <c r="H46" s="652" t="s">
        <v>96</v>
      </c>
      <c r="I46" s="653"/>
      <c r="J46" s="653"/>
      <c r="K46" s="654"/>
      <c r="L46" s="5">
        <v>87.62</v>
      </c>
      <c r="M46" s="5">
        <v>1.83</v>
      </c>
      <c r="N46" s="94">
        <f t="shared" si="9"/>
        <v>85.79</v>
      </c>
      <c r="O46" s="179"/>
    </row>
    <row r="47" spans="1:19">
      <c r="A47" s="559"/>
      <c r="B47" s="133">
        <v>45047</v>
      </c>
      <c r="C47" s="134">
        <v>6970</v>
      </c>
      <c r="D47" s="567" t="s">
        <v>58</v>
      </c>
      <c r="E47" s="568"/>
      <c r="F47" s="568"/>
      <c r="G47" s="569"/>
      <c r="H47" s="667" t="s">
        <v>99</v>
      </c>
      <c r="I47" s="668"/>
      <c r="J47" s="668"/>
      <c r="K47" s="669"/>
      <c r="L47" s="5">
        <v>1.44</v>
      </c>
      <c r="M47" s="5">
        <v>0.84</v>
      </c>
      <c r="N47" s="100">
        <f t="shared" si="9"/>
        <v>0.6</v>
      </c>
      <c r="O47" s="179"/>
    </row>
    <row r="48" spans="1:19">
      <c r="A48" s="559"/>
      <c r="B48" s="133">
        <v>45063</v>
      </c>
      <c r="C48" s="134">
        <v>6998</v>
      </c>
      <c r="D48" s="567" t="s">
        <v>97</v>
      </c>
      <c r="E48" s="568"/>
      <c r="F48" s="568"/>
      <c r="G48" s="569"/>
      <c r="H48" s="652" t="s">
        <v>99</v>
      </c>
      <c r="I48" s="653"/>
      <c r="J48" s="653"/>
      <c r="K48" s="654"/>
      <c r="L48" s="5">
        <v>18.899999999999999</v>
      </c>
      <c r="M48" s="5">
        <v>0.6</v>
      </c>
      <c r="N48" s="100">
        <f t="shared" si="9"/>
        <v>18.299999999999997</v>
      </c>
      <c r="O48" s="179">
        <f>N47+N48</f>
        <v>18.899999999999999</v>
      </c>
    </row>
    <row r="49" spans="1:15" ht="13.5" thickBot="1">
      <c r="A49" s="560"/>
      <c r="B49" s="223">
        <v>45124</v>
      </c>
      <c r="C49" s="224">
        <v>7136</v>
      </c>
      <c r="D49" s="590" t="s">
        <v>96</v>
      </c>
      <c r="E49" s="591"/>
      <c r="F49" s="591"/>
      <c r="G49" s="592"/>
      <c r="H49" s="670" t="s">
        <v>99</v>
      </c>
      <c r="I49" s="671"/>
      <c r="J49" s="671"/>
      <c r="K49" s="672"/>
      <c r="L49" s="193">
        <v>1.83</v>
      </c>
      <c r="M49" s="193">
        <v>0.6</v>
      </c>
      <c r="N49" s="170">
        <f t="shared" si="9"/>
        <v>1.23</v>
      </c>
      <c r="O49" s="171"/>
    </row>
  </sheetData>
  <mergeCells count="57">
    <mergeCell ref="A33:A38"/>
    <mergeCell ref="A31:A32"/>
    <mergeCell ref="A27:A30"/>
    <mergeCell ref="D30:G30"/>
    <mergeCell ref="H30:K30"/>
    <mergeCell ref="D29:G29"/>
    <mergeCell ref="H29:K29"/>
    <mergeCell ref="D31:G31"/>
    <mergeCell ref="H31:K31"/>
    <mergeCell ref="H28:K28"/>
    <mergeCell ref="D32:G32"/>
    <mergeCell ref="H32:K32"/>
    <mergeCell ref="D28:G28"/>
    <mergeCell ref="D38:G38"/>
    <mergeCell ref="H38:K38"/>
    <mergeCell ref="H34:K34"/>
    <mergeCell ref="A45:A49"/>
    <mergeCell ref="D45:G45"/>
    <mergeCell ref="H45:K45"/>
    <mergeCell ref="D46:G46"/>
    <mergeCell ref="H46:K46"/>
    <mergeCell ref="D47:G47"/>
    <mergeCell ref="H47:K47"/>
    <mergeCell ref="D48:G48"/>
    <mergeCell ref="H48:K48"/>
    <mergeCell ref="D49:G49"/>
    <mergeCell ref="H49:K49"/>
    <mergeCell ref="D26:G26"/>
    <mergeCell ref="H26:K26"/>
    <mergeCell ref="D27:G27"/>
    <mergeCell ref="H27:K27"/>
    <mergeCell ref="D37:G37"/>
    <mergeCell ref="H33:K33"/>
    <mergeCell ref="H37:K37"/>
    <mergeCell ref="D35:G35"/>
    <mergeCell ref="H35:K35"/>
    <mergeCell ref="D33:G33"/>
    <mergeCell ref="D34:G34"/>
    <mergeCell ref="D36:G36"/>
    <mergeCell ref="H36:K36"/>
    <mergeCell ref="A20:N21"/>
    <mergeCell ref="A23:A24"/>
    <mergeCell ref="B23:B24"/>
    <mergeCell ref="L23:M23"/>
    <mergeCell ref="N23:N24"/>
    <mergeCell ref="C23:C24"/>
    <mergeCell ref="D23:K23"/>
    <mergeCell ref="D24:G24"/>
    <mergeCell ref="H24:K24"/>
    <mergeCell ref="H39:K39"/>
    <mergeCell ref="D42:G42"/>
    <mergeCell ref="H42:K42"/>
    <mergeCell ref="D43:G43"/>
    <mergeCell ref="H43:K43"/>
    <mergeCell ref="D39:G39"/>
    <mergeCell ref="D40:G40"/>
    <mergeCell ref="H40:K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58"/>
  <sheetViews>
    <sheetView workbookViewId="0">
      <pane ySplit="1" topLeftCell="A2" activePane="bottomLeft" state="frozen"/>
      <selection pane="bottomLeft" activeCell="O19" sqref="O19"/>
    </sheetView>
  </sheetViews>
  <sheetFormatPr defaultRowHeight="12.75"/>
  <cols>
    <col min="1" max="1" width="5" style="4" bestFit="1" customWidth="1"/>
    <col min="2" max="2" width="6.88671875" style="4" bestFit="1" customWidth="1"/>
    <col min="3" max="3" width="8" style="4" bestFit="1" customWidth="1"/>
    <col min="4" max="5" width="7.21875" style="4" bestFit="1" customWidth="1"/>
    <col min="6" max="6" width="6.44140625" style="4" bestFit="1" customWidth="1"/>
    <col min="7" max="7" width="8.5546875" style="4" bestFit="1" customWidth="1"/>
    <col min="8" max="8" width="8" style="4" bestFit="1" customWidth="1"/>
    <col min="9" max="9" width="7.21875" style="4" bestFit="1" customWidth="1"/>
    <col min="10" max="11" width="8.88671875" style="4"/>
    <col min="12" max="12" width="9.88671875" style="4" bestFit="1" customWidth="1"/>
    <col min="13" max="13" width="6.44140625" style="4" bestFit="1" customWidth="1"/>
    <col min="14" max="14" width="8.44140625" style="4" bestFit="1" customWidth="1"/>
    <col min="15" max="15" width="7.21875" style="4" bestFit="1" customWidth="1"/>
    <col min="16" max="16" width="7" style="4" customWidth="1"/>
    <col min="17" max="17" width="3.88671875" style="4" customWidth="1"/>
    <col min="18" max="18" width="8.88671875" style="4"/>
    <col min="19" max="19" width="6.33203125" style="4" bestFit="1" customWidth="1"/>
    <col min="20" max="20" width="5.6640625" style="4" customWidth="1"/>
    <col min="21" max="21" width="4.6640625" style="4" bestFit="1" customWidth="1"/>
    <col min="22" max="22" width="9.33203125" style="4" customWidth="1"/>
    <col min="23" max="23" width="2.6640625" style="4" customWidth="1"/>
    <col min="24" max="24" width="9.33203125" style="4" bestFit="1" customWidth="1"/>
    <col min="25" max="25" width="5.6640625" style="4" bestFit="1" customWidth="1"/>
    <col min="26" max="26" width="2.109375" style="4" bestFit="1" customWidth="1"/>
    <col min="27" max="27" width="5.6640625" style="4" bestFit="1" customWidth="1"/>
    <col min="28" max="28" width="4.6640625" style="4" bestFit="1" customWidth="1"/>
    <col min="29" max="29" width="6.33203125" style="4" bestFit="1" customWidth="1"/>
    <col min="30" max="16384" width="8.88671875" style="4"/>
  </cols>
  <sheetData>
    <row r="1" spans="1:29" ht="13.5" thickBot="1">
      <c r="A1" s="66" t="s">
        <v>46</v>
      </c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77" t="s">
        <v>16</v>
      </c>
      <c r="O1" s="304" t="s">
        <v>241</v>
      </c>
      <c r="Q1" s="287">
        <v>1</v>
      </c>
      <c r="R1" s="287">
        <v>2</v>
      </c>
      <c r="S1" s="287">
        <v>3</v>
      </c>
      <c r="T1" s="287">
        <v>4</v>
      </c>
      <c r="U1" s="287">
        <v>5</v>
      </c>
      <c r="V1" s="287">
        <v>6</v>
      </c>
      <c r="W1" s="287">
        <v>7</v>
      </c>
      <c r="X1" s="287">
        <v>8</v>
      </c>
      <c r="Y1" s="287">
        <v>9</v>
      </c>
      <c r="Z1" s="287">
        <v>10</v>
      </c>
      <c r="AA1" s="287">
        <v>11</v>
      </c>
      <c r="AB1" s="287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2"/>
      <c r="K2" s="72"/>
      <c r="L2" s="72"/>
      <c r="M2" s="70">
        <v>30.02</v>
      </c>
      <c r="N2" s="73">
        <f t="shared" ref="N2:N15" si="0">SUM(B2:M2)</f>
        <v>30.02</v>
      </c>
      <c r="O2" s="303">
        <f>AC2</f>
        <v>684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>
        <v>684</v>
      </c>
      <c r="AC2" s="297">
        <f>SUM(Q2:AB2)</f>
        <v>684</v>
      </c>
    </row>
    <row r="3" spans="1:29">
      <c r="A3" s="3">
        <v>1999</v>
      </c>
      <c r="B3" s="5"/>
      <c r="C3" s="5"/>
      <c r="D3" s="5">
        <v>955.24</v>
      </c>
      <c r="E3" s="5"/>
      <c r="F3" s="5"/>
      <c r="G3" s="5"/>
      <c r="H3" s="5"/>
      <c r="I3" s="5"/>
      <c r="J3" s="5"/>
      <c r="K3" s="5"/>
      <c r="L3" s="5"/>
      <c r="M3" s="5"/>
      <c r="N3" s="70">
        <f t="shared" si="0"/>
        <v>955.24</v>
      </c>
      <c r="O3" s="132">
        <f t="shared" ref="O3:O17" si="1">AC3</f>
        <v>20623</v>
      </c>
      <c r="Q3" s="292"/>
      <c r="R3" s="292"/>
      <c r="S3" s="292">
        <v>20623</v>
      </c>
      <c r="T3" s="292"/>
      <c r="U3" s="292"/>
      <c r="V3" s="292"/>
      <c r="W3" s="292"/>
      <c r="X3" s="292"/>
      <c r="Y3" s="292"/>
      <c r="Z3" s="292"/>
      <c r="AA3" s="292"/>
      <c r="AB3" s="292"/>
      <c r="AC3" s="297">
        <f t="shared" ref="AC3:AC17" si="2">SUM(Q3:AB3)</f>
        <v>20623</v>
      </c>
    </row>
    <row r="4" spans="1:29">
      <c r="A4" s="3">
        <v>2000</v>
      </c>
      <c r="B4" s="5"/>
      <c r="C4" s="5"/>
      <c r="D4" s="5">
        <v>321.41000000000003</v>
      </c>
      <c r="E4" s="5"/>
      <c r="F4" s="5"/>
      <c r="G4" s="5">
        <v>11.37</v>
      </c>
      <c r="H4" s="5"/>
      <c r="I4" s="5"/>
      <c r="J4" s="5">
        <v>73.489999999999995</v>
      </c>
      <c r="K4" s="5"/>
      <c r="L4" s="5"/>
      <c r="M4" s="5"/>
      <c r="N4" s="70">
        <f t="shared" si="0"/>
        <v>406.27000000000004</v>
      </c>
      <c r="O4" s="132">
        <f t="shared" si="1"/>
        <v>7071</v>
      </c>
      <c r="Q4" s="292"/>
      <c r="R4" s="292"/>
      <c r="S4" s="292">
        <v>5678</v>
      </c>
      <c r="T4" s="292"/>
      <c r="U4" s="292"/>
      <c r="V4" s="292">
        <v>193</v>
      </c>
      <c r="W4" s="292"/>
      <c r="X4" s="292"/>
      <c r="Y4" s="292">
        <v>1200</v>
      </c>
      <c r="Z4" s="292"/>
      <c r="AA4" s="292"/>
      <c r="AB4" s="292"/>
      <c r="AC4" s="297">
        <f t="shared" si="2"/>
        <v>7071</v>
      </c>
    </row>
    <row r="5" spans="1:29">
      <c r="A5" s="3">
        <v>2001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0">
        <f t="shared" si="0"/>
        <v>0</v>
      </c>
      <c r="O5" s="132">
        <f t="shared" si="1"/>
        <v>0</v>
      </c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7">
        <f t="shared" si="2"/>
        <v>0</v>
      </c>
    </row>
    <row r="6" spans="1:29">
      <c r="A6" s="3">
        <v>2002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0">
        <f t="shared" si="0"/>
        <v>0</v>
      </c>
      <c r="O6" s="132">
        <f t="shared" si="1"/>
        <v>0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7">
        <f t="shared" si="2"/>
        <v>0</v>
      </c>
    </row>
    <row r="7" spans="1:29">
      <c r="A7" s="3">
        <v>2003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70">
        <f t="shared" si="0"/>
        <v>0</v>
      </c>
      <c r="O7" s="132">
        <f t="shared" si="1"/>
        <v>0</v>
      </c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7">
        <f t="shared" si="2"/>
        <v>0</v>
      </c>
    </row>
    <row r="8" spans="1:29">
      <c r="A8" s="3">
        <v>2004</v>
      </c>
      <c r="B8" s="86"/>
      <c r="C8" s="86"/>
      <c r="D8" s="86">
        <v>15.94</v>
      </c>
      <c r="E8" s="86"/>
      <c r="F8" s="86"/>
      <c r="G8" s="86"/>
      <c r="H8" s="86"/>
      <c r="I8" s="86">
        <v>373.07</v>
      </c>
      <c r="J8" s="86"/>
      <c r="K8" s="86"/>
      <c r="L8" s="86"/>
      <c r="M8" s="86"/>
      <c r="N8" s="70">
        <f t="shared" si="0"/>
        <v>389.01</v>
      </c>
      <c r="O8" s="132">
        <f t="shared" si="1"/>
        <v>4113</v>
      </c>
      <c r="Q8" s="292"/>
      <c r="R8" s="292"/>
      <c r="S8" s="292">
        <v>175</v>
      </c>
      <c r="T8" s="292"/>
      <c r="U8" s="292"/>
      <c r="V8" s="292"/>
      <c r="W8" s="292"/>
      <c r="X8" s="292">
        <v>3938</v>
      </c>
      <c r="Y8" s="292"/>
      <c r="Z8" s="292"/>
      <c r="AA8" s="292"/>
      <c r="AB8" s="292"/>
      <c r="AC8" s="297">
        <f t="shared" si="2"/>
        <v>4113</v>
      </c>
    </row>
    <row r="9" spans="1:29">
      <c r="A9" s="3">
        <v>2005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f>O44</f>
        <v>52.3</v>
      </c>
      <c r="N9" s="70">
        <f t="shared" si="0"/>
        <v>52.3</v>
      </c>
      <c r="O9" s="132">
        <f t="shared" si="1"/>
        <v>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7">
        <f t="shared" si="2"/>
        <v>0</v>
      </c>
    </row>
    <row r="10" spans="1:29">
      <c r="A10" s="3">
        <v>2006</v>
      </c>
      <c r="B10" s="5"/>
      <c r="C10" s="5"/>
      <c r="D10" s="5"/>
      <c r="E10" s="5"/>
      <c r="F10" s="5">
        <v>38.75</v>
      </c>
      <c r="G10" s="5"/>
      <c r="H10" s="5"/>
      <c r="I10" s="5"/>
      <c r="J10" s="5"/>
      <c r="K10" s="5"/>
      <c r="L10" s="5">
        <v>422.07</v>
      </c>
      <c r="M10" s="5"/>
      <c r="N10" s="70">
        <f t="shared" si="0"/>
        <v>460.82</v>
      </c>
      <c r="O10" s="132">
        <f t="shared" si="1"/>
        <v>3876</v>
      </c>
      <c r="Q10" s="292"/>
      <c r="R10" s="292"/>
      <c r="S10" s="292"/>
      <c r="T10" s="292"/>
      <c r="U10" s="292">
        <v>343</v>
      </c>
      <c r="V10" s="292"/>
      <c r="W10" s="292"/>
      <c r="X10" s="292"/>
      <c r="Y10" s="292"/>
      <c r="Z10" s="292"/>
      <c r="AA10" s="292">
        <v>3533</v>
      </c>
      <c r="AB10" s="292"/>
      <c r="AC10" s="297">
        <f t="shared" si="2"/>
        <v>3876</v>
      </c>
    </row>
    <row r="11" spans="1:29">
      <c r="A11" s="3">
        <v>2007</v>
      </c>
      <c r="B11" s="5"/>
      <c r="C11" s="5">
        <v>2.2599999999999998</v>
      </c>
      <c r="D11" s="5">
        <v>414.61</v>
      </c>
      <c r="E11" s="5">
        <v>461.48</v>
      </c>
      <c r="F11" s="5"/>
      <c r="G11" s="5"/>
      <c r="H11" s="5"/>
      <c r="I11" s="5"/>
      <c r="J11" s="5"/>
      <c r="K11" s="5"/>
      <c r="L11" s="5"/>
      <c r="M11" s="5"/>
      <c r="N11" s="70">
        <f t="shared" si="0"/>
        <v>878.35</v>
      </c>
      <c r="O11" s="132">
        <f t="shared" si="1"/>
        <v>7037</v>
      </c>
      <c r="Q11" s="292"/>
      <c r="R11" s="292">
        <v>18</v>
      </c>
      <c r="S11" s="292">
        <v>3339</v>
      </c>
      <c r="T11" s="292">
        <v>3680</v>
      </c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7037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0">
        <f t="shared" si="0"/>
        <v>0</v>
      </c>
      <c r="O12" s="132">
        <f t="shared" si="1"/>
        <v>0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7">
        <f t="shared" si="2"/>
        <v>0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0">
        <f t="shared" si="0"/>
        <v>0</v>
      </c>
      <c r="O13" s="132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3">
        <v>2010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0">
        <f t="shared" si="0"/>
        <v>0</v>
      </c>
      <c r="O14" s="132">
        <f t="shared" si="1"/>
        <v>0</v>
      </c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301">
        <f t="shared" si="2"/>
        <v>0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13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>SUM(B16:M16)</f>
        <v>0</v>
      </c>
      <c r="O16" s="13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>SUM(B17:M17)</f>
        <v>0</v>
      </c>
      <c r="O17" s="132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3172.0099999999998</v>
      </c>
      <c r="O18" s="407">
        <v>54339</v>
      </c>
      <c r="R18" s="286"/>
      <c r="S18" s="287"/>
      <c r="T18" s="288" t="s">
        <v>443</v>
      </c>
      <c r="U18" s="287"/>
      <c r="V18" s="287" t="s">
        <v>3</v>
      </c>
      <c r="W18" s="287"/>
      <c r="X18" s="287" t="s">
        <v>444</v>
      </c>
    </row>
    <row r="19" spans="1:29">
      <c r="O19" s="257">
        <v>46063</v>
      </c>
      <c r="R19" s="289" t="s">
        <v>445</v>
      </c>
      <c r="S19" s="290">
        <v>5555</v>
      </c>
      <c r="T19" s="291">
        <v>2222</v>
      </c>
      <c r="U19" s="292"/>
      <c r="V19" s="292">
        <f>S19*T19</f>
        <v>12343210</v>
      </c>
      <c r="W19" s="1"/>
      <c r="X19" s="291">
        <f>O18*V19/N18</f>
        <v>211448793.72700593</v>
      </c>
    </row>
    <row r="20" spans="1:29" ht="15.75" customHeight="1">
      <c r="A20" s="576" t="s">
        <v>185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298" t="s">
        <v>302</v>
      </c>
      <c r="P20" s="78"/>
      <c r="R20" s="289" t="s">
        <v>446</v>
      </c>
      <c r="S20" s="291">
        <v>5555</v>
      </c>
      <c r="T20" s="291">
        <v>1111</v>
      </c>
      <c r="U20" s="292"/>
      <c r="V20" s="292">
        <f>S20*T20</f>
        <v>6171605</v>
      </c>
      <c r="W20" s="292"/>
      <c r="X20" s="291">
        <v>222222222</v>
      </c>
      <c r="Y20" s="78"/>
    </row>
    <row r="21" spans="1:29">
      <c r="R21" s="289" t="s">
        <v>447</v>
      </c>
      <c r="S21" s="291">
        <v>5555</v>
      </c>
      <c r="T21" s="291">
        <v>555</v>
      </c>
      <c r="U21" s="292"/>
      <c r="V21" s="292">
        <f>S21*T21</f>
        <v>3083025</v>
      </c>
      <c r="W21" s="292"/>
      <c r="X21" s="291">
        <v>246246246</v>
      </c>
    </row>
    <row r="22" spans="1:29">
      <c r="A22" s="577" t="s">
        <v>46</v>
      </c>
      <c r="B22" s="577" t="s">
        <v>49</v>
      </c>
      <c r="C22" s="579" t="s">
        <v>56</v>
      </c>
      <c r="D22" s="658" t="s">
        <v>52</v>
      </c>
      <c r="E22" s="659"/>
      <c r="F22" s="659"/>
      <c r="G22" s="659"/>
      <c r="H22" s="659"/>
      <c r="I22" s="659"/>
      <c r="J22" s="659"/>
      <c r="K22" s="660"/>
      <c r="L22" s="588" t="s">
        <v>53</v>
      </c>
      <c r="M22" s="589"/>
      <c r="N22" s="577" t="s">
        <v>48</v>
      </c>
      <c r="R22" s="293"/>
      <c r="S22" s="294"/>
      <c r="T22" s="292"/>
      <c r="U22" s="292"/>
      <c r="V22" s="292">
        <f t="shared" ref="V22" si="3">SUM(V19:V21)</f>
        <v>21597840</v>
      </c>
      <c r="W22" s="292"/>
      <c r="X22" s="291">
        <f>SUM(X19:X21)</f>
        <v>679917261.72700596</v>
      </c>
    </row>
    <row r="23" spans="1:29">
      <c r="A23" s="578"/>
      <c r="B23" s="578"/>
      <c r="C23" s="580"/>
      <c r="D23" s="655" t="s">
        <v>15</v>
      </c>
      <c r="E23" s="656"/>
      <c r="F23" s="656"/>
      <c r="G23" s="657"/>
      <c r="H23" s="658" t="s">
        <v>50</v>
      </c>
      <c r="I23" s="659"/>
      <c r="J23" s="659"/>
      <c r="K23" s="660"/>
      <c r="L23" s="3" t="s">
        <v>51</v>
      </c>
      <c r="M23" s="61" t="s">
        <v>47</v>
      </c>
      <c r="N23" s="578"/>
    </row>
    <row r="24" spans="1:29">
      <c r="A24" s="361">
        <v>1998</v>
      </c>
      <c r="B24" s="604">
        <v>45289</v>
      </c>
      <c r="C24" s="606">
        <v>211</v>
      </c>
      <c r="D24" s="608" t="s">
        <v>54</v>
      </c>
      <c r="E24" s="609"/>
      <c r="F24" s="609"/>
      <c r="G24" s="610"/>
      <c r="H24" s="702" t="s">
        <v>55</v>
      </c>
      <c r="I24" s="703"/>
      <c r="J24" s="703"/>
      <c r="K24" s="704"/>
      <c r="L24" s="60">
        <v>25.18</v>
      </c>
      <c r="M24" s="60">
        <v>0</v>
      </c>
      <c r="N24" s="60">
        <f t="shared" ref="N24:N25" si="4">L24-M24</f>
        <v>25.18</v>
      </c>
      <c r="O24" s="174"/>
      <c r="P24" s="82"/>
      <c r="Q24" s="136" t="s">
        <v>178</v>
      </c>
      <c r="R24" s="82"/>
      <c r="S24" s="82"/>
      <c r="T24" s="82"/>
      <c r="U24" s="82"/>
      <c r="V24" s="82"/>
      <c r="W24" s="82"/>
      <c r="X24" s="82"/>
      <c r="Y24" s="82"/>
      <c r="Z24" s="82"/>
      <c r="AA24" s="82"/>
    </row>
    <row r="25" spans="1:29" ht="13.5" thickBot="1">
      <c r="A25" s="365"/>
      <c r="B25" s="605"/>
      <c r="C25" s="607"/>
      <c r="D25" s="611"/>
      <c r="E25" s="612"/>
      <c r="F25" s="612"/>
      <c r="G25" s="613"/>
      <c r="H25" s="708"/>
      <c r="I25" s="709"/>
      <c r="J25" s="709"/>
      <c r="K25" s="710"/>
      <c r="L25" s="148">
        <v>4.84</v>
      </c>
      <c r="M25" s="148">
        <v>0</v>
      </c>
      <c r="N25" s="148">
        <f t="shared" si="4"/>
        <v>4.84</v>
      </c>
      <c r="O25" s="150">
        <f>N24+N25</f>
        <v>30.02</v>
      </c>
      <c r="P25" s="82"/>
      <c r="Q25" s="83"/>
      <c r="R25" s="82"/>
      <c r="S25" s="82"/>
      <c r="T25" s="82"/>
      <c r="U25" s="82"/>
      <c r="V25" s="82"/>
      <c r="W25" s="82"/>
      <c r="X25" s="82"/>
      <c r="Y25" s="82"/>
      <c r="Z25" s="82"/>
      <c r="AA25" s="82"/>
    </row>
    <row r="26" spans="1:29">
      <c r="A26" s="485">
        <v>1999</v>
      </c>
      <c r="B26" s="604">
        <v>44988</v>
      </c>
      <c r="C26" s="606">
        <v>324</v>
      </c>
      <c r="D26" s="608" t="s">
        <v>54</v>
      </c>
      <c r="E26" s="609"/>
      <c r="F26" s="609"/>
      <c r="G26" s="610"/>
      <c r="H26" s="702" t="s">
        <v>180</v>
      </c>
      <c r="I26" s="703"/>
      <c r="J26" s="703"/>
      <c r="K26" s="704"/>
      <c r="L26" s="60">
        <v>801.17</v>
      </c>
      <c r="M26" s="60">
        <v>0</v>
      </c>
      <c r="N26" s="60">
        <f t="shared" ref="N26:N27" si="5">L26-M26</f>
        <v>801.17</v>
      </c>
      <c r="O26" s="174"/>
      <c r="Q26" s="83"/>
    </row>
    <row r="27" spans="1:29" ht="13.5" thickBot="1">
      <c r="A27" s="486"/>
      <c r="B27" s="605"/>
      <c r="C27" s="607"/>
      <c r="D27" s="611"/>
      <c r="E27" s="612"/>
      <c r="F27" s="612"/>
      <c r="G27" s="613"/>
      <c r="H27" s="708"/>
      <c r="I27" s="709"/>
      <c r="J27" s="709"/>
      <c r="K27" s="710"/>
      <c r="L27" s="148">
        <v>154.07</v>
      </c>
      <c r="M27" s="148">
        <v>0</v>
      </c>
      <c r="N27" s="148">
        <f t="shared" si="5"/>
        <v>154.07</v>
      </c>
      <c r="O27" s="150">
        <f>N26+N27</f>
        <v>955.24</v>
      </c>
      <c r="Q27" s="83"/>
    </row>
    <row r="28" spans="1:29">
      <c r="A28" s="364">
        <v>2000</v>
      </c>
      <c r="B28" s="614">
        <v>44988</v>
      </c>
      <c r="C28" s="629">
        <v>903</v>
      </c>
      <c r="D28" s="622" t="s">
        <v>54</v>
      </c>
      <c r="E28" s="623"/>
      <c r="F28" s="623"/>
      <c r="G28" s="624"/>
      <c r="H28" s="713" t="s">
        <v>99</v>
      </c>
      <c r="I28" s="714"/>
      <c r="J28" s="714"/>
      <c r="K28" s="715"/>
      <c r="L28" s="73">
        <v>265.08</v>
      </c>
      <c r="M28" s="73">
        <v>0</v>
      </c>
      <c r="N28" s="73">
        <f t="shared" ref="N28:N29" si="6">L28-M28</f>
        <v>265.08</v>
      </c>
      <c r="O28" s="172"/>
      <c r="Q28" s="686" t="s">
        <v>113</v>
      </c>
      <c r="R28" s="686"/>
      <c r="S28" s="686"/>
      <c r="T28" s="686"/>
      <c r="U28" s="686"/>
      <c r="V28" s="686"/>
    </row>
    <row r="29" spans="1:29">
      <c r="A29" s="362"/>
      <c r="B29" s="615"/>
      <c r="C29" s="628"/>
      <c r="D29" s="564"/>
      <c r="E29" s="565"/>
      <c r="F29" s="565"/>
      <c r="G29" s="566"/>
      <c r="H29" s="699"/>
      <c r="I29" s="700"/>
      <c r="J29" s="700"/>
      <c r="K29" s="701"/>
      <c r="L29" s="5">
        <v>56.33</v>
      </c>
      <c r="M29" s="5">
        <v>0</v>
      </c>
      <c r="N29" s="5">
        <f t="shared" si="6"/>
        <v>56.33</v>
      </c>
      <c r="O29" s="179">
        <f>N28+N29</f>
        <v>321.40999999999997</v>
      </c>
      <c r="Q29" s="83"/>
    </row>
    <row r="30" spans="1:29">
      <c r="A30" s="362"/>
      <c r="B30" s="604">
        <v>45083</v>
      </c>
      <c r="C30" s="606">
        <v>1015</v>
      </c>
      <c r="D30" s="608" t="s">
        <v>58</v>
      </c>
      <c r="E30" s="609"/>
      <c r="F30" s="609"/>
      <c r="G30" s="610"/>
      <c r="H30" s="702" t="s">
        <v>203</v>
      </c>
      <c r="I30" s="703"/>
      <c r="J30" s="703"/>
      <c r="K30" s="704"/>
      <c r="L30" s="5">
        <v>9.5399999999999991</v>
      </c>
      <c r="M30" s="5">
        <v>0</v>
      </c>
      <c r="N30" s="5">
        <f t="shared" ref="N30:N31" si="7">L30-M30</f>
        <v>9.5399999999999991</v>
      </c>
      <c r="O30" s="174"/>
      <c r="Q30" s="83"/>
    </row>
    <row r="31" spans="1:29">
      <c r="A31" s="362"/>
      <c r="B31" s="615"/>
      <c r="C31" s="628"/>
      <c r="D31" s="564"/>
      <c r="E31" s="565"/>
      <c r="F31" s="565"/>
      <c r="G31" s="566"/>
      <c r="H31" s="705"/>
      <c r="I31" s="706"/>
      <c r="J31" s="706"/>
      <c r="K31" s="707"/>
      <c r="L31" s="5">
        <v>1.83</v>
      </c>
      <c r="M31" s="5">
        <v>0</v>
      </c>
      <c r="N31" s="5">
        <f t="shared" si="7"/>
        <v>1.83</v>
      </c>
      <c r="O31" s="179">
        <f>N30+N31</f>
        <v>11.37</v>
      </c>
      <c r="Q31" s="83"/>
    </row>
    <row r="32" spans="1:29">
      <c r="A32" s="362"/>
      <c r="B32" s="604">
        <v>45178</v>
      </c>
      <c r="C32" s="606">
        <v>1209</v>
      </c>
      <c r="D32" s="608" t="s">
        <v>54</v>
      </c>
      <c r="E32" s="609"/>
      <c r="F32" s="609"/>
      <c r="G32" s="610"/>
      <c r="H32" s="687" t="s">
        <v>204</v>
      </c>
      <c r="I32" s="688"/>
      <c r="J32" s="688"/>
      <c r="K32" s="689"/>
      <c r="L32" s="5">
        <v>47.69</v>
      </c>
      <c r="M32" s="5">
        <v>0</v>
      </c>
      <c r="N32" s="5">
        <f t="shared" ref="N32:N33" si="8">L32-M32</f>
        <v>47.69</v>
      </c>
      <c r="O32" s="174"/>
      <c r="Q32" s="83"/>
    </row>
    <row r="33" spans="1:21">
      <c r="A33" s="362"/>
      <c r="B33" s="615"/>
      <c r="C33" s="628"/>
      <c r="D33" s="564"/>
      <c r="E33" s="565"/>
      <c r="F33" s="565"/>
      <c r="G33" s="566"/>
      <c r="H33" s="723"/>
      <c r="I33" s="724"/>
      <c r="J33" s="724"/>
      <c r="K33" s="725"/>
      <c r="L33" s="5">
        <v>9.17</v>
      </c>
      <c r="M33" s="5">
        <v>0</v>
      </c>
      <c r="N33" s="5">
        <f t="shared" si="8"/>
        <v>9.17</v>
      </c>
      <c r="O33" s="179"/>
      <c r="Q33" s="83"/>
    </row>
    <row r="34" spans="1:21">
      <c r="A34" s="362"/>
      <c r="B34" s="604">
        <v>45178</v>
      </c>
      <c r="C34" s="606">
        <v>1217</v>
      </c>
      <c r="D34" s="608" t="s">
        <v>205</v>
      </c>
      <c r="E34" s="609"/>
      <c r="F34" s="609"/>
      <c r="G34" s="610"/>
      <c r="H34" s="687" t="s">
        <v>206</v>
      </c>
      <c r="I34" s="688"/>
      <c r="J34" s="688"/>
      <c r="K34" s="689"/>
      <c r="L34" s="5">
        <v>13.95</v>
      </c>
      <c r="M34" s="5">
        <v>0</v>
      </c>
      <c r="N34" s="5">
        <f t="shared" ref="N34:N35" si="9">L34-M34</f>
        <v>13.95</v>
      </c>
      <c r="O34" s="174"/>
      <c r="Q34" s="83"/>
    </row>
    <row r="35" spans="1:21" ht="13.5" thickBot="1">
      <c r="A35" s="365"/>
      <c r="B35" s="605"/>
      <c r="C35" s="607"/>
      <c r="D35" s="611"/>
      <c r="E35" s="612"/>
      <c r="F35" s="612"/>
      <c r="G35" s="613"/>
      <c r="H35" s="690"/>
      <c r="I35" s="691"/>
      <c r="J35" s="691"/>
      <c r="K35" s="692"/>
      <c r="L35" s="193">
        <v>2.68</v>
      </c>
      <c r="M35" s="193">
        <v>0</v>
      </c>
      <c r="N35" s="193">
        <f t="shared" si="9"/>
        <v>2.68</v>
      </c>
      <c r="O35" s="150">
        <f>SUM(N32:N35)</f>
        <v>73.490000000000009</v>
      </c>
      <c r="Q35" s="83"/>
    </row>
    <row r="36" spans="1:21" ht="13.5" thickBot="1">
      <c r="A36" s="483">
        <v>2001</v>
      </c>
      <c r="B36" s="176"/>
      <c r="C36" s="333"/>
      <c r="D36" s="617"/>
      <c r="E36" s="618"/>
      <c r="F36" s="618"/>
      <c r="G36" s="619"/>
      <c r="H36" s="716"/>
      <c r="I36" s="717"/>
      <c r="J36" s="717"/>
      <c r="K36" s="718"/>
      <c r="L36" s="334"/>
      <c r="M36" s="334"/>
      <c r="N36" s="334"/>
      <c r="Q36" s="83"/>
    </row>
    <row r="37" spans="1:21" ht="13.5" thickBot="1">
      <c r="A37" s="484">
        <v>2002</v>
      </c>
      <c r="B37" s="176"/>
      <c r="C37" s="333"/>
      <c r="D37" s="617"/>
      <c r="E37" s="618"/>
      <c r="F37" s="618"/>
      <c r="G37" s="619"/>
      <c r="H37" s="716"/>
      <c r="I37" s="717"/>
      <c r="J37" s="717"/>
      <c r="K37" s="718"/>
      <c r="L37" s="334"/>
      <c r="M37" s="334"/>
      <c r="N37" s="334"/>
      <c r="Q37" s="83"/>
    </row>
    <row r="38" spans="1:21" ht="13.5" thickBot="1">
      <c r="A38" s="483">
        <v>2003</v>
      </c>
      <c r="B38" s="176"/>
      <c r="C38" s="333"/>
      <c r="D38" s="617"/>
      <c r="E38" s="618"/>
      <c r="F38" s="618"/>
      <c r="G38" s="619"/>
      <c r="H38" s="716"/>
      <c r="I38" s="717"/>
      <c r="J38" s="717"/>
      <c r="K38" s="718"/>
      <c r="L38" s="334"/>
      <c r="M38" s="334"/>
      <c r="N38" s="334"/>
      <c r="Q38" s="83"/>
    </row>
    <row r="39" spans="1:21">
      <c r="A39" s="364">
        <v>2004</v>
      </c>
      <c r="B39" s="630" t="s">
        <v>485</v>
      </c>
      <c r="C39" s="632">
        <v>3738</v>
      </c>
      <c r="D39" s="634" t="s">
        <v>54</v>
      </c>
      <c r="E39" s="635"/>
      <c r="F39" s="635"/>
      <c r="G39" s="636"/>
      <c r="H39" s="581" t="s">
        <v>478</v>
      </c>
      <c r="I39" s="582"/>
      <c r="J39" s="582"/>
      <c r="K39" s="583"/>
      <c r="L39" s="5">
        <v>13.37</v>
      </c>
      <c r="M39" s="5">
        <v>0</v>
      </c>
      <c r="N39" s="5">
        <f t="shared" ref="N39:N40" si="10">L39-M39</f>
        <v>13.37</v>
      </c>
      <c r="O39" s="174"/>
      <c r="Q39" s="4" t="s">
        <v>486</v>
      </c>
    </row>
    <row r="40" spans="1:21">
      <c r="A40" s="362"/>
      <c r="B40" s="646"/>
      <c r="C40" s="648"/>
      <c r="D40" s="593"/>
      <c r="E40" s="594"/>
      <c r="F40" s="594"/>
      <c r="G40" s="595"/>
      <c r="H40" s="584"/>
      <c r="I40" s="585"/>
      <c r="J40" s="585"/>
      <c r="K40" s="586"/>
      <c r="L40" s="5">
        <v>2.57</v>
      </c>
      <c r="M40" s="5">
        <v>0</v>
      </c>
      <c r="N40" s="5">
        <f t="shared" si="10"/>
        <v>2.57</v>
      </c>
      <c r="O40" s="179">
        <f>N39+N40</f>
        <v>15.94</v>
      </c>
      <c r="Q40" s="83"/>
    </row>
    <row r="41" spans="1:21">
      <c r="A41" s="362"/>
      <c r="B41" s="630" t="s">
        <v>497</v>
      </c>
      <c r="C41" s="632">
        <v>4104</v>
      </c>
      <c r="D41" s="634" t="s">
        <v>58</v>
      </c>
      <c r="E41" s="635"/>
      <c r="F41" s="635"/>
      <c r="G41" s="636"/>
      <c r="H41" s="581" t="s">
        <v>496</v>
      </c>
      <c r="I41" s="582"/>
      <c r="J41" s="582"/>
      <c r="K41" s="583"/>
      <c r="L41" s="5">
        <v>312.89999999999998</v>
      </c>
      <c r="M41" s="5">
        <v>0</v>
      </c>
      <c r="N41" s="5">
        <f t="shared" ref="N41:N44" si="11">L41-M41</f>
        <v>312.89999999999998</v>
      </c>
      <c r="O41" s="174"/>
      <c r="Q41" s="83"/>
    </row>
    <row r="42" spans="1:21" ht="13.5" thickBot="1">
      <c r="A42" s="365"/>
      <c r="B42" s="631"/>
      <c r="C42" s="633"/>
      <c r="D42" s="596"/>
      <c r="E42" s="597"/>
      <c r="F42" s="597"/>
      <c r="G42" s="598"/>
      <c r="H42" s="729"/>
      <c r="I42" s="730"/>
      <c r="J42" s="730"/>
      <c r="K42" s="731"/>
      <c r="L42" s="193">
        <v>60.17</v>
      </c>
      <c r="M42" s="193">
        <v>0</v>
      </c>
      <c r="N42" s="193">
        <f t="shared" si="11"/>
        <v>60.17</v>
      </c>
      <c r="O42" s="150">
        <f>N41+N42</f>
        <v>373.07</v>
      </c>
      <c r="Q42" s="83"/>
    </row>
    <row r="43" spans="1:21">
      <c r="A43" s="488">
        <v>2005</v>
      </c>
      <c r="B43" s="711">
        <v>46003</v>
      </c>
      <c r="C43" s="719">
        <v>5600</v>
      </c>
      <c r="D43" s="720" t="s">
        <v>58</v>
      </c>
      <c r="E43" s="721"/>
      <c r="F43" s="721"/>
      <c r="G43" s="722"/>
      <c r="H43" s="726" t="s">
        <v>478</v>
      </c>
      <c r="I43" s="727"/>
      <c r="J43" s="727"/>
      <c r="K43" s="728"/>
      <c r="L43" s="73">
        <v>43.9</v>
      </c>
      <c r="M43" s="73">
        <v>0</v>
      </c>
      <c r="N43" s="73">
        <f t="shared" si="11"/>
        <v>43.9</v>
      </c>
      <c r="O43" s="172"/>
      <c r="Q43" s="415" t="s">
        <v>549</v>
      </c>
    </row>
    <row r="44" spans="1:21" ht="13.5" thickBot="1">
      <c r="A44" s="489"/>
      <c r="B44" s="712"/>
      <c r="C44" s="633"/>
      <c r="D44" s="596"/>
      <c r="E44" s="597"/>
      <c r="F44" s="597"/>
      <c r="G44" s="598"/>
      <c r="H44" s="729"/>
      <c r="I44" s="730"/>
      <c r="J44" s="730"/>
      <c r="K44" s="731"/>
      <c r="L44" s="193">
        <v>8.4</v>
      </c>
      <c r="M44" s="193">
        <v>0</v>
      </c>
      <c r="N44" s="193">
        <f t="shared" si="11"/>
        <v>8.4</v>
      </c>
      <c r="O44" s="150">
        <f>N43+N44</f>
        <v>52.3</v>
      </c>
      <c r="Q44" s="83"/>
    </row>
    <row r="45" spans="1:21">
      <c r="A45" s="362">
        <v>2006</v>
      </c>
      <c r="B45" s="604">
        <v>45063</v>
      </c>
      <c r="C45" s="606">
        <v>6027</v>
      </c>
      <c r="D45" s="608" t="s">
        <v>58</v>
      </c>
      <c r="E45" s="609"/>
      <c r="F45" s="609"/>
      <c r="G45" s="610"/>
      <c r="H45" s="702" t="s">
        <v>96</v>
      </c>
      <c r="I45" s="703"/>
      <c r="J45" s="703"/>
      <c r="K45" s="704"/>
      <c r="L45" s="60">
        <v>32.5</v>
      </c>
      <c r="M45" s="60">
        <v>0</v>
      </c>
      <c r="N45" s="60">
        <f t="shared" ref="N45:N53" si="12">L45-M45</f>
        <v>32.5</v>
      </c>
    </row>
    <row r="46" spans="1:21">
      <c r="A46" s="362"/>
      <c r="B46" s="615"/>
      <c r="C46" s="628"/>
      <c r="D46" s="564"/>
      <c r="E46" s="565"/>
      <c r="F46" s="565"/>
      <c r="G46" s="566"/>
      <c r="H46" s="705"/>
      <c r="I46" s="706"/>
      <c r="J46" s="706"/>
      <c r="K46" s="707"/>
      <c r="L46" s="60">
        <v>6.25</v>
      </c>
      <c r="M46" s="60">
        <v>0</v>
      </c>
      <c r="N46" s="60">
        <f t="shared" si="12"/>
        <v>6.25</v>
      </c>
      <c r="O46" s="93">
        <f>N45+N46</f>
        <v>38.75</v>
      </c>
    </row>
    <row r="47" spans="1:21">
      <c r="A47" s="362"/>
      <c r="B47" s="80"/>
      <c r="C47" s="81"/>
      <c r="D47" s="570"/>
      <c r="E47" s="571"/>
      <c r="F47" s="571"/>
      <c r="G47" s="572"/>
      <c r="H47" s="655"/>
      <c r="I47" s="656"/>
      <c r="J47" s="656"/>
      <c r="K47" s="657"/>
      <c r="L47" s="60"/>
      <c r="M47" s="60"/>
      <c r="N47" s="60">
        <f t="shared" si="12"/>
        <v>0</v>
      </c>
      <c r="T47" s="7"/>
      <c r="U47" s="7"/>
    </row>
    <row r="48" spans="1:21">
      <c r="A48" s="362"/>
      <c r="B48" s="604">
        <v>39023</v>
      </c>
      <c r="C48" s="606">
        <v>6445</v>
      </c>
      <c r="D48" s="608" t="s">
        <v>54</v>
      </c>
      <c r="E48" s="609"/>
      <c r="F48" s="609"/>
      <c r="G48" s="610"/>
      <c r="H48" s="702" t="s">
        <v>97</v>
      </c>
      <c r="I48" s="703"/>
      <c r="J48" s="703"/>
      <c r="K48" s="704"/>
      <c r="L48" s="60">
        <v>354</v>
      </c>
      <c r="M48" s="3">
        <v>0</v>
      </c>
      <c r="N48" s="60">
        <f t="shared" si="12"/>
        <v>354</v>
      </c>
    </row>
    <row r="49" spans="1:16">
      <c r="A49" s="363"/>
      <c r="B49" s="615"/>
      <c r="C49" s="628"/>
      <c r="D49" s="564"/>
      <c r="E49" s="565"/>
      <c r="F49" s="565"/>
      <c r="G49" s="566"/>
      <c r="H49" s="705"/>
      <c r="I49" s="706"/>
      <c r="J49" s="706"/>
      <c r="K49" s="707"/>
      <c r="L49" s="60">
        <v>68.069999999999993</v>
      </c>
      <c r="M49" s="60">
        <v>0</v>
      </c>
      <c r="N49" s="60">
        <f t="shared" si="12"/>
        <v>68.069999999999993</v>
      </c>
      <c r="O49" s="93">
        <f>N48+N49</f>
        <v>422.07</v>
      </c>
    </row>
    <row r="50" spans="1:16">
      <c r="A50" s="368">
        <v>2007</v>
      </c>
      <c r="B50" s="604">
        <v>44973</v>
      </c>
      <c r="C50" s="606">
        <v>6691</v>
      </c>
      <c r="D50" s="608" t="s">
        <v>58</v>
      </c>
      <c r="E50" s="609"/>
      <c r="F50" s="609"/>
      <c r="G50" s="610"/>
      <c r="H50" s="693" t="s">
        <v>98</v>
      </c>
      <c r="I50" s="694"/>
      <c r="J50" s="694"/>
      <c r="K50" s="695"/>
      <c r="L50" s="60">
        <v>1.9</v>
      </c>
      <c r="M50" s="60"/>
      <c r="N50" s="60">
        <f t="shared" si="12"/>
        <v>1.9</v>
      </c>
      <c r="O50" s="174"/>
      <c r="P50" s="174"/>
    </row>
    <row r="51" spans="1:16">
      <c r="A51" s="487"/>
      <c r="B51" s="615"/>
      <c r="C51" s="628"/>
      <c r="D51" s="564"/>
      <c r="E51" s="565"/>
      <c r="F51" s="565"/>
      <c r="G51" s="566"/>
      <c r="H51" s="699"/>
      <c r="I51" s="700"/>
      <c r="J51" s="700"/>
      <c r="K51" s="701"/>
      <c r="L51" s="60">
        <v>0.36</v>
      </c>
      <c r="M51" s="60"/>
      <c r="N51" s="60">
        <f t="shared" si="12"/>
        <v>0.36</v>
      </c>
      <c r="O51" s="179">
        <f>N50+N51</f>
        <v>2.2599999999999998</v>
      </c>
      <c r="P51" s="174"/>
    </row>
    <row r="52" spans="1:16">
      <c r="A52" s="487"/>
      <c r="B52" s="604">
        <v>45014</v>
      </c>
      <c r="C52" s="606">
        <v>6798</v>
      </c>
      <c r="D52" s="608" t="s">
        <v>54</v>
      </c>
      <c r="E52" s="609"/>
      <c r="F52" s="609"/>
      <c r="G52" s="610"/>
      <c r="H52" s="693" t="s">
        <v>62</v>
      </c>
      <c r="I52" s="694"/>
      <c r="J52" s="694"/>
      <c r="K52" s="695"/>
      <c r="L52" s="60">
        <v>347.74</v>
      </c>
      <c r="M52" s="60"/>
      <c r="N52" s="60">
        <f t="shared" si="12"/>
        <v>347.74</v>
      </c>
      <c r="O52" s="174"/>
      <c r="P52" s="174"/>
    </row>
    <row r="53" spans="1:16">
      <c r="A53" s="487"/>
      <c r="B53" s="615"/>
      <c r="C53" s="628"/>
      <c r="D53" s="564"/>
      <c r="E53" s="565"/>
      <c r="F53" s="565"/>
      <c r="G53" s="566"/>
      <c r="H53" s="699"/>
      <c r="I53" s="700"/>
      <c r="J53" s="700"/>
      <c r="K53" s="701"/>
      <c r="L53" s="60">
        <v>66.87</v>
      </c>
      <c r="M53" s="60"/>
      <c r="N53" s="60">
        <f t="shared" si="12"/>
        <v>66.87</v>
      </c>
      <c r="O53" s="179">
        <f>N52+N53</f>
        <v>414.61</v>
      </c>
      <c r="P53" s="174"/>
    </row>
    <row r="54" spans="1:16" ht="12.75" customHeight="1">
      <c r="A54" s="487"/>
      <c r="B54" s="630">
        <v>45043</v>
      </c>
      <c r="C54" s="632">
        <v>6897</v>
      </c>
      <c r="D54" s="634" t="s">
        <v>54</v>
      </c>
      <c r="E54" s="635"/>
      <c r="F54" s="635"/>
      <c r="G54" s="636"/>
      <c r="H54" s="581" t="s">
        <v>96</v>
      </c>
      <c r="I54" s="582"/>
      <c r="J54" s="582"/>
      <c r="K54" s="583"/>
      <c r="L54" s="5">
        <v>384.84</v>
      </c>
      <c r="M54" s="5"/>
      <c r="N54" s="5">
        <f t="shared" ref="N54:N55" si="13">L54-M54</f>
        <v>384.84</v>
      </c>
      <c r="O54" s="174"/>
      <c r="P54" s="174"/>
    </row>
    <row r="55" spans="1:16" ht="12.75" customHeight="1">
      <c r="A55" s="487"/>
      <c r="B55" s="646"/>
      <c r="C55" s="648"/>
      <c r="D55" s="593"/>
      <c r="E55" s="594"/>
      <c r="F55" s="594"/>
      <c r="G55" s="595"/>
      <c r="H55" s="584"/>
      <c r="I55" s="585"/>
      <c r="J55" s="585"/>
      <c r="K55" s="586"/>
      <c r="L55" s="5">
        <v>74</v>
      </c>
      <c r="M55" s="5"/>
      <c r="N55" s="5">
        <f t="shared" si="13"/>
        <v>74</v>
      </c>
      <c r="O55" s="236">
        <f>N54+N55</f>
        <v>458.84</v>
      </c>
      <c r="P55" s="174"/>
    </row>
    <row r="56" spans="1:16" ht="12.75" customHeight="1">
      <c r="A56" s="487"/>
      <c r="B56" s="604">
        <v>45046</v>
      </c>
      <c r="C56" s="606">
        <v>6970</v>
      </c>
      <c r="D56" s="608" t="s">
        <v>58</v>
      </c>
      <c r="E56" s="609"/>
      <c r="F56" s="609"/>
      <c r="G56" s="610"/>
      <c r="H56" s="693" t="s">
        <v>99</v>
      </c>
      <c r="I56" s="694"/>
      <c r="J56" s="694"/>
      <c r="K56" s="695"/>
      <c r="L56" s="60">
        <v>2.2200000000000002</v>
      </c>
      <c r="M56" s="60"/>
      <c r="N56" s="60">
        <f t="shared" ref="N56:N57" si="14">L56-M56</f>
        <v>2.2200000000000002</v>
      </c>
      <c r="O56" s="237"/>
      <c r="P56" s="174"/>
    </row>
    <row r="57" spans="1:16" ht="14.25" customHeight="1" thickBot="1">
      <c r="A57" s="486"/>
      <c r="B57" s="605"/>
      <c r="C57" s="607"/>
      <c r="D57" s="611"/>
      <c r="E57" s="612"/>
      <c r="F57" s="612"/>
      <c r="G57" s="613"/>
      <c r="H57" s="696"/>
      <c r="I57" s="697"/>
      <c r="J57" s="697"/>
      <c r="K57" s="698"/>
      <c r="L57" s="148">
        <v>0.42</v>
      </c>
      <c r="M57" s="148"/>
      <c r="N57" s="148">
        <f t="shared" si="14"/>
        <v>0.42</v>
      </c>
      <c r="O57" s="238">
        <f>N56+N57</f>
        <v>2.64</v>
      </c>
      <c r="P57" s="150">
        <f>O55+O57</f>
        <v>461.47999999999996</v>
      </c>
    </row>
    <row r="58" spans="1:16" ht="14.25">
      <c r="A58" s="130"/>
      <c r="B58" s="121"/>
      <c r="C58" s="122"/>
      <c r="D58" s="123"/>
      <c r="E58" s="124"/>
      <c r="F58" s="124"/>
      <c r="G58" s="125"/>
      <c r="H58" s="126"/>
      <c r="I58" s="127"/>
      <c r="J58" s="127"/>
      <c r="K58" s="128"/>
      <c r="L58" s="143"/>
      <c r="M58" s="143"/>
      <c r="N58" s="143"/>
      <c r="O58" s="93"/>
    </row>
  </sheetData>
  <mergeCells count="78">
    <mergeCell ref="D39:G40"/>
    <mergeCell ref="H32:K33"/>
    <mergeCell ref="H43:K44"/>
    <mergeCell ref="B41:B42"/>
    <mergeCell ref="C41:C42"/>
    <mergeCell ref="D41:G42"/>
    <mergeCell ref="H41:K42"/>
    <mergeCell ref="H28:K29"/>
    <mergeCell ref="C48:C49"/>
    <mergeCell ref="D48:G49"/>
    <mergeCell ref="H48:K49"/>
    <mergeCell ref="H36:K36"/>
    <mergeCell ref="H37:K37"/>
    <mergeCell ref="H38:K38"/>
    <mergeCell ref="D47:G47"/>
    <mergeCell ref="H47:K47"/>
    <mergeCell ref="H45:K46"/>
    <mergeCell ref="H39:K40"/>
    <mergeCell ref="C39:C40"/>
    <mergeCell ref="C32:C33"/>
    <mergeCell ref="D32:G33"/>
    <mergeCell ref="C43:C44"/>
    <mergeCell ref="D43:G44"/>
    <mergeCell ref="B24:B25"/>
    <mergeCell ref="C24:C25"/>
    <mergeCell ref="B48:B49"/>
    <mergeCell ref="B26:B27"/>
    <mergeCell ref="C26:C27"/>
    <mergeCell ref="B28:B29"/>
    <mergeCell ref="B30:B31"/>
    <mergeCell ref="C30:C31"/>
    <mergeCell ref="B45:B46"/>
    <mergeCell ref="C45:C46"/>
    <mergeCell ref="B39:B40"/>
    <mergeCell ref="B32:B33"/>
    <mergeCell ref="C28:C29"/>
    <mergeCell ref="B43:B44"/>
    <mergeCell ref="A20:N20"/>
    <mergeCell ref="A22:A23"/>
    <mergeCell ref="B22:B23"/>
    <mergeCell ref="C22:C23"/>
    <mergeCell ref="D22:K22"/>
    <mergeCell ref="L22:M22"/>
    <mergeCell ref="N22:N23"/>
    <mergeCell ref="D23:G23"/>
    <mergeCell ref="H23:K23"/>
    <mergeCell ref="C50:C51"/>
    <mergeCell ref="D50:G51"/>
    <mergeCell ref="H50:K51"/>
    <mergeCell ref="D52:G53"/>
    <mergeCell ref="D24:G25"/>
    <mergeCell ref="H30:K31"/>
    <mergeCell ref="D26:G27"/>
    <mergeCell ref="H26:K27"/>
    <mergeCell ref="D28:G29"/>
    <mergeCell ref="H24:K25"/>
    <mergeCell ref="D30:G31"/>
    <mergeCell ref="D45:G46"/>
    <mergeCell ref="D34:G35"/>
    <mergeCell ref="D36:G36"/>
    <mergeCell ref="D37:G37"/>
    <mergeCell ref="D38:G38"/>
    <mergeCell ref="Q28:V28"/>
    <mergeCell ref="B34:B35"/>
    <mergeCell ref="C34:C35"/>
    <mergeCell ref="H34:K35"/>
    <mergeCell ref="B56:B57"/>
    <mergeCell ref="C56:C57"/>
    <mergeCell ref="D56:G57"/>
    <mergeCell ref="H56:K57"/>
    <mergeCell ref="B54:B55"/>
    <mergeCell ref="C54:C55"/>
    <mergeCell ref="D54:G55"/>
    <mergeCell ref="H54:K55"/>
    <mergeCell ref="B52:B53"/>
    <mergeCell ref="C52:C53"/>
    <mergeCell ref="H52:K53"/>
    <mergeCell ref="B50:B5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71"/>
  <sheetViews>
    <sheetView workbookViewId="0">
      <pane ySplit="1" topLeftCell="A2" activePane="bottomLeft" state="frozen"/>
      <selection pane="bottomLeft" activeCell="N18" sqref="N18"/>
    </sheetView>
  </sheetViews>
  <sheetFormatPr defaultRowHeight="12.75"/>
  <cols>
    <col min="1" max="1" width="5" style="4" bestFit="1" customWidth="1"/>
    <col min="2" max="2" width="7" style="4" bestFit="1" customWidth="1"/>
    <col min="3" max="3" width="7.5546875" style="4" bestFit="1" customWidth="1"/>
    <col min="4" max="5" width="6.44140625" style="4" bestFit="1" customWidth="1"/>
    <col min="6" max="6" width="5.6640625" style="4" bestFit="1" customWidth="1"/>
    <col min="7" max="7" width="7" style="4" bestFit="1" customWidth="1"/>
    <col min="8" max="8" width="10" style="4" customWidth="1"/>
    <col min="9" max="9" width="10.109375" style="4" customWidth="1"/>
    <col min="10" max="11" width="7.21875" style="4" bestFit="1" customWidth="1"/>
    <col min="12" max="13" width="6.44140625" style="4" bestFit="1" customWidth="1"/>
    <col min="14" max="14" width="7.6640625" style="4" customWidth="1"/>
    <col min="15" max="15" width="6.88671875" style="4" bestFit="1" customWidth="1"/>
    <col min="16" max="17" width="3.44140625" style="4" customWidth="1"/>
    <col min="18" max="18" width="4" style="4" bestFit="1" customWidth="1"/>
    <col min="19" max="19" width="8.88671875" style="4"/>
    <col min="20" max="20" width="5.6640625" style="4" bestFit="1" customWidth="1"/>
    <col min="21" max="21" width="4.6640625" style="4" bestFit="1" customWidth="1"/>
    <col min="22" max="22" width="4" style="4" bestFit="1" customWidth="1"/>
    <col min="23" max="23" width="7" style="4" bestFit="1" customWidth="1"/>
    <col min="24" max="24" width="4.6640625" style="4" bestFit="1" customWidth="1"/>
    <col min="25" max="25" width="8.6640625" style="4" bestFit="1" customWidth="1"/>
    <col min="26" max="29" width="4.6640625" style="4" bestFit="1" customWidth="1"/>
    <col min="30" max="16384" width="8.88671875" style="4"/>
  </cols>
  <sheetData>
    <row r="1" spans="1:29" ht="13.5" thickBot="1">
      <c r="A1" s="66" t="s">
        <v>46</v>
      </c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77" t="s">
        <v>16</v>
      </c>
      <c r="O1" s="304" t="s">
        <v>241</v>
      </c>
      <c r="Q1" s="302">
        <v>1</v>
      </c>
      <c r="R1" s="302">
        <v>2</v>
      </c>
      <c r="S1" s="302">
        <v>3</v>
      </c>
      <c r="T1" s="302">
        <v>4</v>
      </c>
      <c r="U1" s="302">
        <v>5</v>
      </c>
      <c r="V1" s="302">
        <v>6</v>
      </c>
      <c r="W1" s="302">
        <v>7</v>
      </c>
      <c r="X1" s="302">
        <v>8</v>
      </c>
      <c r="Y1" s="302">
        <v>9</v>
      </c>
      <c r="Z1" s="302">
        <v>10</v>
      </c>
      <c r="AA1" s="302">
        <v>11</v>
      </c>
      <c r="AB1" s="302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2"/>
      <c r="K2" s="72"/>
      <c r="L2" s="72"/>
      <c r="M2" s="70">
        <v>0.55000000000000004</v>
      </c>
      <c r="N2" s="73">
        <f t="shared" ref="N2:N15" si="0">SUM(B2:M2)</f>
        <v>0.55000000000000004</v>
      </c>
      <c r="O2" s="303">
        <f>AC2</f>
        <v>12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>
        <v>12</v>
      </c>
      <c r="AC2" s="297">
        <f>SUM(Q2:AB2)</f>
        <v>12</v>
      </c>
    </row>
    <row r="3" spans="1:29">
      <c r="A3" s="3">
        <v>1999</v>
      </c>
      <c r="B3" s="5"/>
      <c r="C3" s="5"/>
      <c r="D3" s="5">
        <v>0.01</v>
      </c>
      <c r="E3" s="5"/>
      <c r="F3" s="5"/>
      <c r="G3" s="5"/>
      <c r="H3" s="5"/>
      <c r="I3" s="5">
        <v>4.12</v>
      </c>
      <c r="J3" s="5"/>
      <c r="K3" s="5"/>
      <c r="L3" s="5"/>
      <c r="M3" s="5"/>
      <c r="N3" s="70">
        <f t="shared" si="0"/>
        <v>4.13</v>
      </c>
      <c r="O3" s="132">
        <f t="shared" ref="O3:O17" si="1">AC3</f>
        <v>81</v>
      </c>
      <c r="Q3" s="292"/>
      <c r="R3" s="292"/>
      <c r="S3" s="292">
        <v>1</v>
      </c>
      <c r="T3" s="292"/>
      <c r="U3" s="292"/>
      <c r="V3" s="292"/>
      <c r="W3" s="292"/>
      <c r="X3" s="292">
        <v>80</v>
      </c>
      <c r="Y3" s="292"/>
      <c r="Z3" s="292"/>
      <c r="AA3" s="292"/>
      <c r="AB3" s="292"/>
      <c r="AC3" s="297">
        <f t="shared" ref="AC3:AC17" si="2">SUM(Q3:AB3)</f>
        <v>81</v>
      </c>
    </row>
    <row r="4" spans="1:29">
      <c r="A4" s="3">
        <v>2000</v>
      </c>
      <c r="B4" s="5"/>
      <c r="C4" s="5"/>
      <c r="D4" s="5"/>
      <c r="E4" s="5"/>
      <c r="F4" s="5">
        <v>0.95</v>
      </c>
      <c r="G4" s="5"/>
      <c r="H4" s="5"/>
      <c r="I4" s="5"/>
      <c r="J4" s="5"/>
      <c r="K4" s="5"/>
      <c r="L4" s="5">
        <v>17.059999999999999</v>
      </c>
      <c r="M4" s="5"/>
      <c r="N4" s="70">
        <f t="shared" si="0"/>
        <v>18.009999999999998</v>
      </c>
      <c r="O4" s="132">
        <f t="shared" si="1"/>
        <v>284</v>
      </c>
      <c r="Q4" s="292"/>
      <c r="R4" s="292"/>
      <c r="S4" s="292"/>
      <c r="T4" s="292"/>
      <c r="U4" s="292"/>
      <c r="V4" s="292">
        <v>16</v>
      </c>
      <c r="W4" s="292"/>
      <c r="X4" s="292"/>
      <c r="Y4" s="292"/>
      <c r="Z4" s="292"/>
      <c r="AA4" s="292">
        <v>268</v>
      </c>
      <c r="AB4" s="292"/>
      <c r="AC4" s="297">
        <f t="shared" si="2"/>
        <v>284</v>
      </c>
    </row>
    <row r="5" spans="1:29">
      <c r="A5" s="3">
        <v>2001</v>
      </c>
      <c r="B5" s="5"/>
      <c r="C5" s="5">
        <v>3.12</v>
      </c>
      <c r="D5" s="5">
        <v>0.32</v>
      </c>
      <c r="E5" s="5">
        <v>0.16</v>
      </c>
      <c r="F5" s="5"/>
      <c r="G5" s="5">
        <v>0.32</v>
      </c>
      <c r="H5" s="5"/>
      <c r="I5" s="5"/>
      <c r="J5" s="5"/>
      <c r="K5" s="5"/>
      <c r="L5" s="5"/>
      <c r="M5" s="5"/>
      <c r="N5" s="70">
        <f t="shared" si="0"/>
        <v>3.92</v>
      </c>
      <c r="O5" s="132">
        <f t="shared" si="1"/>
        <v>59</v>
      </c>
      <c r="Q5" s="292"/>
      <c r="R5" s="292">
        <v>47</v>
      </c>
      <c r="S5" s="292">
        <v>5</v>
      </c>
      <c r="T5" s="292">
        <v>2</v>
      </c>
      <c r="U5" s="292"/>
      <c r="V5" s="292">
        <v>5</v>
      </c>
      <c r="W5" s="292"/>
      <c r="X5" s="292"/>
      <c r="Y5" s="292"/>
      <c r="Z5" s="292"/>
      <c r="AA5" s="292"/>
      <c r="AB5" s="292"/>
      <c r="AC5" s="297">
        <f t="shared" si="2"/>
        <v>59</v>
      </c>
    </row>
    <row r="6" spans="1:29">
      <c r="A6" s="3">
        <v>2002</v>
      </c>
      <c r="B6" s="5"/>
      <c r="C6" s="5"/>
      <c r="D6" s="5"/>
      <c r="E6" s="5"/>
      <c r="F6" s="5"/>
      <c r="G6" s="5">
        <v>0.42</v>
      </c>
      <c r="H6" s="5"/>
      <c r="I6" s="5"/>
      <c r="J6" s="5"/>
      <c r="K6" s="5"/>
      <c r="L6" s="5">
        <v>6.97</v>
      </c>
      <c r="M6" s="5">
        <v>10.28</v>
      </c>
      <c r="N6" s="70">
        <f t="shared" si="0"/>
        <v>17.669999999999998</v>
      </c>
      <c r="O6" s="132">
        <f t="shared" si="1"/>
        <v>217</v>
      </c>
      <c r="Q6" s="292"/>
      <c r="R6" s="292"/>
      <c r="S6" s="292"/>
      <c r="T6" s="292"/>
      <c r="U6" s="292"/>
      <c r="V6" s="292"/>
      <c r="W6" s="292">
        <v>5</v>
      </c>
      <c r="X6" s="292"/>
      <c r="Y6" s="292"/>
      <c r="Z6" s="292"/>
      <c r="AA6" s="292">
        <v>86</v>
      </c>
      <c r="AB6" s="292">
        <v>126</v>
      </c>
      <c r="AC6" s="297">
        <f t="shared" si="2"/>
        <v>217</v>
      </c>
    </row>
    <row r="7" spans="1:29">
      <c r="A7" s="3">
        <v>2003</v>
      </c>
      <c r="B7" s="86"/>
      <c r="C7" s="86"/>
      <c r="D7" s="86">
        <v>0.68</v>
      </c>
      <c r="E7" s="86"/>
      <c r="F7" s="86">
        <v>6.47</v>
      </c>
      <c r="G7" s="86"/>
      <c r="H7" s="86">
        <v>1.1499999999999999</v>
      </c>
      <c r="I7" s="86">
        <v>34.57</v>
      </c>
      <c r="J7" s="86">
        <v>0.04</v>
      </c>
      <c r="K7" s="86">
        <v>8.8800000000000008</v>
      </c>
      <c r="L7" s="86"/>
      <c r="M7" s="86"/>
      <c r="N7" s="70">
        <f t="shared" si="0"/>
        <v>51.79</v>
      </c>
      <c r="O7" s="132">
        <f t="shared" si="1"/>
        <v>595</v>
      </c>
      <c r="Q7" s="292"/>
      <c r="R7" s="292"/>
      <c r="S7" s="291">
        <v>8</v>
      </c>
      <c r="T7" s="292"/>
      <c r="U7" s="291">
        <v>76</v>
      </c>
      <c r="V7" s="292"/>
      <c r="W7" s="291">
        <v>13</v>
      </c>
      <c r="X7" s="292">
        <v>397</v>
      </c>
      <c r="Y7" s="291">
        <v>1</v>
      </c>
      <c r="Z7" s="291">
        <v>100</v>
      </c>
      <c r="AA7" s="292"/>
      <c r="AB7" s="292"/>
      <c r="AC7" s="297">
        <f t="shared" si="2"/>
        <v>595</v>
      </c>
    </row>
    <row r="8" spans="1:29">
      <c r="A8" s="3">
        <v>2004</v>
      </c>
      <c r="B8" s="86"/>
      <c r="C8" s="86"/>
      <c r="D8" s="86"/>
      <c r="E8" s="86"/>
      <c r="F8" s="86"/>
      <c r="G8" s="86">
        <v>0.31</v>
      </c>
      <c r="H8" s="86"/>
      <c r="I8" s="86"/>
      <c r="J8" s="86"/>
      <c r="K8" s="86">
        <v>47.84</v>
      </c>
      <c r="L8" s="86"/>
      <c r="M8" s="86">
        <v>11.63</v>
      </c>
      <c r="N8" s="70">
        <f t="shared" si="0"/>
        <v>59.780000000000008</v>
      </c>
      <c r="O8" s="407"/>
      <c r="Q8" s="292"/>
      <c r="R8" s="292"/>
      <c r="S8" s="292"/>
      <c r="T8" s="292"/>
      <c r="U8" s="292"/>
      <c r="V8" s="297">
        <v>3</v>
      </c>
      <c r="W8" s="292"/>
      <c r="X8" s="292"/>
      <c r="Y8" s="292"/>
      <c r="Z8" s="297">
        <v>497</v>
      </c>
      <c r="AA8" s="292"/>
      <c r="AB8" s="297">
        <v>119</v>
      </c>
      <c r="AC8" s="297">
        <f t="shared" si="2"/>
        <v>619</v>
      </c>
    </row>
    <row r="9" spans="1:29">
      <c r="A9" s="3">
        <v>2005</v>
      </c>
      <c r="B9" s="5"/>
      <c r="C9" s="5"/>
      <c r="D9" s="5">
        <v>41.64</v>
      </c>
      <c r="E9" s="5"/>
      <c r="F9" s="5">
        <v>1.18</v>
      </c>
      <c r="G9" s="5"/>
      <c r="H9" s="5">
        <v>4.4800000000000004</v>
      </c>
      <c r="I9" s="5">
        <v>1.83</v>
      </c>
      <c r="J9" s="5">
        <v>34.57</v>
      </c>
      <c r="K9" s="5"/>
      <c r="L9" s="5"/>
      <c r="M9" s="5">
        <v>9</v>
      </c>
      <c r="N9" s="70">
        <f t="shared" si="0"/>
        <v>92.699999999999989</v>
      </c>
      <c r="O9" s="407"/>
      <c r="Q9" s="292"/>
      <c r="R9" s="292"/>
      <c r="S9" s="292"/>
      <c r="T9" s="292"/>
      <c r="U9" s="292"/>
      <c r="V9" s="292"/>
      <c r="W9" s="292">
        <v>48</v>
      </c>
      <c r="X9" s="292"/>
      <c r="Y9" s="292"/>
      <c r="Z9" s="292"/>
      <c r="AA9" s="292"/>
      <c r="AB9" s="292"/>
      <c r="AC9" s="297">
        <f t="shared" si="2"/>
        <v>48</v>
      </c>
    </row>
    <row r="10" spans="1:29">
      <c r="A10" s="3">
        <v>2006</v>
      </c>
      <c r="B10" s="5"/>
      <c r="C10" s="5"/>
      <c r="D10" s="5">
        <v>21.6</v>
      </c>
      <c r="E10" s="5"/>
      <c r="F10" s="5"/>
      <c r="G10" s="5"/>
      <c r="H10" s="5"/>
      <c r="I10" s="5"/>
      <c r="J10" s="5">
        <v>0.97</v>
      </c>
      <c r="K10" s="5"/>
      <c r="L10" s="5"/>
      <c r="M10" s="5"/>
      <c r="N10" s="70">
        <f t="shared" si="0"/>
        <v>22.57</v>
      </c>
      <c r="O10" s="132">
        <f t="shared" si="1"/>
        <v>199</v>
      </c>
      <c r="Q10" s="292"/>
      <c r="R10" s="292"/>
      <c r="S10" s="292">
        <v>191</v>
      </c>
      <c r="T10" s="292"/>
      <c r="U10" s="292"/>
      <c r="V10" s="292"/>
      <c r="W10" s="292"/>
      <c r="X10" s="292"/>
      <c r="Y10" s="292">
        <v>8</v>
      </c>
      <c r="Z10" s="292"/>
      <c r="AA10" s="292"/>
      <c r="AB10" s="292"/>
      <c r="AC10" s="297">
        <f t="shared" si="2"/>
        <v>199</v>
      </c>
    </row>
    <row r="11" spans="1:29">
      <c r="A11" s="3">
        <v>2007</v>
      </c>
      <c r="B11" s="5"/>
      <c r="C11" s="5"/>
      <c r="D11" s="5">
        <v>0.16</v>
      </c>
      <c r="E11" s="5">
        <v>18.43</v>
      </c>
      <c r="F11" s="5"/>
      <c r="G11" s="5"/>
      <c r="H11" s="5"/>
      <c r="I11" s="5"/>
      <c r="J11" s="5"/>
      <c r="K11" s="5"/>
      <c r="L11" s="5"/>
      <c r="M11" s="5"/>
      <c r="N11" s="70">
        <f t="shared" si="0"/>
        <v>18.59</v>
      </c>
      <c r="O11" s="132">
        <f t="shared" si="1"/>
        <v>146</v>
      </c>
      <c r="Q11" s="292"/>
      <c r="R11" s="292"/>
      <c r="S11" s="292">
        <v>1</v>
      </c>
      <c r="T11" s="292">
        <v>145</v>
      </c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146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0.87</v>
      </c>
      <c r="N12" s="70">
        <f t="shared" si="0"/>
        <v>0.87</v>
      </c>
      <c r="O12" s="132">
        <f t="shared" si="1"/>
        <v>6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>
        <v>6</v>
      </c>
      <c r="AC12" s="297">
        <f t="shared" si="2"/>
        <v>6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0">
        <f t="shared" si="0"/>
        <v>0</v>
      </c>
      <c r="O13" s="132">
        <f t="shared" si="1"/>
        <v>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7">
        <f t="shared" si="2"/>
        <v>0</v>
      </c>
    </row>
    <row r="14" spans="1:29">
      <c r="A14" s="3">
        <v>2010</v>
      </c>
      <c r="B14" s="5"/>
      <c r="C14" s="5"/>
      <c r="D14" s="5">
        <v>3.15</v>
      </c>
      <c r="E14" s="5">
        <v>0.63</v>
      </c>
      <c r="F14" s="5">
        <v>4.47</v>
      </c>
      <c r="G14" s="5">
        <v>12.44</v>
      </c>
      <c r="H14" s="5"/>
      <c r="I14" s="5"/>
      <c r="J14" s="5"/>
      <c r="K14" s="5"/>
      <c r="L14" s="5"/>
      <c r="M14" s="5"/>
      <c r="N14" s="70">
        <f t="shared" si="0"/>
        <v>20.689999999999998</v>
      </c>
      <c r="O14" s="132">
        <f t="shared" si="1"/>
        <v>117</v>
      </c>
      <c r="Q14" s="291"/>
      <c r="R14" s="291"/>
      <c r="S14" s="291">
        <v>18</v>
      </c>
      <c r="T14" s="291">
        <v>4</v>
      </c>
      <c r="U14" s="291">
        <v>25</v>
      </c>
      <c r="V14" s="291">
        <v>70</v>
      </c>
      <c r="W14" s="291"/>
      <c r="X14" s="291"/>
      <c r="Y14" s="291"/>
      <c r="Z14" s="291"/>
      <c r="AA14" s="291"/>
      <c r="AB14" s="291"/>
      <c r="AC14" s="301">
        <f t="shared" si="2"/>
        <v>117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13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>
        <v>22.97</v>
      </c>
      <c r="I16" s="5">
        <v>22.18</v>
      </c>
      <c r="J16" s="5"/>
      <c r="K16" s="5"/>
      <c r="L16" s="5"/>
      <c r="M16" s="5"/>
      <c r="N16" s="70">
        <f>SUM(B16:M16)</f>
        <v>45.15</v>
      </c>
      <c r="O16" s="132">
        <f t="shared" si="1"/>
        <v>212</v>
      </c>
      <c r="Q16" s="292"/>
      <c r="R16" s="292"/>
      <c r="S16" s="292"/>
      <c r="T16" s="292"/>
      <c r="U16" s="292"/>
      <c r="V16" s="292"/>
      <c r="W16" s="292">
        <v>108</v>
      </c>
      <c r="X16" s="292">
        <v>104</v>
      </c>
      <c r="Y16" s="292"/>
      <c r="Z16" s="292"/>
      <c r="AA16" s="292"/>
      <c r="AB16" s="292"/>
      <c r="AC16" s="297">
        <f t="shared" si="2"/>
        <v>212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>SUM(B17:M17)</f>
        <v>0</v>
      </c>
      <c r="O17" s="306">
        <f t="shared" si="1"/>
        <v>0</v>
      </c>
      <c r="P17" s="6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356.41999999999996</v>
      </c>
      <c r="O18" s="132">
        <f>SUM(O2:O17)</f>
        <v>1928</v>
      </c>
      <c r="S18" s="286"/>
      <c r="T18" s="302"/>
      <c r="U18" s="288" t="s">
        <v>443</v>
      </c>
      <c r="V18" s="302"/>
      <c r="W18" s="302" t="s">
        <v>3</v>
      </c>
      <c r="X18" s="302"/>
      <c r="Y18" s="302" t="s">
        <v>444</v>
      </c>
    </row>
    <row r="19" spans="1:29">
      <c r="O19" s="406">
        <v>4305</v>
      </c>
      <c r="S19" s="289" t="s">
        <v>445</v>
      </c>
      <c r="T19" s="290">
        <v>5555</v>
      </c>
      <c r="U19" s="291">
        <v>111</v>
      </c>
      <c r="V19" s="292"/>
      <c r="W19" s="292">
        <f>T19*U19</f>
        <v>616605</v>
      </c>
      <c r="X19" s="1"/>
      <c r="Y19" s="291">
        <f>O19*W19/N18</f>
        <v>7447630.6744851591</v>
      </c>
    </row>
    <row r="20" spans="1:29">
      <c r="O20" s="298" t="s">
        <v>302</v>
      </c>
      <c r="S20" s="289" t="s">
        <v>446</v>
      </c>
      <c r="T20" s="291">
        <v>5555</v>
      </c>
      <c r="U20" s="291">
        <v>55</v>
      </c>
      <c r="V20" s="292"/>
      <c r="W20" s="292">
        <f>T20*U20</f>
        <v>305525</v>
      </c>
      <c r="X20" s="292"/>
      <c r="Y20" s="291">
        <v>6666666</v>
      </c>
    </row>
    <row r="21" spans="1:29">
      <c r="A21" s="732" t="s">
        <v>186</v>
      </c>
      <c r="B21" s="732"/>
      <c r="C21" s="732"/>
      <c r="D21" s="732"/>
      <c r="E21" s="732"/>
      <c r="F21" s="732"/>
      <c r="G21" s="732"/>
      <c r="H21" s="732"/>
      <c r="I21" s="732"/>
      <c r="J21" s="732"/>
      <c r="K21" s="732"/>
      <c r="L21" s="732"/>
      <c r="M21" s="732"/>
      <c r="N21" s="732"/>
      <c r="O21" s="257">
        <v>46063</v>
      </c>
      <c r="P21" s="78"/>
      <c r="S21" s="289" t="s">
        <v>447</v>
      </c>
      <c r="T21" s="291">
        <v>5555</v>
      </c>
      <c r="U21" s="291">
        <v>11</v>
      </c>
      <c r="V21" s="292"/>
      <c r="W21" s="292">
        <f>T21*U21</f>
        <v>61105</v>
      </c>
      <c r="X21" s="292"/>
      <c r="Y21" s="291">
        <v>7777777</v>
      </c>
    </row>
    <row r="22" spans="1:29">
      <c r="S22" s="293"/>
      <c r="T22" s="294"/>
      <c r="U22" s="292"/>
      <c r="V22" s="292"/>
      <c r="W22" s="292">
        <f t="shared" ref="W22" si="3">SUM(W19:W21)</f>
        <v>983235</v>
      </c>
      <c r="X22" s="292"/>
      <c r="Y22" s="291">
        <f>SUM(Y19:Y21)</f>
        <v>21892073.674485158</v>
      </c>
    </row>
    <row r="23" spans="1:29">
      <c r="A23" s="577" t="s">
        <v>46</v>
      </c>
      <c r="B23" s="577" t="s">
        <v>49</v>
      </c>
      <c r="C23" s="579" t="s">
        <v>56</v>
      </c>
      <c r="D23" s="581" t="s">
        <v>52</v>
      </c>
      <c r="E23" s="582"/>
      <c r="F23" s="582"/>
      <c r="G23" s="583"/>
      <c r="H23" s="733" t="s">
        <v>57</v>
      </c>
      <c r="I23" s="733"/>
      <c r="J23" s="658" t="s">
        <v>53</v>
      </c>
      <c r="K23" s="660"/>
      <c r="L23" s="577" t="s">
        <v>48</v>
      </c>
    </row>
    <row r="24" spans="1:29">
      <c r="A24" s="578"/>
      <c r="B24" s="578"/>
      <c r="C24" s="580"/>
      <c r="D24" s="584"/>
      <c r="E24" s="585"/>
      <c r="F24" s="585"/>
      <c r="G24" s="586"/>
      <c r="H24" s="79" t="s">
        <v>15</v>
      </c>
      <c r="I24" s="62" t="s">
        <v>47</v>
      </c>
      <c r="J24" s="79" t="s">
        <v>15</v>
      </c>
      <c r="K24" s="63" t="s">
        <v>47</v>
      </c>
      <c r="L24" s="578"/>
    </row>
    <row r="25" spans="1:29" ht="13.5" thickBot="1">
      <c r="A25" s="180">
        <v>1998</v>
      </c>
      <c r="B25" s="145">
        <v>45289</v>
      </c>
      <c r="C25" s="66">
        <v>216</v>
      </c>
      <c r="D25" s="561" t="s">
        <v>54</v>
      </c>
      <c r="E25" s="562"/>
      <c r="F25" s="562"/>
      <c r="G25" s="563"/>
      <c r="H25" s="181">
        <v>400000</v>
      </c>
      <c r="I25" s="181">
        <v>225000</v>
      </c>
      <c r="J25" s="66">
        <v>2.1</v>
      </c>
      <c r="K25" s="66">
        <v>1.55</v>
      </c>
      <c r="L25" s="170">
        <f>J25-K25</f>
        <v>0.55000000000000004</v>
      </c>
      <c r="M25" s="171"/>
      <c r="N25" s="137" t="s">
        <v>113</v>
      </c>
      <c r="Q25" s="7"/>
    </row>
    <row r="26" spans="1:29">
      <c r="A26" s="558">
        <v>1999</v>
      </c>
      <c r="B26" s="182">
        <v>44988</v>
      </c>
      <c r="C26" s="183">
        <v>298</v>
      </c>
      <c r="D26" s="573" t="s">
        <v>75</v>
      </c>
      <c r="E26" s="574"/>
      <c r="F26" s="574"/>
      <c r="G26" s="575"/>
      <c r="H26" s="184">
        <v>518800</v>
      </c>
      <c r="I26" s="184">
        <v>515800</v>
      </c>
      <c r="J26" s="183">
        <v>2.48</v>
      </c>
      <c r="K26" s="183">
        <v>2.4700000000000002</v>
      </c>
      <c r="L26" s="185">
        <f>J26-K26</f>
        <v>9.9999999999997868E-3</v>
      </c>
      <c r="M26" s="172"/>
    </row>
    <row r="27" spans="1:29" ht="13.5" thickBot="1">
      <c r="A27" s="560"/>
      <c r="B27" s="145">
        <v>45146</v>
      </c>
      <c r="C27" s="66">
        <v>527</v>
      </c>
      <c r="D27" s="561" t="s">
        <v>110</v>
      </c>
      <c r="E27" s="562"/>
      <c r="F27" s="562"/>
      <c r="G27" s="563"/>
      <c r="H27" s="181">
        <v>10000000</v>
      </c>
      <c r="I27" s="181">
        <v>8700000</v>
      </c>
      <c r="J27" s="66">
        <v>32.53</v>
      </c>
      <c r="K27" s="66">
        <v>28.41</v>
      </c>
      <c r="L27" s="170">
        <f>J27-K27</f>
        <v>4.120000000000001</v>
      </c>
      <c r="M27" s="171"/>
    </row>
    <row r="28" spans="1:29">
      <c r="A28" s="601">
        <v>2000</v>
      </c>
      <c r="B28" s="182">
        <v>43953</v>
      </c>
      <c r="C28" s="186">
        <v>990</v>
      </c>
      <c r="D28" s="573" t="s">
        <v>58</v>
      </c>
      <c r="E28" s="574"/>
      <c r="F28" s="574"/>
      <c r="G28" s="575"/>
      <c r="H28" s="187">
        <v>1444800</v>
      </c>
      <c r="I28" s="187">
        <v>1144800</v>
      </c>
      <c r="J28" s="165">
        <v>5.41</v>
      </c>
      <c r="K28" s="165">
        <v>4.46</v>
      </c>
      <c r="L28" s="185">
        <f>J28-K28</f>
        <v>0.95000000000000018</v>
      </c>
      <c r="M28" s="172"/>
    </row>
    <row r="29" spans="1:29" ht="13.5" thickBot="1">
      <c r="A29" s="600"/>
      <c r="B29" s="145">
        <v>44157</v>
      </c>
      <c r="C29" s="146">
        <v>1315</v>
      </c>
      <c r="D29" s="561" t="s">
        <v>58</v>
      </c>
      <c r="E29" s="562"/>
      <c r="F29" s="562"/>
      <c r="G29" s="563"/>
      <c r="H29" s="188">
        <v>6980000</v>
      </c>
      <c r="I29" s="188">
        <v>1600000</v>
      </c>
      <c r="J29" s="148">
        <v>22.96</v>
      </c>
      <c r="K29" s="148">
        <v>5.9</v>
      </c>
      <c r="L29" s="170">
        <f t="shared" ref="L29:L71" si="4">J29-K29</f>
        <v>17.060000000000002</v>
      </c>
      <c r="M29" s="171"/>
    </row>
    <row r="30" spans="1:29">
      <c r="A30" s="558">
        <v>2001</v>
      </c>
      <c r="B30" s="182">
        <v>45324</v>
      </c>
      <c r="C30" s="186">
        <v>1436</v>
      </c>
      <c r="D30" s="573" t="s">
        <v>54</v>
      </c>
      <c r="E30" s="574"/>
      <c r="F30" s="574"/>
      <c r="G30" s="575"/>
      <c r="H30" s="235">
        <v>10071600</v>
      </c>
      <c r="I30" s="235">
        <v>10011600</v>
      </c>
      <c r="J30" s="165">
        <v>35.69</v>
      </c>
      <c r="K30" s="165">
        <v>32.57</v>
      </c>
      <c r="L30" s="196">
        <f t="shared" si="4"/>
        <v>3.1199999999999974</v>
      </c>
      <c r="M30" s="172"/>
    </row>
    <row r="31" spans="1:29">
      <c r="A31" s="559"/>
      <c r="B31" s="141">
        <v>45354</v>
      </c>
      <c r="C31" s="142">
        <v>1506</v>
      </c>
      <c r="D31" s="570" t="s">
        <v>110</v>
      </c>
      <c r="E31" s="571"/>
      <c r="F31" s="571"/>
      <c r="G31" s="572"/>
      <c r="H31" s="208">
        <v>661122</v>
      </c>
      <c r="I31" s="208">
        <v>561122</v>
      </c>
      <c r="J31" s="143">
        <v>2.93</v>
      </c>
      <c r="K31" s="143">
        <v>2.61</v>
      </c>
      <c r="L31" s="232">
        <f t="shared" si="4"/>
        <v>0.32000000000000028</v>
      </c>
      <c r="M31" s="174"/>
    </row>
    <row r="32" spans="1:29">
      <c r="A32" s="559"/>
      <c r="B32" s="141">
        <v>45028</v>
      </c>
      <c r="C32" s="142">
        <v>1530</v>
      </c>
      <c r="D32" s="564" t="s">
        <v>62</v>
      </c>
      <c r="E32" s="565"/>
      <c r="F32" s="565"/>
      <c r="G32" s="566"/>
      <c r="H32" s="208">
        <v>14000000</v>
      </c>
      <c r="I32" s="208">
        <v>13950000</v>
      </c>
      <c r="J32" s="143">
        <v>45.21</v>
      </c>
      <c r="K32" s="143">
        <v>45.05</v>
      </c>
      <c r="L32" s="117">
        <f t="shared" si="4"/>
        <v>0.16000000000000369</v>
      </c>
      <c r="M32" s="174"/>
    </row>
    <row r="33" spans="1:15" ht="13.5" thickBot="1">
      <c r="A33" s="560"/>
      <c r="B33" s="219">
        <v>45449</v>
      </c>
      <c r="C33" s="220">
        <v>1605</v>
      </c>
      <c r="D33" s="590" t="s">
        <v>110</v>
      </c>
      <c r="E33" s="591"/>
      <c r="F33" s="591"/>
      <c r="G33" s="592"/>
      <c r="H33" s="209">
        <v>14359400</v>
      </c>
      <c r="I33" s="209">
        <v>14259400</v>
      </c>
      <c r="J33" s="221">
        <v>46.35</v>
      </c>
      <c r="K33" s="221">
        <v>46.03</v>
      </c>
      <c r="L33" s="197">
        <f t="shared" ref="L33" si="5">J33-K33</f>
        <v>0.32000000000000028</v>
      </c>
      <c r="M33" s="171"/>
    </row>
    <row r="34" spans="1:15">
      <c r="A34" s="601">
        <v>2002</v>
      </c>
      <c r="B34" s="182">
        <v>45449</v>
      </c>
      <c r="C34" s="265">
        <v>2187</v>
      </c>
      <c r="D34" s="555" t="s">
        <v>54</v>
      </c>
      <c r="E34" s="556"/>
      <c r="F34" s="556"/>
      <c r="G34" s="557"/>
      <c r="H34" s="266">
        <v>29511.96</v>
      </c>
      <c r="I34" s="266">
        <v>29115.96</v>
      </c>
      <c r="J34" s="73">
        <v>32.700000000000003</v>
      </c>
      <c r="K34" s="73">
        <v>32.28</v>
      </c>
      <c r="L34" s="196">
        <f t="shared" si="4"/>
        <v>0.42000000000000171</v>
      </c>
      <c r="M34" s="172"/>
    </row>
    <row r="35" spans="1:15">
      <c r="A35" s="599"/>
      <c r="B35" s="80">
        <v>45243</v>
      </c>
      <c r="C35" s="134">
        <v>2519</v>
      </c>
      <c r="D35" s="567" t="s">
        <v>58</v>
      </c>
      <c r="E35" s="568"/>
      <c r="F35" s="568"/>
      <c r="G35" s="569"/>
      <c r="H35" s="86">
        <v>9682.24</v>
      </c>
      <c r="I35" s="86">
        <v>5682.24</v>
      </c>
      <c r="J35" s="5">
        <v>11.28</v>
      </c>
      <c r="K35" s="5">
        <v>6.97</v>
      </c>
      <c r="L35" s="117">
        <f t="shared" ref="L35" si="6">J35-K35</f>
        <v>4.3099999999999996</v>
      </c>
      <c r="M35" s="174"/>
    </row>
    <row r="36" spans="1:15" ht="13.5" thickBot="1">
      <c r="A36" s="600"/>
      <c r="B36" s="145">
        <v>45638</v>
      </c>
      <c r="C36" s="224">
        <v>2562</v>
      </c>
      <c r="D36" s="590" t="s">
        <v>110</v>
      </c>
      <c r="E36" s="591"/>
      <c r="F36" s="591"/>
      <c r="G36" s="592"/>
      <c r="H36" s="267">
        <v>8794.1299999999992</v>
      </c>
      <c r="I36" s="267">
        <v>8744.1299999999992</v>
      </c>
      <c r="J36" s="193">
        <v>10.32</v>
      </c>
      <c r="K36" s="193">
        <v>10.28</v>
      </c>
      <c r="L36" s="197">
        <f t="shared" si="4"/>
        <v>4.0000000000000924E-2</v>
      </c>
      <c r="M36" s="171"/>
    </row>
    <row r="37" spans="1:15">
      <c r="A37" s="558">
        <v>2003</v>
      </c>
      <c r="B37" s="182">
        <v>45354</v>
      </c>
      <c r="C37" s="186">
        <v>2750</v>
      </c>
      <c r="D37" s="573" t="s">
        <v>58</v>
      </c>
      <c r="E37" s="574"/>
      <c r="F37" s="574"/>
      <c r="G37" s="575"/>
      <c r="H37" s="240">
        <v>10000</v>
      </c>
      <c r="I37" s="240">
        <v>9370.32</v>
      </c>
      <c r="J37" s="165">
        <v>11.63</v>
      </c>
      <c r="K37" s="165">
        <v>10.95</v>
      </c>
      <c r="L37" s="196">
        <f t="shared" si="4"/>
        <v>0.68000000000000149</v>
      </c>
      <c r="M37" s="172"/>
    </row>
    <row r="38" spans="1:15">
      <c r="A38" s="559"/>
      <c r="B38" s="141">
        <v>45417</v>
      </c>
      <c r="C38" s="142">
        <v>2853</v>
      </c>
      <c r="D38" s="570" t="s">
        <v>110</v>
      </c>
      <c r="E38" s="571"/>
      <c r="F38" s="571"/>
      <c r="G38" s="572"/>
      <c r="H38" s="315">
        <v>79367</v>
      </c>
      <c r="I38" s="315">
        <v>73367</v>
      </c>
      <c r="J38" s="143">
        <v>86.54</v>
      </c>
      <c r="K38" s="143">
        <v>80.069999999999993</v>
      </c>
      <c r="L38" s="232">
        <f t="shared" si="4"/>
        <v>6.4700000000000131</v>
      </c>
      <c r="M38" s="174"/>
    </row>
    <row r="39" spans="1:15">
      <c r="A39" s="559"/>
      <c r="B39" s="141">
        <v>45480</v>
      </c>
      <c r="C39" s="142">
        <v>2991</v>
      </c>
      <c r="D39" s="570" t="s">
        <v>62</v>
      </c>
      <c r="E39" s="571"/>
      <c r="F39" s="571"/>
      <c r="G39" s="572"/>
      <c r="H39" s="315">
        <v>117.38</v>
      </c>
      <c r="I39" s="315">
        <v>0</v>
      </c>
      <c r="J39" s="143">
        <v>0.95</v>
      </c>
      <c r="K39" s="143">
        <v>0.44</v>
      </c>
      <c r="L39" s="241">
        <f t="shared" si="4"/>
        <v>0.51</v>
      </c>
      <c r="M39" s="174"/>
    </row>
    <row r="40" spans="1:15">
      <c r="A40" s="559"/>
      <c r="B40" s="141">
        <v>45496</v>
      </c>
      <c r="C40" s="142">
        <v>3034</v>
      </c>
      <c r="D40" s="570" t="s">
        <v>75</v>
      </c>
      <c r="E40" s="571"/>
      <c r="F40" s="571"/>
      <c r="G40" s="572"/>
      <c r="H40" s="315">
        <v>7643.29</v>
      </c>
      <c r="I40" s="315">
        <v>7043.29</v>
      </c>
      <c r="J40" s="143">
        <v>9.08</v>
      </c>
      <c r="K40" s="143">
        <v>8.44</v>
      </c>
      <c r="L40" s="241">
        <f t="shared" si="4"/>
        <v>0.64000000000000057</v>
      </c>
      <c r="M40" s="179">
        <f>L39+L40</f>
        <v>1.1500000000000006</v>
      </c>
    </row>
    <row r="41" spans="1:15">
      <c r="A41" s="559"/>
      <c r="B41" s="133">
        <v>45165</v>
      </c>
      <c r="C41" s="134">
        <v>3149</v>
      </c>
      <c r="D41" s="567" t="s">
        <v>156</v>
      </c>
      <c r="E41" s="568"/>
      <c r="F41" s="568"/>
      <c r="G41" s="569"/>
      <c r="H41" s="86">
        <v>40097.769999999997</v>
      </c>
      <c r="I41" s="86">
        <v>8000</v>
      </c>
      <c r="J41" s="60">
        <v>44.04</v>
      </c>
      <c r="K41" s="60">
        <v>9.4700000000000006</v>
      </c>
      <c r="L41" s="117">
        <f t="shared" ref="L41:L42" si="7">J41-K41</f>
        <v>34.57</v>
      </c>
      <c r="M41" s="179"/>
      <c r="O41" s="6" t="s">
        <v>472</v>
      </c>
    </row>
    <row r="42" spans="1:15">
      <c r="A42" s="559"/>
      <c r="B42" s="133">
        <v>45544</v>
      </c>
      <c r="C42" s="134">
        <v>3286</v>
      </c>
      <c r="D42" s="567" t="s">
        <v>97</v>
      </c>
      <c r="E42" s="568"/>
      <c r="F42" s="568"/>
      <c r="G42" s="569"/>
      <c r="H42" s="86">
        <v>14397.35</v>
      </c>
      <c r="I42" s="86">
        <v>14347.35</v>
      </c>
      <c r="J42" s="60">
        <v>16.37</v>
      </c>
      <c r="K42" s="60">
        <v>16.329999999999998</v>
      </c>
      <c r="L42" s="117">
        <f t="shared" si="7"/>
        <v>4.00000000000027E-2</v>
      </c>
      <c r="M42" s="179"/>
    </row>
    <row r="43" spans="1:15" ht="13.5" thickBot="1">
      <c r="A43" s="560"/>
      <c r="B43" s="223">
        <v>45575</v>
      </c>
      <c r="C43" s="224">
        <v>3369</v>
      </c>
      <c r="D43" s="590" t="s">
        <v>97</v>
      </c>
      <c r="E43" s="591"/>
      <c r="F43" s="591"/>
      <c r="G43" s="592"/>
      <c r="H43" s="267">
        <v>7864.14</v>
      </c>
      <c r="I43" s="267">
        <v>0</v>
      </c>
      <c r="J43" s="148">
        <v>9.32</v>
      </c>
      <c r="K43" s="148">
        <v>0.44</v>
      </c>
      <c r="L43" s="197">
        <f t="shared" si="4"/>
        <v>8.8800000000000008</v>
      </c>
      <c r="M43" s="171"/>
      <c r="O43" s="4" t="s">
        <v>460</v>
      </c>
    </row>
    <row r="44" spans="1:15">
      <c r="A44" s="601">
        <v>2004</v>
      </c>
      <c r="B44" s="326">
        <v>45814</v>
      </c>
      <c r="C44" s="265">
        <v>3947</v>
      </c>
      <c r="D44" s="555" t="s">
        <v>58</v>
      </c>
      <c r="E44" s="556"/>
      <c r="F44" s="556"/>
      <c r="G44" s="557"/>
      <c r="H44" s="266">
        <v>27555.45</v>
      </c>
      <c r="I44" s="266">
        <v>27255.45</v>
      </c>
      <c r="J44" s="73">
        <v>30.58</v>
      </c>
      <c r="K44" s="73">
        <v>30.27</v>
      </c>
      <c r="L44" s="196">
        <f t="shared" si="4"/>
        <v>0.30999999999999872</v>
      </c>
      <c r="M44" s="172"/>
      <c r="O44" s="4" t="s">
        <v>490</v>
      </c>
    </row>
    <row r="45" spans="1:15">
      <c r="A45" s="599"/>
      <c r="B45" s="230">
        <v>45940</v>
      </c>
      <c r="C45" s="231">
        <v>4363</v>
      </c>
      <c r="D45" s="593" t="s">
        <v>62</v>
      </c>
      <c r="E45" s="594"/>
      <c r="F45" s="594"/>
      <c r="G45" s="595"/>
      <c r="H45" s="374">
        <v>116805.08</v>
      </c>
      <c r="I45" s="374">
        <v>72498.77</v>
      </c>
      <c r="J45" s="70">
        <v>126.97</v>
      </c>
      <c r="K45" s="70">
        <v>79.13</v>
      </c>
      <c r="L45" s="232">
        <f t="shared" si="4"/>
        <v>47.84</v>
      </c>
      <c r="M45" s="174"/>
      <c r="O45" s="4" t="s">
        <v>515</v>
      </c>
    </row>
    <row r="46" spans="1:15" ht="13.5" thickBot="1">
      <c r="A46" s="600"/>
      <c r="B46" s="226">
        <v>46003</v>
      </c>
      <c r="C46" s="227">
        <v>4472</v>
      </c>
      <c r="D46" s="596" t="s">
        <v>518</v>
      </c>
      <c r="E46" s="597"/>
      <c r="F46" s="597"/>
      <c r="G46" s="598"/>
      <c r="H46" s="375">
        <v>10000</v>
      </c>
      <c r="I46" s="375">
        <v>0</v>
      </c>
      <c r="J46" s="229">
        <v>14.56</v>
      </c>
      <c r="K46" s="229">
        <v>2.93</v>
      </c>
      <c r="L46" s="234">
        <f t="shared" si="4"/>
        <v>11.63</v>
      </c>
      <c r="M46" s="171"/>
    </row>
    <row r="47" spans="1:15">
      <c r="A47" s="396">
        <v>2005</v>
      </c>
      <c r="B47" s="230">
        <v>45742</v>
      </c>
      <c r="C47" s="231">
        <v>4685</v>
      </c>
      <c r="D47" s="555" t="s">
        <v>58</v>
      </c>
      <c r="E47" s="556"/>
      <c r="F47" s="556"/>
      <c r="G47" s="557"/>
      <c r="H47" s="504">
        <v>16035.1</v>
      </c>
      <c r="I47" s="504">
        <v>550.04</v>
      </c>
      <c r="J47" s="70">
        <v>18.14</v>
      </c>
      <c r="K47" s="70">
        <v>1.43</v>
      </c>
      <c r="L47" s="241">
        <f t="shared" si="4"/>
        <v>16.71</v>
      </c>
      <c r="M47" s="254"/>
    </row>
    <row r="48" spans="1:15">
      <c r="A48" s="472"/>
      <c r="B48" s="133">
        <v>45744</v>
      </c>
      <c r="C48" s="231">
        <v>4691</v>
      </c>
      <c r="D48" s="567" t="s">
        <v>54</v>
      </c>
      <c r="E48" s="568"/>
      <c r="F48" s="568"/>
      <c r="G48" s="569"/>
      <c r="H48" s="504">
        <v>30181.34</v>
      </c>
      <c r="I48" s="504">
        <v>7090.22</v>
      </c>
      <c r="J48" s="70">
        <v>33.42</v>
      </c>
      <c r="K48" s="70">
        <v>8.49</v>
      </c>
      <c r="L48" s="241">
        <f t="shared" si="4"/>
        <v>24.93</v>
      </c>
      <c r="M48" s="506">
        <f>L47+L48</f>
        <v>41.64</v>
      </c>
    </row>
    <row r="49" spans="1:13">
      <c r="A49" s="396"/>
      <c r="B49" s="230">
        <v>45782</v>
      </c>
      <c r="C49" s="231">
        <v>4810</v>
      </c>
      <c r="D49" s="734" t="s">
        <v>526</v>
      </c>
      <c r="E49" s="735"/>
      <c r="F49" s="735"/>
      <c r="G49" s="736"/>
      <c r="H49" s="504">
        <v>4915.75</v>
      </c>
      <c r="I49" s="504">
        <v>3815.11</v>
      </c>
      <c r="J49" s="70">
        <v>6.38</v>
      </c>
      <c r="K49" s="70">
        <v>5.2</v>
      </c>
      <c r="L49" s="232">
        <f t="shared" si="4"/>
        <v>1.1799999999999997</v>
      </c>
      <c r="M49" s="254"/>
    </row>
    <row r="50" spans="1:13">
      <c r="A50" s="396"/>
      <c r="B50" s="133">
        <v>45119</v>
      </c>
      <c r="C50" s="134">
        <v>4918</v>
      </c>
      <c r="D50" s="737" t="s">
        <v>58</v>
      </c>
      <c r="E50" s="737"/>
      <c r="F50" s="737"/>
      <c r="G50" s="737"/>
      <c r="H50" s="86">
        <v>5650.3</v>
      </c>
      <c r="I50" s="86">
        <v>1500.22</v>
      </c>
      <c r="J50" s="5">
        <v>7.18</v>
      </c>
      <c r="K50" s="5">
        <v>2.7</v>
      </c>
      <c r="L50" s="117">
        <f t="shared" ref="L50:L51" si="8">J50-K50</f>
        <v>4.4799999999999995</v>
      </c>
      <c r="M50" s="254"/>
    </row>
    <row r="51" spans="1:13">
      <c r="A51" s="396"/>
      <c r="B51" s="230">
        <v>45877</v>
      </c>
      <c r="C51" s="231">
        <v>5027</v>
      </c>
      <c r="D51" s="567" t="s">
        <v>110</v>
      </c>
      <c r="E51" s="568"/>
      <c r="F51" s="568"/>
      <c r="G51" s="569"/>
      <c r="H51" s="504">
        <v>5609.63</v>
      </c>
      <c r="I51" s="504">
        <v>3909.63</v>
      </c>
      <c r="J51" s="70">
        <v>7.13</v>
      </c>
      <c r="K51" s="70">
        <v>5.3</v>
      </c>
      <c r="L51" s="117">
        <f t="shared" si="8"/>
        <v>1.83</v>
      </c>
      <c r="M51" s="254"/>
    </row>
    <row r="52" spans="1:13">
      <c r="A52" s="396"/>
      <c r="B52" s="133">
        <v>45909</v>
      </c>
      <c r="C52" s="231">
        <v>5162</v>
      </c>
      <c r="D52" s="567" t="s">
        <v>110</v>
      </c>
      <c r="E52" s="568"/>
      <c r="F52" s="568"/>
      <c r="G52" s="569"/>
      <c r="H52" s="504">
        <v>31764</v>
      </c>
      <c r="I52" s="504">
        <v>3176.41</v>
      </c>
      <c r="J52" s="70">
        <v>35.380000000000003</v>
      </c>
      <c r="K52" s="70">
        <v>4.51</v>
      </c>
      <c r="L52" s="241">
        <f t="shared" ref="L52" si="9">J52-K52</f>
        <v>30.870000000000005</v>
      </c>
      <c r="M52" s="254"/>
    </row>
    <row r="53" spans="1:13">
      <c r="A53" s="396"/>
      <c r="B53" s="133">
        <v>45909</v>
      </c>
      <c r="C53" s="231">
        <v>5248</v>
      </c>
      <c r="D53" s="567" t="s">
        <v>537</v>
      </c>
      <c r="E53" s="568"/>
      <c r="F53" s="568"/>
      <c r="G53" s="569"/>
      <c r="H53" s="504">
        <v>38719.14</v>
      </c>
      <c r="I53" s="504">
        <v>37819.14</v>
      </c>
      <c r="J53" s="70">
        <v>45.62</v>
      </c>
      <c r="K53" s="70">
        <v>41.92</v>
      </c>
      <c r="L53" s="241">
        <f t="shared" ref="L53:L54" si="10">J53-K53</f>
        <v>3.6999999999999957</v>
      </c>
      <c r="M53" s="506">
        <f>L52+L53</f>
        <v>34.57</v>
      </c>
    </row>
    <row r="54" spans="1:13">
      <c r="A54" s="396"/>
      <c r="B54" s="230">
        <v>46003</v>
      </c>
      <c r="C54" s="231">
        <v>5542</v>
      </c>
      <c r="D54" s="567" t="s">
        <v>58</v>
      </c>
      <c r="E54" s="568"/>
      <c r="F54" s="568"/>
      <c r="G54" s="569"/>
      <c r="H54" s="504">
        <v>19330.96</v>
      </c>
      <c r="I54" s="504">
        <v>10991.88</v>
      </c>
      <c r="J54" s="70">
        <v>21.95</v>
      </c>
      <c r="K54" s="70">
        <v>12.95</v>
      </c>
      <c r="L54" s="232">
        <f t="shared" si="10"/>
        <v>9</v>
      </c>
      <c r="M54" s="254"/>
    </row>
    <row r="55" spans="1:13">
      <c r="A55" s="396"/>
      <c r="B55" s="141"/>
      <c r="C55" s="142"/>
      <c r="D55" s="455"/>
      <c r="E55" s="456"/>
      <c r="F55" s="456"/>
      <c r="G55" s="457"/>
      <c r="H55" s="458"/>
      <c r="I55" s="458"/>
      <c r="J55" s="143"/>
      <c r="K55" s="143"/>
      <c r="L55" s="232"/>
    </row>
    <row r="56" spans="1:13">
      <c r="A56" s="625">
        <v>2006</v>
      </c>
      <c r="B56" s="80">
        <v>45014</v>
      </c>
      <c r="C56" s="81">
        <v>5844</v>
      </c>
      <c r="D56" s="570" t="s">
        <v>94</v>
      </c>
      <c r="E56" s="571"/>
      <c r="F56" s="571"/>
      <c r="G56" s="572"/>
      <c r="H56" s="90">
        <v>60000</v>
      </c>
      <c r="I56" s="90">
        <v>40000</v>
      </c>
      <c r="J56" s="60">
        <v>65.88</v>
      </c>
      <c r="K56" s="60">
        <v>44.28</v>
      </c>
      <c r="L56" s="117">
        <f t="shared" si="4"/>
        <v>21.599999999999994</v>
      </c>
    </row>
    <row r="57" spans="1:13">
      <c r="A57" s="626"/>
      <c r="B57" s="80">
        <v>45194</v>
      </c>
      <c r="C57" s="81">
        <v>6332</v>
      </c>
      <c r="D57" s="570" t="s">
        <v>58</v>
      </c>
      <c r="E57" s="571"/>
      <c r="F57" s="571"/>
      <c r="G57" s="572"/>
      <c r="H57" s="90">
        <v>10954.42</v>
      </c>
      <c r="I57" s="90">
        <v>10054.42</v>
      </c>
      <c r="J57" s="60">
        <v>12.91</v>
      </c>
      <c r="K57" s="60">
        <v>11.94</v>
      </c>
      <c r="L57" s="117">
        <f t="shared" si="4"/>
        <v>0.97000000000000064</v>
      </c>
    </row>
    <row r="58" spans="1:13">
      <c r="A58" s="627">
        <v>2007</v>
      </c>
      <c r="B58" s="80">
        <v>44993</v>
      </c>
      <c r="C58" s="81">
        <v>6755</v>
      </c>
      <c r="D58" s="570" t="s">
        <v>95</v>
      </c>
      <c r="E58" s="571"/>
      <c r="F58" s="571"/>
      <c r="G58" s="572"/>
      <c r="H58" s="207">
        <v>1500</v>
      </c>
      <c r="I58" s="207">
        <v>1356</v>
      </c>
      <c r="J58" s="60">
        <v>2.7</v>
      </c>
      <c r="K58" s="60">
        <v>2.54</v>
      </c>
      <c r="L58" s="117">
        <f t="shared" si="4"/>
        <v>0.16000000000000014</v>
      </c>
      <c r="M58" s="174"/>
    </row>
    <row r="59" spans="1:13">
      <c r="A59" s="559"/>
      <c r="B59" s="80">
        <v>45018</v>
      </c>
      <c r="C59" s="81">
        <v>6811</v>
      </c>
      <c r="D59" s="570" t="s">
        <v>54</v>
      </c>
      <c r="E59" s="571"/>
      <c r="F59" s="571"/>
      <c r="G59" s="572"/>
      <c r="H59" s="207">
        <v>32685.84</v>
      </c>
      <c r="I59" s="207">
        <v>16923.07</v>
      </c>
      <c r="J59" s="60">
        <v>36.380000000000003</v>
      </c>
      <c r="K59" s="60">
        <v>19.36</v>
      </c>
      <c r="L59" s="118">
        <f t="shared" si="4"/>
        <v>17.020000000000003</v>
      </c>
      <c r="M59" s="174"/>
    </row>
    <row r="60" spans="1:13">
      <c r="A60" s="559"/>
      <c r="B60" s="80">
        <v>45042</v>
      </c>
      <c r="C60" s="81">
        <v>6884</v>
      </c>
      <c r="D60" s="570" t="s">
        <v>58</v>
      </c>
      <c r="E60" s="571"/>
      <c r="F60" s="571"/>
      <c r="G60" s="572"/>
      <c r="H60" s="207">
        <v>2884.95</v>
      </c>
      <c r="I60" s="207">
        <v>2284.4499999999998</v>
      </c>
      <c r="J60" s="60">
        <v>4.1900000000000004</v>
      </c>
      <c r="K60" s="60">
        <v>2.86</v>
      </c>
      <c r="L60" s="118">
        <f t="shared" si="4"/>
        <v>1.3300000000000005</v>
      </c>
      <c r="M60" s="174"/>
    </row>
    <row r="61" spans="1:13" ht="13.5" thickBot="1">
      <c r="A61" s="560"/>
      <c r="B61" s="145">
        <v>45046</v>
      </c>
      <c r="C61" s="146">
        <v>6933</v>
      </c>
      <c r="D61" s="561" t="s">
        <v>58</v>
      </c>
      <c r="E61" s="562"/>
      <c r="F61" s="562"/>
      <c r="G61" s="563"/>
      <c r="H61" s="147">
        <v>1402.37</v>
      </c>
      <c r="I61" s="147">
        <v>1322.37</v>
      </c>
      <c r="J61" s="148">
        <v>2.59</v>
      </c>
      <c r="K61" s="148">
        <v>2.5099999999999998</v>
      </c>
      <c r="L61" s="233">
        <f t="shared" si="4"/>
        <v>8.0000000000000071E-2</v>
      </c>
      <c r="M61" s="150">
        <f>L59+L60+L61</f>
        <v>18.430000000000007</v>
      </c>
    </row>
    <row r="62" spans="1:13" ht="13.5" thickBot="1">
      <c r="A62" s="218">
        <v>2008</v>
      </c>
      <c r="B62" s="219">
        <v>8390</v>
      </c>
      <c r="C62" s="220">
        <v>8390</v>
      </c>
      <c r="D62" s="611" t="s">
        <v>114</v>
      </c>
      <c r="E62" s="612"/>
      <c r="F62" s="612"/>
      <c r="G62" s="613"/>
      <c r="H62" s="202">
        <v>2500</v>
      </c>
      <c r="I62" s="202">
        <v>1130.2</v>
      </c>
      <c r="J62" s="221">
        <v>3.18</v>
      </c>
      <c r="K62" s="221">
        <v>2.31</v>
      </c>
      <c r="L62" s="234">
        <f t="shared" si="4"/>
        <v>0.87000000000000011</v>
      </c>
      <c r="M62" s="171"/>
    </row>
    <row r="63" spans="1:13">
      <c r="A63" s="599">
        <v>2010</v>
      </c>
      <c r="B63" s="230" t="s">
        <v>174</v>
      </c>
      <c r="C63" s="231">
        <v>9283</v>
      </c>
      <c r="D63" s="593" t="s">
        <v>110</v>
      </c>
      <c r="E63" s="594"/>
      <c r="F63" s="594"/>
      <c r="G63" s="595"/>
      <c r="H63" s="200">
        <v>1500</v>
      </c>
      <c r="I63" s="200">
        <v>517</v>
      </c>
      <c r="J63" s="70">
        <v>5.42</v>
      </c>
      <c r="K63" s="70">
        <v>2.27</v>
      </c>
      <c r="L63" s="232">
        <f t="shared" si="4"/>
        <v>3.15</v>
      </c>
      <c r="M63" s="174"/>
    </row>
    <row r="64" spans="1:13">
      <c r="A64" s="599"/>
      <c r="B64" s="80">
        <v>45017</v>
      </c>
      <c r="C64" s="81">
        <v>9346</v>
      </c>
      <c r="D64" s="570" t="s">
        <v>54</v>
      </c>
      <c r="E64" s="571"/>
      <c r="F64" s="571"/>
      <c r="G64" s="572"/>
      <c r="H64" s="207">
        <v>15904.86</v>
      </c>
      <c r="I64" s="207">
        <v>15204.88</v>
      </c>
      <c r="J64" s="60">
        <v>16.11</v>
      </c>
      <c r="K64" s="60">
        <v>15.48</v>
      </c>
      <c r="L64" s="117">
        <f t="shared" ref="L64" si="11">J64-K64</f>
        <v>0.62999999999999901</v>
      </c>
      <c r="M64" s="174"/>
    </row>
    <row r="65" spans="1:13">
      <c r="A65" s="599"/>
      <c r="B65" s="133" t="s">
        <v>172</v>
      </c>
      <c r="C65" s="134">
        <v>9446</v>
      </c>
      <c r="D65" s="567" t="s">
        <v>54</v>
      </c>
      <c r="E65" s="568"/>
      <c r="F65" s="568"/>
      <c r="G65" s="569"/>
      <c r="H65" s="86">
        <v>38337.620000000003</v>
      </c>
      <c r="I65" s="86">
        <v>33370.620000000003</v>
      </c>
      <c r="J65" s="5">
        <v>36.299999999999997</v>
      </c>
      <c r="K65" s="5">
        <v>31.83</v>
      </c>
      <c r="L65" s="117">
        <f t="shared" si="4"/>
        <v>4.4699999999999989</v>
      </c>
      <c r="M65" s="174"/>
    </row>
    <row r="66" spans="1:13" ht="12.75" customHeight="1">
      <c r="A66" s="599"/>
      <c r="B66" s="80">
        <v>45107</v>
      </c>
      <c r="C66" s="81">
        <v>9563</v>
      </c>
      <c r="D66" s="570" t="s">
        <v>75</v>
      </c>
      <c r="E66" s="571"/>
      <c r="F66" s="571"/>
      <c r="G66" s="572"/>
      <c r="H66" s="207">
        <v>1600</v>
      </c>
      <c r="I66" s="207">
        <v>1000</v>
      </c>
      <c r="J66" s="60">
        <v>3.24</v>
      </c>
      <c r="K66" s="60">
        <v>2.7</v>
      </c>
      <c r="L66" s="118">
        <f t="shared" si="4"/>
        <v>0.54</v>
      </c>
      <c r="M66" s="174"/>
    </row>
    <row r="67" spans="1:13" ht="12.75" customHeight="1">
      <c r="A67" s="599"/>
      <c r="B67" s="80">
        <v>45107</v>
      </c>
      <c r="C67" s="81">
        <v>9570</v>
      </c>
      <c r="D67" s="570" t="s">
        <v>110</v>
      </c>
      <c r="E67" s="571"/>
      <c r="F67" s="571"/>
      <c r="G67" s="572"/>
      <c r="H67" s="207">
        <v>78000</v>
      </c>
      <c r="I67" s="207">
        <v>60278.57</v>
      </c>
      <c r="J67" s="60">
        <v>64.8</v>
      </c>
      <c r="K67" s="60">
        <v>56.05</v>
      </c>
      <c r="L67" s="118">
        <f t="shared" si="4"/>
        <v>8.75</v>
      </c>
      <c r="M67" s="174"/>
    </row>
    <row r="68" spans="1:13" ht="13.5" thickBot="1">
      <c r="A68" s="600"/>
      <c r="B68" s="145">
        <v>45107</v>
      </c>
      <c r="C68" s="146">
        <v>9579</v>
      </c>
      <c r="D68" s="561" t="s">
        <v>111</v>
      </c>
      <c r="E68" s="562"/>
      <c r="F68" s="562"/>
      <c r="G68" s="563"/>
      <c r="H68" s="147">
        <v>15000</v>
      </c>
      <c r="I68" s="147">
        <v>11500.93</v>
      </c>
      <c r="J68" s="148">
        <v>15.3</v>
      </c>
      <c r="K68" s="148">
        <v>12.15</v>
      </c>
      <c r="L68" s="233">
        <f t="shared" si="4"/>
        <v>3.1500000000000004</v>
      </c>
      <c r="M68" s="150">
        <f>L66+L67+L68</f>
        <v>12.44</v>
      </c>
    </row>
    <row r="69" spans="1:13">
      <c r="A69" s="599">
        <v>2012</v>
      </c>
      <c r="B69" s="230">
        <v>45126</v>
      </c>
      <c r="C69" s="231">
        <v>10675</v>
      </c>
      <c r="D69" s="593" t="s">
        <v>110</v>
      </c>
      <c r="E69" s="594"/>
      <c r="F69" s="594"/>
      <c r="G69" s="595"/>
      <c r="H69" s="200">
        <v>28357.599999999999</v>
      </c>
      <c r="I69" s="200">
        <v>2835.76</v>
      </c>
      <c r="J69" s="70">
        <v>27.32</v>
      </c>
      <c r="K69" s="70">
        <v>4.3499999999999996</v>
      </c>
      <c r="L69" s="232">
        <f t="shared" si="4"/>
        <v>22.97</v>
      </c>
      <c r="M69" s="174"/>
    </row>
    <row r="70" spans="1:13" ht="13.5" thickBot="1">
      <c r="A70" s="600"/>
      <c r="B70" s="223">
        <v>45162</v>
      </c>
      <c r="C70" s="215">
        <v>10737</v>
      </c>
      <c r="D70" s="590" t="s">
        <v>58</v>
      </c>
      <c r="E70" s="591"/>
      <c r="F70" s="591"/>
      <c r="G70" s="592"/>
      <c r="H70" s="193">
        <v>44400.24</v>
      </c>
      <c r="I70" s="193">
        <v>17760.12</v>
      </c>
      <c r="J70" s="193">
        <v>39.96</v>
      </c>
      <c r="K70" s="193">
        <v>17.78</v>
      </c>
      <c r="L70" s="170">
        <f t="shared" si="4"/>
        <v>22.18</v>
      </c>
      <c r="M70" s="171"/>
    </row>
    <row r="71" spans="1:13">
      <c r="A71" s="8"/>
      <c r="B71" s="141"/>
      <c r="C71" s="8"/>
      <c r="D71" s="8"/>
      <c r="E71" s="8"/>
      <c r="F71" s="8"/>
      <c r="G71" s="8"/>
      <c r="H71" s="143"/>
      <c r="I71" s="143"/>
      <c r="J71" s="143"/>
      <c r="K71" s="143"/>
      <c r="L71" s="143">
        <f t="shared" si="4"/>
        <v>0</v>
      </c>
    </row>
  </sheetData>
  <mergeCells count="63">
    <mergeCell ref="A44:A46"/>
    <mergeCell ref="D30:G30"/>
    <mergeCell ref="D26:G26"/>
    <mergeCell ref="D35:G35"/>
    <mergeCell ref="D40:G40"/>
    <mergeCell ref="D38:G38"/>
    <mergeCell ref="D39:G39"/>
    <mergeCell ref="D41:G41"/>
    <mergeCell ref="D42:G42"/>
    <mergeCell ref="D65:G65"/>
    <mergeCell ref="D64:G64"/>
    <mergeCell ref="D44:G44"/>
    <mergeCell ref="D62:G62"/>
    <mergeCell ref="D47:G47"/>
    <mergeCell ref="D45:G45"/>
    <mergeCell ref="D46:G46"/>
    <mergeCell ref="D49:G49"/>
    <mergeCell ref="D50:G50"/>
    <mergeCell ref="D48:G48"/>
    <mergeCell ref="D51:G51"/>
    <mergeCell ref="D52:G52"/>
    <mergeCell ref="D53:G53"/>
    <mergeCell ref="D54:G54"/>
    <mergeCell ref="A21:N21"/>
    <mergeCell ref="A23:A24"/>
    <mergeCell ref="B23:B24"/>
    <mergeCell ref="C23:C24"/>
    <mergeCell ref="D23:G24"/>
    <mergeCell ref="H23:I23"/>
    <mergeCell ref="J23:K23"/>
    <mergeCell ref="L23:L24"/>
    <mergeCell ref="D25:G25"/>
    <mergeCell ref="A34:A36"/>
    <mergeCell ref="A28:A29"/>
    <mergeCell ref="A37:A43"/>
    <mergeCell ref="D28:G28"/>
    <mergeCell ref="D36:G36"/>
    <mergeCell ref="D37:G37"/>
    <mergeCell ref="D34:G34"/>
    <mergeCell ref="D43:G43"/>
    <mergeCell ref="D27:G27"/>
    <mergeCell ref="A26:A27"/>
    <mergeCell ref="D33:G33"/>
    <mergeCell ref="D31:G31"/>
    <mergeCell ref="D32:G32"/>
    <mergeCell ref="A30:A33"/>
    <mergeCell ref="D29:G29"/>
    <mergeCell ref="A69:A70"/>
    <mergeCell ref="D70:G70"/>
    <mergeCell ref="D68:G68"/>
    <mergeCell ref="D69:G69"/>
    <mergeCell ref="A56:A57"/>
    <mergeCell ref="D57:G57"/>
    <mergeCell ref="D58:G58"/>
    <mergeCell ref="D59:G59"/>
    <mergeCell ref="D60:G60"/>
    <mergeCell ref="A58:A61"/>
    <mergeCell ref="D61:G61"/>
    <mergeCell ref="D63:G63"/>
    <mergeCell ref="A63:A68"/>
    <mergeCell ref="D56:G56"/>
    <mergeCell ref="D67:G67"/>
    <mergeCell ref="D66:G6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74"/>
  <sheetViews>
    <sheetView workbookViewId="0">
      <pane ySplit="1" topLeftCell="A2" activePane="bottomLeft" state="frozen"/>
      <selection pane="bottomLeft" activeCell="N18" sqref="N18"/>
    </sheetView>
  </sheetViews>
  <sheetFormatPr defaultRowHeight="12.75"/>
  <cols>
    <col min="1" max="1" width="5" style="4" bestFit="1" customWidth="1"/>
    <col min="2" max="2" width="7.88671875" style="4" bestFit="1" customWidth="1"/>
    <col min="3" max="3" width="7.5546875" style="4" bestFit="1" customWidth="1"/>
    <col min="4" max="5" width="7.21875" style="4" bestFit="1" customWidth="1"/>
    <col min="6" max="6" width="5.6640625" style="4" bestFit="1" customWidth="1"/>
    <col min="7" max="7" width="7" style="4" bestFit="1" customWidth="1"/>
    <col min="8" max="8" width="9.44140625" style="4" customWidth="1"/>
    <col min="9" max="9" width="9.21875" style="4" bestFit="1" customWidth="1"/>
    <col min="10" max="13" width="7.21875" style="4" bestFit="1" customWidth="1"/>
    <col min="14" max="14" width="8.33203125" style="4" customWidth="1"/>
    <col min="15" max="15" width="7.6640625" style="4" customWidth="1"/>
    <col min="16" max="16" width="5.109375" style="4" customWidth="1"/>
    <col min="17" max="17" width="3.6640625" style="4" customWidth="1"/>
    <col min="18" max="18" width="4" style="4" bestFit="1" customWidth="1"/>
    <col min="19" max="19" width="5.33203125" style="4" customWidth="1"/>
    <col min="20" max="20" width="5.6640625" style="4" bestFit="1" customWidth="1"/>
    <col min="21" max="21" width="4.6640625" style="4" bestFit="1" customWidth="1"/>
    <col min="22" max="22" width="4" style="4" bestFit="1" customWidth="1"/>
    <col min="23" max="23" width="8" style="4" bestFit="1" customWidth="1"/>
    <col min="24" max="24" width="5.6640625" style="4" bestFit="1" customWidth="1"/>
    <col min="25" max="25" width="9.33203125" style="4" bestFit="1" customWidth="1"/>
    <col min="26" max="26" width="2.109375" style="4" bestFit="1" customWidth="1"/>
    <col min="27" max="27" width="5.6640625" style="4" bestFit="1" customWidth="1"/>
    <col min="28" max="28" width="4.6640625" style="4" bestFit="1" customWidth="1"/>
    <col min="29" max="29" width="8.77734375" style="4" customWidth="1"/>
    <col min="30" max="16384" width="8.88671875" style="4"/>
  </cols>
  <sheetData>
    <row r="1" spans="1:29" ht="13.5" thickBot="1">
      <c r="A1" s="66" t="s">
        <v>46</v>
      </c>
      <c r="B1" s="74" t="s">
        <v>4</v>
      </c>
      <c r="C1" s="75" t="s">
        <v>5</v>
      </c>
      <c r="D1" s="74" t="s">
        <v>6</v>
      </c>
      <c r="E1" s="76" t="s">
        <v>7</v>
      </c>
      <c r="F1" s="74" t="s">
        <v>2</v>
      </c>
      <c r="G1" s="75" t="s">
        <v>8</v>
      </c>
      <c r="H1" s="74" t="s">
        <v>9</v>
      </c>
      <c r="I1" s="76" t="s">
        <v>10</v>
      </c>
      <c r="J1" s="74" t="s">
        <v>11</v>
      </c>
      <c r="K1" s="75" t="s">
        <v>12</v>
      </c>
      <c r="L1" s="74" t="s">
        <v>13</v>
      </c>
      <c r="M1" s="76" t="s">
        <v>14</v>
      </c>
      <c r="N1" s="77" t="s">
        <v>16</v>
      </c>
      <c r="O1" s="304" t="s">
        <v>241</v>
      </c>
      <c r="Q1" s="305">
        <v>1</v>
      </c>
      <c r="R1" s="305">
        <v>2</v>
      </c>
      <c r="S1" s="305">
        <v>3</v>
      </c>
      <c r="T1" s="305">
        <v>4</v>
      </c>
      <c r="U1" s="305">
        <v>5</v>
      </c>
      <c r="V1" s="305">
        <v>6</v>
      </c>
      <c r="W1" s="305">
        <v>7</v>
      </c>
      <c r="X1" s="305">
        <v>8</v>
      </c>
      <c r="Y1" s="305">
        <v>9</v>
      </c>
      <c r="Z1" s="305">
        <v>10</v>
      </c>
      <c r="AA1" s="305">
        <v>11</v>
      </c>
      <c r="AB1" s="305">
        <v>12</v>
      </c>
      <c r="AC1" s="1"/>
    </row>
    <row r="2" spans="1:29">
      <c r="A2" s="8">
        <v>1998</v>
      </c>
      <c r="B2" s="10"/>
      <c r="C2" s="10"/>
      <c r="D2" s="10"/>
      <c r="E2" s="10"/>
      <c r="F2" s="10"/>
      <c r="G2" s="10"/>
      <c r="H2" s="10"/>
      <c r="I2" s="70"/>
      <c r="J2" s="72"/>
      <c r="K2" s="72"/>
      <c r="L2" s="72"/>
      <c r="M2" s="70">
        <v>9.1</v>
      </c>
      <c r="N2" s="73">
        <f t="shared" ref="N2:N15" si="0">SUM(B2:M2)</f>
        <v>9.1</v>
      </c>
      <c r="O2" s="303">
        <f>AC2</f>
        <v>203</v>
      </c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>
        <v>203</v>
      </c>
      <c r="AC2" s="297">
        <f>SUM(Q2:AB2)</f>
        <v>203</v>
      </c>
    </row>
    <row r="3" spans="1:29">
      <c r="A3" s="3">
        <v>1999</v>
      </c>
      <c r="B3" s="5"/>
      <c r="C3" s="5"/>
      <c r="D3" s="5">
        <v>0.11</v>
      </c>
      <c r="E3" s="5"/>
      <c r="F3" s="5"/>
      <c r="G3" s="5"/>
      <c r="H3" s="5"/>
      <c r="I3" s="5"/>
      <c r="J3" s="5"/>
      <c r="K3" s="5"/>
      <c r="L3" s="5"/>
      <c r="M3" s="5"/>
      <c r="N3" s="70">
        <f t="shared" si="0"/>
        <v>0.11</v>
      </c>
      <c r="O3" s="132">
        <f t="shared" ref="O3:O17" si="1">AC3</f>
        <v>2</v>
      </c>
      <c r="Q3" s="292"/>
      <c r="R3" s="292"/>
      <c r="S3" s="292">
        <v>2</v>
      </c>
      <c r="T3" s="292"/>
      <c r="U3" s="292"/>
      <c r="V3" s="292"/>
      <c r="W3" s="292"/>
      <c r="X3" s="292"/>
      <c r="Y3" s="292"/>
      <c r="Z3" s="292"/>
      <c r="AA3" s="292"/>
      <c r="AB3" s="292"/>
      <c r="AC3" s="297">
        <f t="shared" ref="AC3:AC17" si="2">SUM(Q3:AB3)</f>
        <v>2</v>
      </c>
    </row>
    <row r="4" spans="1:29">
      <c r="A4" s="3">
        <v>2000</v>
      </c>
      <c r="B4" s="5"/>
      <c r="C4" s="5"/>
      <c r="D4" s="5"/>
      <c r="E4" s="5"/>
      <c r="F4" s="5">
        <v>6.82</v>
      </c>
      <c r="G4" s="5"/>
      <c r="H4" s="5"/>
      <c r="I4" s="5"/>
      <c r="J4" s="5"/>
      <c r="K4" s="5"/>
      <c r="L4" s="5">
        <v>122.37</v>
      </c>
      <c r="M4" s="5"/>
      <c r="N4" s="70">
        <f t="shared" si="0"/>
        <v>129.19</v>
      </c>
      <c r="O4" s="132">
        <f t="shared" si="1"/>
        <v>2034</v>
      </c>
      <c r="Q4" s="292"/>
      <c r="R4" s="292"/>
      <c r="S4" s="292"/>
      <c r="T4" s="292"/>
      <c r="U4" s="292">
        <v>115</v>
      </c>
      <c r="V4" s="292"/>
      <c r="W4" s="292"/>
      <c r="X4" s="292"/>
      <c r="Y4" s="292"/>
      <c r="Z4" s="292"/>
      <c r="AA4" s="292">
        <v>1919</v>
      </c>
      <c r="AB4" s="292"/>
      <c r="AC4" s="297">
        <f t="shared" si="2"/>
        <v>2034</v>
      </c>
    </row>
    <row r="5" spans="1:29">
      <c r="A5" s="3">
        <v>2001</v>
      </c>
      <c r="B5" s="5"/>
      <c r="C5" s="5">
        <v>1.36</v>
      </c>
      <c r="D5" s="5"/>
      <c r="E5" s="5"/>
      <c r="F5" s="5"/>
      <c r="G5" s="5"/>
      <c r="H5" s="5"/>
      <c r="I5" s="5"/>
      <c r="J5" s="5"/>
      <c r="K5" s="5"/>
      <c r="L5" s="5"/>
      <c r="M5" s="5"/>
      <c r="N5" s="70">
        <f t="shared" si="0"/>
        <v>1.36</v>
      </c>
      <c r="O5" s="132">
        <f t="shared" si="1"/>
        <v>21</v>
      </c>
      <c r="Q5" s="292"/>
      <c r="R5" s="292">
        <v>21</v>
      </c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7">
        <f t="shared" si="2"/>
        <v>21</v>
      </c>
    </row>
    <row r="6" spans="1:29">
      <c r="A6" s="3">
        <v>2002</v>
      </c>
      <c r="B6" s="5"/>
      <c r="C6" s="5"/>
      <c r="D6" s="5"/>
      <c r="E6" s="5"/>
      <c r="F6" s="5"/>
      <c r="G6" s="5">
        <v>3.06</v>
      </c>
      <c r="H6" s="5"/>
      <c r="I6" s="5"/>
      <c r="J6" s="5"/>
      <c r="K6" s="5"/>
      <c r="L6" s="5">
        <v>31</v>
      </c>
      <c r="M6" s="5"/>
      <c r="N6" s="70">
        <f t="shared" si="0"/>
        <v>34.06</v>
      </c>
      <c r="O6" s="132">
        <f t="shared" si="1"/>
        <v>424</v>
      </c>
      <c r="Q6" s="292"/>
      <c r="R6" s="292"/>
      <c r="S6" s="292"/>
      <c r="T6" s="292"/>
      <c r="U6" s="292"/>
      <c r="V6" s="292">
        <v>40</v>
      </c>
      <c r="W6" s="292"/>
      <c r="X6" s="292"/>
      <c r="Y6" s="292"/>
      <c r="Z6" s="292"/>
      <c r="AA6" s="292">
        <v>384</v>
      </c>
      <c r="AB6" s="292"/>
      <c r="AC6" s="297">
        <f t="shared" si="2"/>
        <v>424</v>
      </c>
    </row>
    <row r="7" spans="1:29">
      <c r="A7" s="3">
        <v>2003</v>
      </c>
      <c r="B7" s="86"/>
      <c r="C7" s="86"/>
      <c r="D7" s="86">
        <v>4.88</v>
      </c>
      <c r="E7" s="86"/>
      <c r="F7" s="86"/>
      <c r="G7" s="86"/>
      <c r="H7" s="86">
        <v>7.8</v>
      </c>
      <c r="I7" s="86">
        <v>416.13</v>
      </c>
      <c r="J7" s="86">
        <v>0.03</v>
      </c>
      <c r="K7" s="86"/>
      <c r="L7" s="86"/>
      <c r="M7" s="86"/>
      <c r="N7" s="70">
        <f t="shared" si="0"/>
        <v>428.84</v>
      </c>
      <c r="O7" s="132">
        <f t="shared" si="1"/>
        <v>4923</v>
      </c>
      <c r="Q7" s="292"/>
      <c r="R7" s="292"/>
      <c r="S7" s="291">
        <v>58</v>
      </c>
      <c r="T7" s="292"/>
      <c r="U7" s="292"/>
      <c r="V7" s="292"/>
      <c r="W7" s="292">
        <v>90</v>
      </c>
      <c r="X7" s="292">
        <v>4774</v>
      </c>
      <c r="Y7" s="291">
        <v>1</v>
      </c>
      <c r="Z7" s="292"/>
      <c r="AA7" s="292"/>
      <c r="AB7" s="292"/>
      <c r="AC7" s="297">
        <f t="shared" si="2"/>
        <v>4923</v>
      </c>
    </row>
    <row r="8" spans="1:29">
      <c r="A8" s="3">
        <v>2004</v>
      </c>
      <c r="B8" s="86"/>
      <c r="C8" s="86"/>
      <c r="D8" s="86"/>
      <c r="E8" s="86">
        <v>0.02</v>
      </c>
      <c r="F8" s="86"/>
      <c r="G8" s="86">
        <v>2.3199999999999998</v>
      </c>
      <c r="H8" s="86">
        <v>0.02</v>
      </c>
      <c r="I8" s="86"/>
      <c r="J8" s="86">
        <v>7.0000000000000007E-2</v>
      </c>
      <c r="K8" s="86"/>
      <c r="L8" s="86"/>
      <c r="M8" s="86">
        <v>0.02</v>
      </c>
      <c r="N8" s="70">
        <f t="shared" si="0"/>
        <v>2.4499999999999997</v>
      </c>
      <c r="O8" s="407"/>
      <c r="Q8" s="292"/>
      <c r="R8" s="292"/>
      <c r="S8" s="292"/>
      <c r="T8" s="297">
        <v>1</v>
      </c>
      <c r="U8" s="292"/>
      <c r="V8" s="297">
        <v>25</v>
      </c>
      <c r="W8" s="297">
        <v>1</v>
      </c>
      <c r="X8" s="292"/>
      <c r="Y8" s="297">
        <v>1</v>
      </c>
      <c r="Z8" s="292"/>
      <c r="AA8" s="292"/>
      <c r="AB8" s="297">
        <v>1</v>
      </c>
      <c r="AC8" s="297">
        <f t="shared" si="2"/>
        <v>29</v>
      </c>
    </row>
    <row r="9" spans="1:29">
      <c r="A9" s="3">
        <v>2005</v>
      </c>
      <c r="B9" s="5"/>
      <c r="C9" s="5"/>
      <c r="D9" s="5">
        <f>M52</f>
        <v>298.93</v>
      </c>
      <c r="E9" s="5">
        <f>L53</f>
        <v>14.29</v>
      </c>
      <c r="F9" s="5"/>
      <c r="G9" s="5"/>
      <c r="H9" s="5">
        <f>M56</f>
        <v>32.17</v>
      </c>
      <c r="I9" s="5"/>
      <c r="J9" s="5"/>
      <c r="K9" s="5"/>
      <c r="L9" s="5"/>
      <c r="M9" s="5">
        <f>M61</f>
        <v>64.679999999999993</v>
      </c>
      <c r="N9" s="70">
        <f t="shared" si="0"/>
        <v>410.07000000000005</v>
      </c>
      <c r="O9" s="132">
        <f t="shared" si="1"/>
        <v>311</v>
      </c>
      <c r="Q9" s="292"/>
      <c r="R9" s="292"/>
      <c r="S9" s="292"/>
      <c r="T9" s="292"/>
      <c r="U9" s="292"/>
      <c r="V9" s="292"/>
      <c r="W9" s="292">
        <v>311</v>
      </c>
      <c r="X9" s="292"/>
      <c r="Y9" s="292"/>
      <c r="Z9" s="292"/>
      <c r="AA9" s="292"/>
      <c r="AB9" s="292"/>
      <c r="AC9" s="297">
        <f t="shared" si="2"/>
        <v>311</v>
      </c>
    </row>
    <row r="10" spans="1:29">
      <c r="A10" s="3">
        <v>2006</v>
      </c>
      <c r="B10" s="5"/>
      <c r="C10" s="5"/>
      <c r="D10" s="5"/>
      <c r="E10" s="5"/>
      <c r="F10" s="5"/>
      <c r="G10" s="5"/>
      <c r="H10" s="5"/>
      <c r="I10" s="5"/>
      <c r="J10" s="5">
        <v>7.71</v>
      </c>
      <c r="K10" s="5"/>
      <c r="L10" s="5"/>
      <c r="M10" s="5"/>
      <c r="N10" s="70">
        <f t="shared" si="0"/>
        <v>7.71</v>
      </c>
      <c r="O10" s="132">
        <f t="shared" si="1"/>
        <v>65</v>
      </c>
      <c r="Q10" s="292"/>
      <c r="R10" s="292"/>
      <c r="S10" s="292"/>
      <c r="T10" s="292"/>
      <c r="U10" s="292"/>
      <c r="V10" s="292"/>
      <c r="W10" s="292"/>
      <c r="X10" s="292"/>
      <c r="Y10" s="292">
        <v>65</v>
      </c>
      <c r="Z10" s="292"/>
      <c r="AA10" s="292"/>
      <c r="AB10" s="292"/>
      <c r="AC10" s="297">
        <f t="shared" si="2"/>
        <v>65</v>
      </c>
    </row>
    <row r="11" spans="1:29">
      <c r="A11" s="3">
        <v>2007</v>
      </c>
      <c r="B11" s="5"/>
      <c r="C11" s="5"/>
      <c r="D11" s="5">
        <v>1.87</v>
      </c>
      <c r="E11" s="5">
        <v>127.4</v>
      </c>
      <c r="F11" s="5"/>
      <c r="G11" s="5"/>
      <c r="H11" s="5"/>
      <c r="I11" s="5"/>
      <c r="J11" s="5"/>
      <c r="K11" s="5"/>
      <c r="L11" s="5"/>
      <c r="M11" s="5"/>
      <c r="N11" s="70">
        <f t="shared" si="0"/>
        <v>129.27000000000001</v>
      </c>
      <c r="O11" s="132">
        <f t="shared" si="1"/>
        <v>1015</v>
      </c>
      <c r="Q11" s="292"/>
      <c r="R11" s="292"/>
      <c r="S11" s="292">
        <v>15</v>
      </c>
      <c r="T11" s="292">
        <v>1000</v>
      </c>
      <c r="U11" s="292"/>
      <c r="V11" s="292"/>
      <c r="W11" s="292"/>
      <c r="X11" s="292"/>
      <c r="Y11" s="292"/>
      <c r="Z11" s="292"/>
      <c r="AA11" s="292"/>
      <c r="AB11" s="292"/>
      <c r="AC11" s="297">
        <f t="shared" si="2"/>
        <v>1015</v>
      </c>
    </row>
    <row r="12" spans="1:29">
      <c r="A12" s="3">
        <v>2008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17.7</v>
      </c>
      <c r="N12" s="70">
        <f t="shared" si="0"/>
        <v>17.7</v>
      </c>
      <c r="O12" s="132">
        <f t="shared" si="1"/>
        <v>114</v>
      </c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>
        <v>114</v>
      </c>
      <c r="AC12" s="297">
        <f t="shared" si="2"/>
        <v>114</v>
      </c>
    </row>
    <row r="13" spans="1:29">
      <c r="A13" s="3">
        <v>2009</v>
      </c>
      <c r="B13" s="5"/>
      <c r="C13" s="5"/>
      <c r="D13" s="5"/>
      <c r="E13" s="5"/>
      <c r="F13" s="5"/>
      <c r="G13" s="5"/>
      <c r="H13" s="5">
        <v>0.16</v>
      </c>
      <c r="I13" s="5"/>
      <c r="J13" s="5"/>
      <c r="K13" s="5"/>
      <c r="L13" s="5"/>
      <c r="M13" s="5"/>
      <c r="N13" s="70">
        <f t="shared" si="0"/>
        <v>0.16</v>
      </c>
      <c r="O13" s="132">
        <f t="shared" si="1"/>
        <v>1</v>
      </c>
      <c r="Q13" s="291"/>
      <c r="R13" s="291"/>
      <c r="S13" s="291"/>
      <c r="T13" s="291"/>
      <c r="U13" s="291"/>
      <c r="V13" s="291"/>
      <c r="W13" s="291">
        <v>1</v>
      </c>
      <c r="X13" s="291"/>
      <c r="Y13" s="291"/>
      <c r="Z13" s="291"/>
      <c r="AA13" s="291"/>
      <c r="AB13" s="291"/>
      <c r="AC13" s="297">
        <f t="shared" si="2"/>
        <v>1</v>
      </c>
    </row>
    <row r="14" spans="1:29">
      <c r="A14" s="3">
        <v>2010</v>
      </c>
      <c r="B14" s="5"/>
      <c r="C14" s="5"/>
      <c r="D14" s="5"/>
      <c r="E14" s="5"/>
      <c r="F14" s="5"/>
      <c r="G14" s="5">
        <v>7.8</v>
      </c>
      <c r="H14" s="5"/>
      <c r="I14" s="5"/>
      <c r="J14" s="5"/>
      <c r="K14" s="5"/>
      <c r="L14" s="5"/>
      <c r="M14" s="5"/>
      <c r="N14" s="70">
        <f t="shared" si="0"/>
        <v>7.8</v>
      </c>
      <c r="O14" s="132">
        <f t="shared" si="1"/>
        <v>44</v>
      </c>
      <c r="Q14" s="291"/>
      <c r="R14" s="291"/>
      <c r="S14" s="291"/>
      <c r="T14" s="291"/>
      <c r="U14" s="291"/>
      <c r="V14" s="291">
        <v>44</v>
      </c>
      <c r="W14" s="291"/>
      <c r="X14" s="291"/>
      <c r="Y14" s="291"/>
      <c r="Z14" s="291"/>
      <c r="AA14" s="291"/>
      <c r="AB14" s="291"/>
      <c r="AC14" s="301">
        <f t="shared" si="2"/>
        <v>44</v>
      </c>
    </row>
    <row r="15" spans="1:29">
      <c r="A15" s="3">
        <v>2011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0">
        <f t="shared" si="0"/>
        <v>0</v>
      </c>
      <c r="O15" s="132">
        <f t="shared" si="1"/>
        <v>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7">
        <f t="shared" si="2"/>
        <v>0</v>
      </c>
    </row>
    <row r="16" spans="1:29">
      <c r="A16" s="3">
        <v>2012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0">
        <f>SUM(B16:M16)</f>
        <v>0</v>
      </c>
      <c r="O16" s="132">
        <f t="shared" si="1"/>
        <v>0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7">
        <f t="shared" si="2"/>
        <v>0</v>
      </c>
    </row>
    <row r="17" spans="1:29">
      <c r="A17" s="3">
        <v>2013</v>
      </c>
      <c r="B17" s="5"/>
      <c r="C17" s="5"/>
      <c r="D17" s="5"/>
      <c r="E17" s="5"/>
      <c r="F17" s="5"/>
      <c r="G17" s="9"/>
      <c r="H17" s="9"/>
      <c r="I17" s="9"/>
      <c r="J17" s="9"/>
      <c r="K17" s="9"/>
      <c r="L17" s="9"/>
      <c r="M17" s="9"/>
      <c r="N17" s="70">
        <f>SUM(B17:M17)</f>
        <v>0</v>
      </c>
      <c r="O17" s="306">
        <f t="shared" si="1"/>
        <v>0</v>
      </c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7">
        <f t="shared" si="2"/>
        <v>0</v>
      </c>
    </row>
    <row r="18" spans="1:29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5">
        <f>SUM(N2:N17)</f>
        <v>1177.8200000000002</v>
      </c>
      <c r="O18" s="132">
        <f>SUM(O2:O17)</f>
        <v>9157</v>
      </c>
    </row>
    <row r="19" spans="1:29">
      <c r="O19" s="406">
        <v>16152</v>
      </c>
    </row>
    <row r="20" spans="1:29" ht="15.75" customHeight="1">
      <c r="A20" s="576" t="s">
        <v>188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298" t="s">
        <v>302</v>
      </c>
      <c r="P20" s="78"/>
      <c r="Q20" s="78"/>
      <c r="R20" s="78"/>
      <c r="S20" s="78"/>
      <c r="T20" s="78"/>
      <c r="U20" s="78"/>
      <c r="V20" s="78"/>
      <c r="W20" s="78"/>
      <c r="X20" s="78"/>
      <c r="Y20" s="78"/>
    </row>
    <row r="21" spans="1:29">
      <c r="O21" s="257">
        <v>45671</v>
      </c>
    </row>
    <row r="22" spans="1:29">
      <c r="A22" s="577" t="s">
        <v>46</v>
      </c>
      <c r="B22" s="577" t="s">
        <v>49</v>
      </c>
      <c r="C22" s="579" t="s">
        <v>56</v>
      </c>
      <c r="D22" s="581" t="s">
        <v>52</v>
      </c>
      <c r="E22" s="582"/>
      <c r="F22" s="582"/>
      <c r="G22" s="583"/>
      <c r="H22" s="733" t="s">
        <v>57</v>
      </c>
      <c r="I22" s="733"/>
      <c r="J22" s="658" t="s">
        <v>53</v>
      </c>
      <c r="K22" s="660"/>
      <c r="L22" s="577" t="s">
        <v>48</v>
      </c>
    </row>
    <row r="23" spans="1:29">
      <c r="A23" s="578"/>
      <c r="B23" s="578"/>
      <c r="C23" s="580"/>
      <c r="D23" s="584"/>
      <c r="E23" s="585"/>
      <c r="F23" s="585"/>
      <c r="G23" s="586"/>
      <c r="H23" s="79" t="s">
        <v>15</v>
      </c>
      <c r="I23" s="62" t="s">
        <v>47</v>
      </c>
      <c r="J23" s="79" t="s">
        <v>15</v>
      </c>
      <c r="K23" s="63" t="s">
        <v>47</v>
      </c>
      <c r="L23" s="578"/>
    </row>
    <row r="24" spans="1:29">
      <c r="A24" s="625">
        <v>1998</v>
      </c>
      <c r="B24" s="604">
        <v>45289</v>
      </c>
      <c r="C24" s="606">
        <v>216</v>
      </c>
      <c r="D24" s="608" t="s">
        <v>54</v>
      </c>
      <c r="E24" s="609"/>
      <c r="F24" s="609"/>
      <c r="G24" s="610"/>
      <c r="H24" s="606">
        <v>400000</v>
      </c>
      <c r="I24" s="606">
        <v>225000</v>
      </c>
      <c r="J24" s="60">
        <v>7.63</v>
      </c>
      <c r="K24" s="60"/>
      <c r="L24" s="60">
        <f>J24-K24</f>
        <v>7.63</v>
      </c>
      <c r="M24" s="174"/>
      <c r="O24" s="136" t="s">
        <v>127</v>
      </c>
    </row>
    <row r="25" spans="1:29" ht="13.5" thickBot="1">
      <c r="A25" s="600"/>
      <c r="B25" s="605"/>
      <c r="C25" s="607"/>
      <c r="D25" s="611"/>
      <c r="E25" s="612"/>
      <c r="F25" s="612"/>
      <c r="G25" s="613"/>
      <c r="H25" s="607"/>
      <c r="I25" s="607"/>
      <c r="J25" s="148">
        <v>1.47</v>
      </c>
      <c r="K25" s="148"/>
      <c r="L25" s="148">
        <f t="shared" ref="L25:L26" si="3">J25-K25</f>
        <v>1.47</v>
      </c>
      <c r="M25" s="150">
        <f>L24+L25</f>
        <v>9.1</v>
      </c>
    </row>
    <row r="26" spans="1:29" ht="13.5" thickBot="1">
      <c r="A26" s="189">
        <v>1999</v>
      </c>
      <c r="B26" s="176">
        <v>44988</v>
      </c>
      <c r="C26" s="190">
        <v>298</v>
      </c>
      <c r="D26" s="617" t="s">
        <v>75</v>
      </c>
      <c r="E26" s="618"/>
      <c r="F26" s="618"/>
      <c r="G26" s="619"/>
      <c r="H26" s="191">
        <v>518800</v>
      </c>
      <c r="I26" s="191">
        <v>515800</v>
      </c>
      <c r="J26" s="192">
        <v>19.79</v>
      </c>
      <c r="K26" s="192">
        <v>19.68</v>
      </c>
      <c r="L26" s="177">
        <f t="shared" si="3"/>
        <v>0.10999999999999943</v>
      </c>
      <c r="M26" s="178"/>
    </row>
    <row r="27" spans="1:29">
      <c r="A27" s="601">
        <v>2000</v>
      </c>
      <c r="B27" s="614">
        <v>43953</v>
      </c>
      <c r="C27" s="629">
        <v>990</v>
      </c>
      <c r="D27" s="622" t="s">
        <v>58</v>
      </c>
      <c r="E27" s="623"/>
      <c r="F27" s="623"/>
      <c r="G27" s="624"/>
      <c r="H27" s="629">
        <v>1444800</v>
      </c>
      <c r="I27" s="629">
        <v>1144800</v>
      </c>
      <c r="J27" s="165">
        <v>27.56</v>
      </c>
      <c r="K27" s="165">
        <v>21.84</v>
      </c>
      <c r="L27" s="165">
        <f>J27-K27</f>
        <v>5.7199999999999989</v>
      </c>
      <c r="M27" s="172"/>
    </row>
    <row r="28" spans="1:29">
      <c r="A28" s="599"/>
      <c r="B28" s="615"/>
      <c r="C28" s="628"/>
      <c r="D28" s="564"/>
      <c r="E28" s="565"/>
      <c r="F28" s="565"/>
      <c r="G28" s="566"/>
      <c r="H28" s="628"/>
      <c r="I28" s="628"/>
      <c r="J28" s="60">
        <v>5.3</v>
      </c>
      <c r="K28" s="60">
        <v>4.2</v>
      </c>
      <c r="L28" s="60">
        <f t="shared" ref="L28:L74" si="4">J28-K28</f>
        <v>1.0999999999999996</v>
      </c>
      <c r="M28" s="179">
        <f>L27+L28</f>
        <v>6.8199999999999985</v>
      </c>
    </row>
    <row r="29" spans="1:29">
      <c r="A29" s="599"/>
      <c r="B29" s="604">
        <v>44157</v>
      </c>
      <c r="C29" s="606">
        <v>1315</v>
      </c>
      <c r="D29" s="608" t="s">
        <v>58</v>
      </c>
      <c r="E29" s="609"/>
      <c r="F29" s="609"/>
      <c r="G29" s="610"/>
      <c r="H29" s="740">
        <v>6980000</v>
      </c>
      <c r="I29" s="740">
        <v>1600000</v>
      </c>
      <c r="J29" s="60">
        <v>133.15</v>
      </c>
      <c r="K29" s="60">
        <v>30.52</v>
      </c>
      <c r="L29" s="60">
        <f t="shared" si="4"/>
        <v>102.63000000000001</v>
      </c>
      <c r="M29" s="174"/>
    </row>
    <row r="30" spans="1:29" ht="13.5" thickBot="1">
      <c r="A30" s="600"/>
      <c r="B30" s="605"/>
      <c r="C30" s="607"/>
      <c r="D30" s="611"/>
      <c r="E30" s="612"/>
      <c r="F30" s="612"/>
      <c r="G30" s="613"/>
      <c r="H30" s="739"/>
      <c r="I30" s="739"/>
      <c r="J30" s="148">
        <v>25.61</v>
      </c>
      <c r="K30" s="148">
        <v>5.87</v>
      </c>
      <c r="L30" s="148">
        <f t="shared" si="4"/>
        <v>19.739999999999998</v>
      </c>
      <c r="M30" s="150">
        <f>L29+L30</f>
        <v>122.37</v>
      </c>
    </row>
    <row r="31" spans="1:29" ht="15" customHeight="1">
      <c r="A31" s="558">
        <v>2001</v>
      </c>
      <c r="B31" s="614">
        <v>45324</v>
      </c>
      <c r="C31" s="629">
        <v>1436</v>
      </c>
      <c r="D31" s="622" t="s">
        <v>54</v>
      </c>
      <c r="E31" s="623"/>
      <c r="F31" s="623"/>
      <c r="G31" s="624"/>
      <c r="H31" s="738">
        <v>10071600</v>
      </c>
      <c r="I31" s="738">
        <v>10011600</v>
      </c>
      <c r="J31" s="165">
        <v>192.12</v>
      </c>
      <c r="K31" s="165">
        <v>190.98</v>
      </c>
      <c r="L31" s="73">
        <f t="shared" si="4"/>
        <v>1.1400000000000148</v>
      </c>
      <c r="M31" s="172"/>
      <c r="S31" s="286"/>
      <c r="T31" s="305"/>
      <c r="U31" s="288" t="s">
        <v>443</v>
      </c>
      <c r="V31" s="305"/>
      <c r="W31" s="305" t="s">
        <v>3</v>
      </c>
      <c r="X31" s="305"/>
      <c r="Y31" s="305" t="s">
        <v>444</v>
      </c>
    </row>
    <row r="32" spans="1:29" ht="13.5" thickBot="1">
      <c r="A32" s="560"/>
      <c r="B32" s="605"/>
      <c r="C32" s="607"/>
      <c r="D32" s="611"/>
      <c r="E32" s="612"/>
      <c r="F32" s="612"/>
      <c r="G32" s="613"/>
      <c r="H32" s="739"/>
      <c r="I32" s="739"/>
      <c r="J32" s="221">
        <v>36.950000000000003</v>
      </c>
      <c r="K32" s="221">
        <v>36.729999999999997</v>
      </c>
      <c r="L32" s="229">
        <f t="shared" si="4"/>
        <v>0.22000000000000597</v>
      </c>
      <c r="M32" s="150">
        <f>L31+L32</f>
        <v>1.3600000000000207</v>
      </c>
      <c r="S32" s="289" t="s">
        <v>445</v>
      </c>
      <c r="T32" s="290">
        <v>5555</v>
      </c>
      <c r="U32" s="291">
        <v>777</v>
      </c>
      <c r="V32" s="292"/>
      <c r="W32" s="292">
        <f>T32*U32</f>
        <v>4316235</v>
      </c>
      <c r="X32" s="1"/>
      <c r="Y32" s="291">
        <f>O19*W32/N18</f>
        <v>59190561.987400442</v>
      </c>
    </row>
    <row r="33" spans="1:25">
      <c r="A33" s="601">
        <v>2002</v>
      </c>
      <c r="B33" s="614">
        <v>45449</v>
      </c>
      <c r="C33" s="629">
        <v>2187</v>
      </c>
      <c r="D33" s="720" t="s">
        <v>54</v>
      </c>
      <c r="E33" s="721"/>
      <c r="F33" s="721"/>
      <c r="G33" s="722"/>
      <c r="H33" s="541">
        <v>29511.96</v>
      </c>
      <c r="I33" s="541">
        <v>29115.96</v>
      </c>
      <c r="J33" s="73">
        <v>191.82</v>
      </c>
      <c r="K33" s="73">
        <v>189.25</v>
      </c>
      <c r="L33" s="165">
        <f>J33-K33</f>
        <v>2.5699999999999932</v>
      </c>
      <c r="M33" s="172"/>
      <c r="O33" s="136"/>
      <c r="S33" s="289" t="s">
        <v>446</v>
      </c>
      <c r="T33" s="291">
        <v>5555</v>
      </c>
      <c r="U33" s="291">
        <v>333</v>
      </c>
      <c r="V33" s="292"/>
      <c r="W33" s="292">
        <f>T33*U33</f>
        <v>1849815</v>
      </c>
      <c r="X33" s="292"/>
      <c r="Y33" s="291">
        <v>55555555</v>
      </c>
    </row>
    <row r="34" spans="1:25">
      <c r="A34" s="599"/>
      <c r="B34" s="615"/>
      <c r="C34" s="628"/>
      <c r="D34" s="593"/>
      <c r="E34" s="594"/>
      <c r="F34" s="594"/>
      <c r="G34" s="595"/>
      <c r="H34" s="548"/>
      <c r="I34" s="548"/>
      <c r="J34" s="5">
        <v>36.880000000000003</v>
      </c>
      <c r="K34" s="5">
        <v>36.39</v>
      </c>
      <c r="L34" s="60">
        <f t="shared" ref="L34" si="5">J34-K34</f>
        <v>0.49000000000000199</v>
      </c>
      <c r="M34" s="179">
        <f>SUM(L33:L34)</f>
        <v>3.0599999999999952</v>
      </c>
      <c r="O34" s="136"/>
      <c r="S34" s="289" t="s">
        <v>447</v>
      </c>
      <c r="T34" s="291">
        <v>5555</v>
      </c>
      <c r="U34" s="291">
        <v>111</v>
      </c>
      <c r="V34" s="292"/>
      <c r="W34" s="292">
        <f>T34*U34</f>
        <v>616605</v>
      </c>
      <c r="X34" s="292"/>
      <c r="Y34" s="291">
        <v>66666666</v>
      </c>
    </row>
    <row r="35" spans="1:25">
      <c r="A35" s="599"/>
      <c r="B35" s="604">
        <v>45243</v>
      </c>
      <c r="C35" s="606">
        <v>2519</v>
      </c>
      <c r="D35" s="634" t="s">
        <v>58</v>
      </c>
      <c r="E35" s="635"/>
      <c r="F35" s="635"/>
      <c r="G35" s="636"/>
      <c r="H35" s="644">
        <v>9982.24</v>
      </c>
      <c r="I35" s="644">
        <v>5682.24</v>
      </c>
      <c r="J35" s="5">
        <v>62.93</v>
      </c>
      <c r="K35" s="5">
        <v>36.93</v>
      </c>
      <c r="L35" s="60">
        <f t="shared" si="4"/>
        <v>26</v>
      </c>
      <c r="M35" s="174"/>
      <c r="S35" s="293"/>
      <c r="T35" s="294"/>
      <c r="U35" s="292"/>
      <c r="V35" s="292"/>
      <c r="W35" s="292">
        <f t="shared" ref="W35" si="6">SUM(W32:W34)</f>
        <v>6782655</v>
      </c>
      <c r="X35" s="292"/>
      <c r="Y35" s="291">
        <f>SUM(Y32:Y34)</f>
        <v>181412782.98740044</v>
      </c>
    </row>
    <row r="36" spans="1:25" ht="13.5" thickBot="1">
      <c r="A36" s="600"/>
      <c r="B36" s="605"/>
      <c r="C36" s="607"/>
      <c r="D36" s="596"/>
      <c r="E36" s="597"/>
      <c r="F36" s="597"/>
      <c r="G36" s="598"/>
      <c r="H36" s="542"/>
      <c r="I36" s="542"/>
      <c r="J36" s="193">
        <v>12.1</v>
      </c>
      <c r="K36" s="193">
        <v>7.1</v>
      </c>
      <c r="L36" s="148">
        <f t="shared" si="4"/>
        <v>5</v>
      </c>
      <c r="M36" s="150">
        <f>L35+L36</f>
        <v>31</v>
      </c>
    </row>
    <row r="37" spans="1:25" ht="15" customHeight="1">
      <c r="A37" s="558">
        <v>2003</v>
      </c>
      <c r="B37" s="614">
        <v>45354</v>
      </c>
      <c r="C37" s="629">
        <v>2750</v>
      </c>
      <c r="D37" s="622" t="s">
        <v>58</v>
      </c>
      <c r="E37" s="623"/>
      <c r="F37" s="623"/>
      <c r="G37" s="624"/>
      <c r="H37" s="620">
        <v>10000</v>
      </c>
      <c r="I37" s="620">
        <v>9370.32</v>
      </c>
      <c r="J37" s="165">
        <v>65</v>
      </c>
      <c r="K37" s="165">
        <v>60.91</v>
      </c>
      <c r="L37" s="327">
        <f t="shared" si="4"/>
        <v>4.0900000000000034</v>
      </c>
      <c r="M37" s="172"/>
    </row>
    <row r="38" spans="1:25">
      <c r="A38" s="559"/>
      <c r="B38" s="615"/>
      <c r="C38" s="628"/>
      <c r="D38" s="564"/>
      <c r="E38" s="565"/>
      <c r="F38" s="565"/>
      <c r="G38" s="566"/>
      <c r="H38" s="616"/>
      <c r="I38" s="616"/>
      <c r="J38" s="143">
        <v>12.5</v>
      </c>
      <c r="K38" s="143">
        <v>11.71</v>
      </c>
      <c r="L38" s="313">
        <f t="shared" si="4"/>
        <v>0.78999999999999915</v>
      </c>
      <c r="M38" s="179">
        <f>L37+L38</f>
        <v>4.8800000000000026</v>
      </c>
    </row>
    <row r="39" spans="1:25">
      <c r="A39" s="559"/>
      <c r="B39" s="80">
        <v>45130</v>
      </c>
      <c r="C39" s="81">
        <v>3034</v>
      </c>
      <c r="D39" s="642" t="s">
        <v>75</v>
      </c>
      <c r="E39" s="642"/>
      <c r="F39" s="642"/>
      <c r="G39" s="642"/>
      <c r="H39" s="317">
        <v>7643.29</v>
      </c>
      <c r="I39" s="317">
        <v>7043.29</v>
      </c>
      <c r="J39" s="60">
        <v>99.36</v>
      </c>
      <c r="K39" s="60">
        <v>91.56</v>
      </c>
      <c r="L39" s="94">
        <f t="shared" ref="L39:L40" si="7">J39-K39</f>
        <v>7.7999999999999972</v>
      </c>
      <c r="M39" s="174"/>
    </row>
    <row r="40" spans="1:25">
      <c r="A40" s="559"/>
      <c r="B40" s="133">
        <v>45165</v>
      </c>
      <c r="C40" s="134">
        <v>3149</v>
      </c>
      <c r="D40" s="567" t="s">
        <v>156</v>
      </c>
      <c r="E40" s="568"/>
      <c r="F40" s="568"/>
      <c r="G40" s="569"/>
      <c r="H40" s="86">
        <v>40097.769999999997</v>
      </c>
      <c r="I40" s="86">
        <v>8000</v>
      </c>
      <c r="J40" s="5">
        <v>520.13</v>
      </c>
      <c r="K40" s="5">
        <v>104</v>
      </c>
      <c r="L40" s="94">
        <f t="shared" si="7"/>
        <v>416.13</v>
      </c>
      <c r="M40" s="174"/>
      <c r="O40" s="6" t="s">
        <v>472</v>
      </c>
    </row>
    <row r="41" spans="1:25" ht="13.5" thickBot="1">
      <c r="A41" s="560"/>
      <c r="B41" s="223">
        <v>45544</v>
      </c>
      <c r="C41" s="224">
        <v>3211</v>
      </c>
      <c r="D41" s="590" t="s">
        <v>54</v>
      </c>
      <c r="E41" s="591"/>
      <c r="F41" s="591"/>
      <c r="G41" s="592"/>
      <c r="H41" s="267">
        <v>2489.61</v>
      </c>
      <c r="I41" s="267">
        <v>2484.61</v>
      </c>
      <c r="J41" s="193">
        <v>16.18</v>
      </c>
      <c r="K41" s="193">
        <v>16.149999999999999</v>
      </c>
      <c r="L41" s="170">
        <f t="shared" si="4"/>
        <v>3.0000000000001137E-2</v>
      </c>
      <c r="M41" s="171"/>
    </row>
    <row r="42" spans="1:25">
      <c r="A42" s="601">
        <v>2004</v>
      </c>
      <c r="B42" s="230">
        <v>45751</v>
      </c>
      <c r="C42" s="231">
        <v>3830</v>
      </c>
      <c r="D42" s="593" t="s">
        <v>58</v>
      </c>
      <c r="E42" s="594"/>
      <c r="F42" s="594"/>
      <c r="G42" s="595"/>
      <c r="H42" s="374">
        <v>1999.84</v>
      </c>
      <c r="I42" s="374">
        <v>1995.84</v>
      </c>
      <c r="J42" s="70">
        <v>12.99</v>
      </c>
      <c r="K42" s="70">
        <v>12.97</v>
      </c>
      <c r="L42" s="232">
        <f t="shared" si="4"/>
        <v>1.9999999999999574E-2</v>
      </c>
      <c r="M42" s="254"/>
    </row>
    <row r="43" spans="1:25" ht="15" customHeight="1">
      <c r="A43" s="599"/>
      <c r="B43" s="630">
        <v>45814</v>
      </c>
      <c r="C43" s="632">
        <v>3947</v>
      </c>
      <c r="D43" s="634" t="s">
        <v>58</v>
      </c>
      <c r="E43" s="635"/>
      <c r="F43" s="635"/>
      <c r="G43" s="636"/>
      <c r="H43" s="644">
        <v>27555.45</v>
      </c>
      <c r="I43" s="644">
        <v>27255.45</v>
      </c>
      <c r="J43" s="70">
        <v>179.11</v>
      </c>
      <c r="K43" s="70">
        <v>177.16</v>
      </c>
      <c r="L43" s="70">
        <f t="shared" si="4"/>
        <v>1.9500000000000171</v>
      </c>
      <c r="M43" s="254"/>
    </row>
    <row r="44" spans="1:25" ht="15" customHeight="1">
      <c r="A44" s="599"/>
      <c r="B44" s="646"/>
      <c r="C44" s="648"/>
      <c r="D44" s="593"/>
      <c r="E44" s="594"/>
      <c r="F44" s="594"/>
      <c r="G44" s="595"/>
      <c r="H44" s="548"/>
      <c r="I44" s="548"/>
      <c r="J44" s="70">
        <v>34.44</v>
      </c>
      <c r="K44" s="70">
        <v>34.07</v>
      </c>
      <c r="L44" s="70">
        <f t="shared" si="4"/>
        <v>0.36999999999999744</v>
      </c>
      <c r="M44" s="98">
        <f>L43+L44</f>
        <v>2.3200000000000145</v>
      </c>
    </row>
    <row r="45" spans="1:25" ht="15" customHeight="1">
      <c r="A45" s="599"/>
      <c r="B45" s="380">
        <v>45845</v>
      </c>
      <c r="C45" s="381">
        <v>3983</v>
      </c>
      <c r="D45" s="593" t="s">
        <v>54</v>
      </c>
      <c r="E45" s="594"/>
      <c r="F45" s="594"/>
      <c r="G45" s="595"/>
      <c r="H45" s="374">
        <v>20669.66</v>
      </c>
      <c r="I45" s="374">
        <v>20665.66</v>
      </c>
      <c r="J45" s="70">
        <v>134.35</v>
      </c>
      <c r="K45" s="70">
        <v>134.33000000000001</v>
      </c>
      <c r="L45" s="232">
        <f t="shared" si="4"/>
        <v>1.999999999998181E-2</v>
      </c>
      <c r="M45" s="98"/>
    </row>
    <row r="46" spans="1:25" ht="15" customHeight="1">
      <c r="A46" s="599"/>
      <c r="B46" s="630">
        <v>45909</v>
      </c>
      <c r="C46" s="632">
        <v>4294</v>
      </c>
      <c r="D46" s="634" t="s">
        <v>54</v>
      </c>
      <c r="E46" s="635"/>
      <c r="F46" s="635"/>
      <c r="G46" s="636"/>
      <c r="H46" s="644">
        <v>3496.42</v>
      </c>
      <c r="I46" s="644">
        <v>3486.42</v>
      </c>
      <c r="J46" s="70">
        <v>22.72</v>
      </c>
      <c r="K46" s="70">
        <v>22.66</v>
      </c>
      <c r="L46" s="70">
        <f t="shared" ref="L46:L48" si="8">J46-K46</f>
        <v>5.9999999999998721E-2</v>
      </c>
      <c r="M46" s="254"/>
    </row>
    <row r="47" spans="1:25" ht="15" customHeight="1">
      <c r="A47" s="599"/>
      <c r="B47" s="646"/>
      <c r="C47" s="648"/>
      <c r="D47" s="593"/>
      <c r="E47" s="594"/>
      <c r="F47" s="594"/>
      <c r="G47" s="595"/>
      <c r="H47" s="548"/>
      <c r="I47" s="548"/>
      <c r="J47" s="70">
        <v>4.37</v>
      </c>
      <c r="K47" s="70">
        <v>4.3600000000000003</v>
      </c>
      <c r="L47" s="70">
        <f t="shared" si="8"/>
        <v>9.9999999999997868E-3</v>
      </c>
      <c r="M47" s="98">
        <f>L46+L47</f>
        <v>6.9999999999998508E-2</v>
      </c>
    </row>
    <row r="48" spans="1:25" ht="15.75" customHeight="1" thickBot="1">
      <c r="A48" s="600"/>
      <c r="B48" s="382">
        <v>46003</v>
      </c>
      <c r="C48" s="383">
        <v>4514</v>
      </c>
      <c r="D48" s="596" t="s">
        <v>58</v>
      </c>
      <c r="E48" s="597"/>
      <c r="F48" s="597"/>
      <c r="G48" s="598"/>
      <c r="H48" s="375">
        <v>2169.5100000000002</v>
      </c>
      <c r="I48" s="375">
        <v>2165.5100000000002</v>
      </c>
      <c r="J48" s="229">
        <v>14.1</v>
      </c>
      <c r="K48" s="229">
        <v>14.08</v>
      </c>
      <c r="L48" s="234">
        <f t="shared" si="8"/>
        <v>1.9999999999999574E-2</v>
      </c>
      <c r="M48" s="175"/>
    </row>
    <row r="49" spans="1:13">
      <c r="A49" s="366">
        <v>2005</v>
      </c>
      <c r="B49" s="630">
        <v>45742</v>
      </c>
      <c r="C49" s="632">
        <v>4685</v>
      </c>
      <c r="D49" s="634" t="s">
        <v>58</v>
      </c>
      <c r="E49" s="635"/>
      <c r="F49" s="635"/>
      <c r="G49" s="636"/>
      <c r="H49" s="644">
        <v>16035.1</v>
      </c>
      <c r="I49" s="644">
        <v>550.04</v>
      </c>
      <c r="J49" s="70">
        <v>104.22</v>
      </c>
      <c r="K49" s="70">
        <v>3.58</v>
      </c>
      <c r="L49" s="70">
        <f t="shared" ref="L49:L50" si="9">J49-K49</f>
        <v>100.64</v>
      </c>
      <c r="M49" s="254"/>
    </row>
    <row r="50" spans="1:13">
      <c r="A50" s="366"/>
      <c r="B50" s="646"/>
      <c r="C50" s="648"/>
      <c r="D50" s="593"/>
      <c r="E50" s="594"/>
      <c r="F50" s="594"/>
      <c r="G50" s="595"/>
      <c r="H50" s="548"/>
      <c r="I50" s="548"/>
      <c r="J50" s="70">
        <v>20.04</v>
      </c>
      <c r="K50" s="70">
        <v>0.69</v>
      </c>
      <c r="L50" s="70">
        <f t="shared" si="9"/>
        <v>19.349999999999998</v>
      </c>
      <c r="M50" s="98"/>
    </row>
    <row r="51" spans="1:13">
      <c r="A51" s="366"/>
      <c r="B51" s="630">
        <v>45744</v>
      </c>
      <c r="C51" s="632">
        <v>4691</v>
      </c>
      <c r="D51" s="634" t="s">
        <v>54</v>
      </c>
      <c r="E51" s="635"/>
      <c r="F51" s="635"/>
      <c r="G51" s="636"/>
      <c r="H51" s="644">
        <v>30181.34</v>
      </c>
      <c r="I51" s="644">
        <v>7090.22</v>
      </c>
      <c r="J51" s="70">
        <v>196.17</v>
      </c>
      <c r="K51" s="70">
        <v>46.09</v>
      </c>
      <c r="L51" s="70">
        <f t="shared" ref="L51:L55" si="10">J51-K51</f>
        <v>150.07999999999998</v>
      </c>
      <c r="M51" s="254"/>
    </row>
    <row r="52" spans="1:13">
      <c r="A52" s="366"/>
      <c r="B52" s="646"/>
      <c r="C52" s="648"/>
      <c r="D52" s="593"/>
      <c r="E52" s="594"/>
      <c r="F52" s="594"/>
      <c r="G52" s="595"/>
      <c r="H52" s="548"/>
      <c r="I52" s="548"/>
      <c r="J52" s="70">
        <v>37.72</v>
      </c>
      <c r="K52" s="70">
        <v>8.86</v>
      </c>
      <c r="L52" s="70">
        <f t="shared" si="10"/>
        <v>28.86</v>
      </c>
      <c r="M52" s="98">
        <f>SUM(L49:L52)</f>
        <v>298.93</v>
      </c>
    </row>
    <row r="53" spans="1:13">
      <c r="A53" s="366"/>
      <c r="B53" s="505">
        <v>45782</v>
      </c>
      <c r="C53" s="231">
        <v>4810</v>
      </c>
      <c r="D53" s="734" t="s">
        <v>526</v>
      </c>
      <c r="E53" s="735"/>
      <c r="F53" s="735"/>
      <c r="G53" s="736"/>
      <c r="H53" s="504">
        <v>4915.75</v>
      </c>
      <c r="I53" s="504">
        <v>3815.11</v>
      </c>
      <c r="J53" s="70">
        <v>63.89</v>
      </c>
      <c r="K53" s="70">
        <v>49.6</v>
      </c>
      <c r="L53" s="232">
        <f t="shared" si="10"/>
        <v>14.29</v>
      </c>
      <c r="M53" s="98"/>
    </row>
    <row r="54" spans="1:13">
      <c r="A54" s="366"/>
      <c r="B54" s="630">
        <v>45119</v>
      </c>
      <c r="C54" s="632">
        <v>4918</v>
      </c>
      <c r="D54" s="634" t="s">
        <v>58</v>
      </c>
      <c r="E54" s="635"/>
      <c r="F54" s="635"/>
      <c r="G54" s="636"/>
      <c r="H54" s="644">
        <v>5650.3</v>
      </c>
      <c r="I54" s="644">
        <v>1500.22</v>
      </c>
      <c r="J54" s="5">
        <v>36.72</v>
      </c>
      <c r="K54" s="5">
        <v>9.75</v>
      </c>
      <c r="L54" s="5">
        <f t="shared" si="10"/>
        <v>26.97</v>
      </c>
      <c r="M54" s="254"/>
    </row>
    <row r="55" spans="1:13">
      <c r="A55" s="366"/>
      <c r="B55" s="646"/>
      <c r="C55" s="648"/>
      <c r="D55" s="593"/>
      <c r="E55" s="594"/>
      <c r="F55" s="594"/>
      <c r="G55" s="595"/>
      <c r="H55" s="548"/>
      <c r="I55" s="548"/>
      <c r="J55" s="5">
        <v>7.06</v>
      </c>
      <c r="K55" s="5">
        <v>1.88</v>
      </c>
      <c r="L55" s="5">
        <f t="shared" si="10"/>
        <v>5.18</v>
      </c>
      <c r="M55" s="254"/>
    </row>
    <row r="56" spans="1:13">
      <c r="A56" s="366"/>
      <c r="B56" s="505">
        <v>45845</v>
      </c>
      <c r="C56" s="231">
        <v>4964</v>
      </c>
      <c r="D56" s="734" t="s">
        <v>54</v>
      </c>
      <c r="E56" s="735"/>
      <c r="F56" s="735"/>
      <c r="G56" s="736"/>
      <c r="H56" s="504">
        <v>1499.85</v>
      </c>
      <c r="I56" s="504">
        <v>1495.85</v>
      </c>
      <c r="J56" s="70">
        <v>9.74</v>
      </c>
      <c r="K56" s="70">
        <v>9.7200000000000006</v>
      </c>
      <c r="L56" s="241">
        <f t="shared" ref="L56:L59" si="11">J56-K56</f>
        <v>1.9999999999999574E-2</v>
      </c>
      <c r="M56" s="98">
        <f>SUM(L54:L56)</f>
        <v>32.17</v>
      </c>
    </row>
    <row r="57" spans="1:13">
      <c r="A57" s="366"/>
      <c r="B57" s="630">
        <v>46003</v>
      </c>
      <c r="C57" s="632">
        <v>5481</v>
      </c>
      <c r="D57" s="634" t="s">
        <v>58</v>
      </c>
      <c r="E57" s="635"/>
      <c r="F57" s="635"/>
      <c r="G57" s="636"/>
      <c r="H57" s="644">
        <v>18489.240000000002</v>
      </c>
      <c r="I57" s="644">
        <v>18483.240000000002</v>
      </c>
      <c r="J57" s="70">
        <v>120.18</v>
      </c>
      <c r="K57" s="70">
        <v>120.14</v>
      </c>
      <c r="L57" s="70">
        <f t="shared" si="11"/>
        <v>4.0000000000006253E-2</v>
      </c>
      <c r="M57" s="254"/>
    </row>
    <row r="58" spans="1:13">
      <c r="A58" s="366"/>
      <c r="B58" s="646"/>
      <c r="C58" s="648"/>
      <c r="D58" s="593"/>
      <c r="E58" s="594"/>
      <c r="F58" s="594"/>
      <c r="G58" s="595"/>
      <c r="H58" s="548"/>
      <c r="I58" s="548"/>
      <c r="J58" s="70">
        <v>23.11</v>
      </c>
      <c r="K58" s="70">
        <v>23.1</v>
      </c>
      <c r="L58" s="70">
        <f t="shared" si="11"/>
        <v>9.9999999999980105E-3</v>
      </c>
      <c r="M58" s="98"/>
    </row>
    <row r="59" spans="1:13">
      <c r="A59" s="366"/>
      <c r="B59" s="505">
        <v>46003</v>
      </c>
      <c r="C59" s="231">
        <v>5482</v>
      </c>
      <c r="D59" s="734" t="s">
        <v>54</v>
      </c>
      <c r="E59" s="735"/>
      <c r="F59" s="735"/>
      <c r="G59" s="736"/>
      <c r="H59" s="504">
        <v>26255.89</v>
      </c>
      <c r="I59" s="504">
        <v>26253.89</v>
      </c>
      <c r="J59" s="70">
        <v>170.66</v>
      </c>
      <c r="K59" s="70">
        <v>170.65</v>
      </c>
      <c r="L59" s="241">
        <f t="shared" si="11"/>
        <v>9.9999999999909051E-3</v>
      </c>
      <c r="M59" s="98"/>
    </row>
    <row r="60" spans="1:13">
      <c r="A60" s="366"/>
      <c r="B60" s="630">
        <v>46003</v>
      </c>
      <c r="C60" s="632">
        <v>5542</v>
      </c>
      <c r="D60" s="634" t="s">
        <v>58</v>
      </c>
      <c r="E60" s="635"/>
      <c r="F60" s="635"/>
      <c r="G60" s="636"/>
      <c r="H60" s="644">
        <v>19330.96</v>
      </c>
      <c r="I60" s="644">
        <v>10991.88</v>
      </c>
      <c r="J60" s="70">
        <v>125.65</v>
      </c>
      <c r="K60" s="70">
        <v>71.45</v>
      </c>
      <c r="L60" s="70">
        <f t="shared" ref="L60:L61" si="12">J60-K60</f>
        <v>54.2</v>
      </c>
      <c r="M60" s="507"/>
    </row>
    <row r="61" spans="1:13" ht="13.5" thickBot="1">
      <c r="A61" s="490"/>
      <c r="B61" s="631"/>
      <c r="C61" s="633"/>
      <c r="D61" s="596"/>
      <c r="E61" s="597"/>
      <c r="F61" s="597"/>
      <c r="G61" s="598"/>
      <c r="H61" s="542"/>
      <c r="I61" s="542"/>
      <c r="J61" s="229">
        <v>24.16</v>
      </c>
      <c r="K61" s="229">
        <v>13.74</v>
      </c>
      <c r="L61" s="229">
        <f t="shared" si="12"/>
        <v>10.42</v>
      </c>
      <c r="M61" s="175">
        <f>L57+L58+L59+L60+L61</f>
        <v>64.679999999999993</v>
      </c>
    </row>
    <row r="62" spans="1:13">
      <c r="A62" s="363">
        <v>2006</v>
      </c>
      <c r="B62" s="637">
        <v>45194</v>
      </c>
      <c r="C62" s="638">
        <v>6332</v>
      </c>
      <c r="D62" s="639" t="s">
        <v>58</v>
      </c>
      <c r="E62" s="640"/>
      <c r="F62" s="640"/>
      <c r="G62" s="641"/>
      <c r="H62" s="621">
        <v>10954.42</v>
      </c>
      <c r="I62" s="621">
        <v>10054.42</v>
      </c>
      <c r="J62" s="143">
        <v>71.2</v>
      </c>
      <c r="K62" s="143">
        <v>65.349999999999994</v>
      </c>
      <c r="L62" s="143">
        <f t="shared" si="4"/>
        <v>5.8500000000000085</v>
      </c>
    </row>
    <row r="63" spans="1:13" ht="12.75" customHeight="1">
      <c r="A63" s="367"/>
      <c r="B63" s="615"/>
      <c r="C63" s="628"/>
      <c r="D63" s="564"/>
      <c r="E63" s="565"/>
      <c r="F63" s="565"/>
      <c r="G63" s="566"/>
      <c r="H63" s="616"/>
      <c r="I63" s="616"/>
      <c r="J63" s="60">
        <v>13.69</v>
      </c>
      <c r="K63" s="60">
        <v>11.83</v>
      </c>
      <c r="L63" s="60">
        <f t="shared" si="4"/>
        <v>1.8599999999999994</v>
      </c>
      <c r="M63" s="93">
        <f>L62+L63</f>
        <v>7.710000000000008</v>
      </c>
    </row>
    <row r="64" spans="1:13">
      <c r="A64" s="366">
        <v>2007</v>
      </c>
      <c r="B64" s="80">
        <v>44993</v>
      </c>
      <c r="C64" s="81">
        <v>6755</v>
      </c>
      <c r="D64" s="570" t="s">
        <v>95</v>
      </c>
      <c r="E64" s="571"/>
      <c r="F64" s="571"/>
      <c r="G64" s="572"/>
      <c r="H64" s="207">
        <v>1500</v>
      </c>
      <c r="I64" s="207">
        <v>1356</v>
      </c>
      <c r="J64" s="60">
        <v>19.5</v>
      </c>
      <c r="K64" s="60">
        <v>17.63</v>
      </c>
      <c r="L64" s="94">
        <f t="shared" si="4"/>
        <v>1.870000000000001</v>
      </c>
      <c r="M64" s="174"/>
    </row>
    <row r="65" spans="1:13">
      <c r="A65" s="366"/>
      <c r="B65" s="604">
        <v>45018</v>
      </c>
      <c r="C65" s="606">
        <v>6811</v>
      </c>
      <c r="D65" s="608" t="s">
        <v>54</v>
      </c>
      <c r="E65" s="609"/>
      <c r="F65" s="609"/>
      <c r="G65" s="610"/>
      <c r="H65" s="551">
        <v>32685.84</v>
      </c>
      <c r="I65" s="551">
        <v>16923.07</v>
      </c>
      <c r="J65" s="60">
        <v>212.45</v>
      </c>
      <c r="K65" s="60">
        <v>110</v>
      </c>
      <c r="L65" s="60">
        <f t="shared" si="4"/>
        <v>102.44999999999999</v>
      </c>
      <c r="M65" s="174"/>
    </row>
    <row r="66" spans="1:13">
      <c r="A66" s="366"/>
      <c r="B66" s="615"/>
      <c r="C66" s="628"/>
      <c r="D66" s="564"/>
      <c r="E66" s="565"/>
      <c r="F66" s="565"/>
      <c r="G66" s="566"/>
      <c r="H66" s="616"/>
      <c r="I66" s="616"/>
      <c r="J66" s="60">
        <v>40.85</v>
      </c>
      <c r="K66" s="60">
        <v>21.15</v>
      </c>
      <c r="L66" s="60">
        <f t="shared" si="4"/>
        <v>19.700000000000003</v>
      </c>
      <c r="M66" s="179"/>
    </row>
    <row r="67" spans="1:13">
      <c r="A67" s="366"/>
      <c r="B67" s="604">
        <v>45042</v>
      </c>
      <c r="C67" s="606">
        <v>6884</v>
      </c>
      <c r="D67" s="608" t="s">
        <v>58</v>
      </c>
      <c r="E67" s="609"/>
      <c r="F67" s="609"/>
      <c r="G67" s="610"/>
      <c r="H67" s="551">
        <v>2884.95</v>
      </c>
      <c r="I67" s="551">
        <v>2284.4499999999998</v>
      </c>
      <c r="J67" s="60">
        <v>18.75</v>
      </c>
      <c r="K67" s="60">
        <v>14.85</v>
      </c>
      <c r="L67" s="60">
        <f t="shared" ref="L67:L68" si="13">J67-K67</f>
        <v>3.9000000000000004</v>
      </c>
      <c r="M67" s="174"/>
    </row>
    <row r="68" spans="1:13">
      <c r="A68" s="366"/>
      <c r="B68" s="615"/>
      <c r="C68" s="628"/>
      <c r="D68" s="564"/>
      <c r="E68" s="565"/>
      <c r="F68" s="565"/>
      <c r="G68" s="566"/>
      <c r="H68" s="616"/>
      <c r="I68" s="616"/>
      <c r="J68" s="60">
        <v>3.6</v>
      </c>
      <c r="K68" s="60">
        <v>2.86</v>
      </c>
      <c r="L68" s="60">
        <f t="shared" si="13"/>
        <v>0.74000000000000021</v>
      </c>
      <c r="M68" s="179"/>
    </row>
    <row r="69" spans="1:13">
      <c r="A69" s="366"/>
      <c r="B69" s="604">
        <v>45046</v>
      </c>
      <c r="C69" s="606">
        <v>6933</v>
      </c>
      <c r="D69" s="608" t="s">
        <v>58</v>
      </c>
      <c r="E69" s="609"/>
      <c r="F69" s="609"/>
      <c r="G69" s="610"/>
      <c r="H69" s="551">
        <v>1402.37</v>
      </c>
      <c r="I69" s="551">
        <v>1322.37</v>
      </c>
      <c r="J69" s="60">
        <v>9.11</v>
      </c>
      <c r="K69" s="60">
        <v>8.6</v>
      </c>
      <c r="L69" s="60">
        <f t="shared" ref="L69:L70" si="14">J69-K69</f>
        <v>0.50999999999999979</v>
      </c>
      <c r="M69" s="174"/>
    </row>
    <row r="70" spans="1:13" ht="13.5" thickBot="1">
      <c r="A70" s="366"/>
      <c r="B70" s="605"/>
      <c r="C70" s="607"/>
      <c r="D70" s="611"/>
      <c r="E70" s="612"/>
      <c r="F70" s="612"/>
      <c r="G70" s="613"/>
      <c r="H70" s="552"/>
      <c r="I70" s="552"/>
      <c r="J70" s="148">
        <v>1.75</v>
      </c>
      <c r="K70" s="148">
        <v>1.65</v>
      </c>
      <c r="L70" s="148">
        <f t="shared" si="14"/>
        <v>0.10000000000000009</v>
      </c>
      <c r="M70" s="150">
        <f>SUM(L65:L70)</f>
        <v>127.39999999999999</v>
      </c>
    </row>
    <row r="71" spans="1:13" ht="13.5" thickBot="1">
      <c r="A71" s="218">
        <v>2008</v>
      </c>
      <c r="B71" s="219">
        <v>8390</v>
      </c>
      <c r="C71" s="220">
        <v>8390</v>
      </c>
      <c r="D71" s="611" t="s">
        <v>114</v>
      </c>
      <c r="E71" s="612"/>
      <c r="F71" s="612"/>
      <c r="G71" s="613"/>
      <c r="H71" s="202">
        <v>2500</v>
      </c>
      <c r="I71" s="202">
        <v>1130.2</v>
      </c>
      <c r="J71" s="221">
        <v>32.5</v>
      </c>
      <c r="K71" s="221">
        <v>14.8</v>
      </c>
      <c r="L71" s="222">
        <f t="shared" si="4"/>
        <v>17.7</v>
      </c>
      <c r="M71" s="171"/>
    </row>
    <row r="72" spans="1:13" ht="13.5" thickBot="1">
      <c r="A72" s="225">
        <v>2009</v>
      </c>
      <c r="B72" s="226">
        <v>45114</v>
      </c>
      <c r="C72" s="227">
        <v>8752</v>
      </c>
      <c r="D72" s="596" t="s">
        <v>54</v>
      </c>
      <c r="E72" s="597"/>
      <c r="F72" s="597"/>
      <c r="G72" s="598"/>
      <c r="H72" s="228">
        <v>45144</v>
      </c>
      <c r="I72" s="228">
        <v>45114</v>
      </c>
      <c r="J72" s="229">
        <v>0.2</v>
      </c>
      <c r="K72" s="229">
        <v>0.04</v>
      </c>
      <c r="L72" s="222">
        <f t="shared" si="4"/>
        <v>0.16</v>
      </c>
      <c r="M72" s="171"/>
    </row>
    <row r="73" spans="1:13" ht="13.5" thickBot="1">
      <c r="A73" s="218">
        <v>2010</v>
      </c>
      <c r="B73" s="219">
        <v>45107</v>
      </c>
      <c r="C73" s="220">
        <v>9563</v>
      </c>
      <c r="D73" s="611" t="s">
        <v>75</v>
      </c>
      <c r="E73" s="612"/>
      <c r="F73" s="612"/>
      <c r="G73" s="613"/>
      <c r="H73" s="202">
        <v>1600</v>
      </c>
      <c r="I73" s="202">
        <v>1000</v>
      </c>
      <c r="J73" s="221">
        <v>20.8</v>
      </c>
      <c r="K73" s="221">
        <v>13</v>
      </c>
      <c r="L73" s="222">
        <f t="shared" si="4"/>
        <v>7.8000000000000007</v>
      </c>
      <c r="M73" s="171"/>
    </row>
    <row r="74" spans="1:13">
      <c r="A74" s="8"/>
      <c r="B74" s="141"/>
      <c r="C74" s="142"/>
      <c r="D74" s="203"/>
      <c r="E74" s="204"/>
      <c r="F74" s="204"/>
      <c r="G74" s="205"/>
      <c r="H74" s="201"/>
      <c r="I74" s="201"/>
      <c r="J74" s="143"/>
      <c r="K74" s="143"/>
      <c r="L74" s="143">
        <f t="shared" si="4"/>
        <v>0</v>
      </c>
    </row>
  </sheetData>
  <mergeCells count="118">
    <mergeCell ref="B57:B58"/>
    <mergeCell ref="C57:C58"/>
    <mergeCell ref="D57:G58"/>
    <mergeCell ref="H57:H58"/>
    <mergeCell ref="I57:I58"/>
    <mergeCell ref="D59:G59"/>
    <mergeCell ref="B60:B61"/>
    <mergeCell ref="C60:C61"/>
    <mergeCell ref="D60:G61"/>
    <mergeCell ref="H60:H61"/>
    <mergeCell ref="I60:I61"/>
    <mergeCell ref="B54:B55"/>
    <mergeCell ref="C54:C55"/>
    <mergeCell ref="D54:G55"/>
    <mergeCell ref="H54:H55"/>
    <mergeCell ref="I54:I55"/>
    <mergeCell ref="D56:G56"/>
    <mergeCell ref="B51:B52"/>
    <mergeCell ref="C51:C52"/>
    <mergeCell ref="D51:G52"/>
    <mergeCell ref="H51:H52"/>
    <mergeCell ref="I51:I52"/>
    <mergeCell ref="B46:B47"/>
    <mergeCell ref="C46:C47"/>
    <mergeCell ref="D42:G42"/>
    <mergeCell ref="D33:G34"/>
    <mergeCell ref="D40:G40"/>
    <mergeCell ref="D48:G48"/>
    <mergeCell ref="I33:I34"/>
    <mergeCell ref="H33:H34"/>
    <mergeCell ref="I37:I38"/>
    <mergeCell ref="H37:H38"/>
    <mergeCell ref="H46:H47"/>
    <mergeCell ref="I46:I47"/>
    <mergeCell ref="B62:B63"/>
    <mergeCell ref="C62:C63"/>
    <mergeCell ref="B69:B70"/>
    <mergeCell ref="C69:C70"/>
    <mergeCell ref="B65:B66"/>
    <mergeCell ref="C65:C66"/>
    <mergeCell ref="B67:B68"/>
    <mergeCell ref="C67:C68"/>
    <mergeCell ref="A31:A32"/>
    <mergeCell ref="B33:B34"/>
    <mergeCell ref="C33:C34"/>
    <mergeCell ref="B43:B44"/>
    <mergeCell ref="B37:B38"/>
    <mergeCell ref="C37:C38"/>
    <mergeCell ref="C43:C44"/>
    <mergeCell ref="A33:A36"/>
    <mergeCell ref="B35:B36"/>
    <mergeCell ref="C35:C36"/>
    <mergeCell ref="A37:A41"/>
    <mergeCell ref="A42:A48"/>
    <mergeCell ref="B31:B32"/>
    <mergeCell ref="C31:C32"/>
    <mergeCell ref="B49:B50"/>
    <mergeCell ref="C49:C50"/>
    <mergeCell ref="A20:N20"/>
    <mergeCell ref="B27:B28"/>
    <mergeCell ref="C27:C28"/>
    <mergeCell ref="D27:G28"/>
    <mergeCell ref="A22:A23"/>
    <mergeCell ref="B22:B23"/>
    <mergeCell ref="C22:C23"/>
    <mergeCell ref="D22:G23"/>
    <mergeCell ref="H22:I22"/>
    <mergeCell ref="I27:I28"/>
    <mergeCell ref="J22:K22"/>
    <mergeCell ref="D26:G26"/>
    <mergeCell ref="A24:A25"/>
    <mergeCell ref="A27:A30"/>
    <mergeCell ref="B24:B25"/>
    <mergeCell ref="D29:G30"/>
    <mergeCell ref="H27:H28"/>
    <mergeCell ref="I29:I30"/>
    <mergeCell ref="H29:H30"/>
    <mergeCell ref="I24:I25"/>
    <mergeCell ref="C24:C25"/>
    <mergeCell ref="C29:C30"/>
    <mergeCell ref="B29:B30"/>
    <mergeCell ref="D73:G73"/>
    <mergeCell ref="L22:L23"/>
    <mergeCell ref="D24:G25"/>
    <mergeCell ref="H69:H70"/>
    <mergeCell ref="H65:H66"/>
    <mergeCell ref="H62:H63"/>
    <mergeCell ref="D69:G70"/>
    <mergeCell ref="H24:H25"/>
    <mergeCell ref="D35:G36"/>
    <mergeCell ref="D41:G41"/>
    <mergeCell ref="D62:G63"/>
    <mergeCell ref="I69:I70"/>
    <mergeCell ref="I65:I66"/>
    <mergeCell ref="H67:H68"/>
    <mergeCell ref="I67:I68"/>
    <mergeCell ref="I62:I63"/>
    <mergeCell ref="H35:H36"/>
    <mergeCell ref="I35:I36"/>
    <mergeCell ref="D65:G66"/>
    <mergeCell ref="D64:G64"/>
    <mergeCell ref="D39:G39"/>
    <mergeCell ref="H43:H44"/>
    <mergeCell ref="I43:I44"/>
    <mergeCell ref="H31:H32"/>
    <mergeCell ref="I31:I32"/>
    <mergeCell ref="D53:G53"/>
    <mergeCell ref="D71:G71"/>
    <mergeCell ref="D72:G72"/>
    <mergeCell ref="D67:G68"/>
    <mergeCell ref="D37:G38"/>
    <mergeCell ref="D31:G32"/>
    <mergeCell ref="D45:G45"/>
    <mergeCell ref="D43:G44"/>
    <mergeCell ref="D46:G47"/>
    <mergeCell ref="D49:G50"/>
    <mergeCell ref="H49:H50"/>
    <mergeCell ref="I49:I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17</vt:i4>
      </vt:variant>
    </vt:vector>
  </HeadingPairs>
  <TitlesOfParts>
    <vt:vector size="17" baseType="lpstr">
      <vt:lpstr>λάθηΤΑΝ</vt:lpstr>
      <vt:lpstr>282α1</vt:lpstr>
      <vt:lpstr>282α2</vt:lpstr>
      <vt:lpstr>282β1</vt:lpstr>
      <vt:lpstr>282β2</vt:lpstr>
      <vt:lpstr>282γ</vt:lpstr>
      <vt:lpstr>282δ</vt:lpstr>
      <vt:lpstr>282ε</vt:lpstr>
      <vt:lpstr>282ζ</vt:lpstr>
      <vt:lpstr>282η</vt:lpstr>
      <vt:lpstr>282θ</vt:lpstr>
      <vt:lpstr>282ι</vt:lpstr>
      <vt:lpstr>282κ</vt:lpstr>
      <vt:lpstr>282λ</vt:lpstr>
      <vt:lpstr>282μ1</vt:lpstr>
      <vt:lpstr>282μ2</vt:lpstr>
      <vt:lpstr>282ν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2019-08-29T15:23:37Z</dcterms:created>
  <dcterms:modified xsi:type="dcterms:W3CDTF">2026-02-13T03:40:36Z</dcterms:modified>
</cp:coreProperties>
</file>