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tabRatio="966" firstSheet="2" activeTab="31"/>
  </bookViews>
  <sheets>
    <sheet name="δολοςΤΑΝ" sheetId="4" r:id="rId1"/>
    <sheet name="281α1-2" sheetId="54" r:id="rId2"/>
    <sheet name="281α3-4" sheetId="59" r:id="rId3"/>
    <sheet name="281β1-2" sheetId="55" r:id="rId4"/>
    <sheet name="281γ1-2" sheetId="56" r:id="rId5"/>
    <sheet name="281δ1" sheetId="50" r:id="rId6"/>
    <sheet name="281δ2" sheetId="40" r:id="rId7"/>
    <sheet name="281δ3-4" sheetId="57" r:id="rId8"/>
    <sheet name="281ε1" sheetId="15" r:id="rId9"/>
    <sheet name="281ε2" sheetId="30" r:id="rId10"/>
    <sheet name="281-ε3" sheetId="60" r:id="rId11"/>
    <sheet name="281-ε4" sheetId="61" r:id="rId12"/>
    <sheet name="281ζ" sheetId="16" r:id="rId13"/>
    <sheet name="281η" sheetId="17" r:id="rId14"/>
    <sheet name="281θ" sheetId="18" r:id="rId15"/>
    <sheet name="281ι1α" sheetId="19" r:id="rId16"/>
    <sheet name="281ι1β" sheetId="43" r:id="rId17"/>
    <sheet name="281ι2" sheetId="21" r:id="rId18"/>
    <sheet name="281κ" sheetId="22" r:id="rId19"/>
    <sheet name="281λ-μ" sheetId="62" r:id="rId20"/>
    <sheet name="281ν" sheetId="53" r:id="rId21"/>
    <sheet name="281ξ(1-2)" sheetId="41" r:id="rId22"/>
    <sheet name="281ξ3" sheetId="51" r:id="rId23"/>
    <sheet name="281ο" sheetId="63" r:id="rId24"/>
    <sheet name="281ρ1" sheetId="37" r:id="rId25"/>
    <sheet name="281ρ2" sheetId="42" r:id="rId26"/>
    <sheet name="281ρ3" sheetId="52" r:id="rId27"/>
    <sheet name="281υ1" sheetId="49" r:id="rId28"/>
    <sheet name="281υ2" sheetId="48" r:id="rId29"/>
    <sheet name="281φ1" sheetId="47" r:id="rId30"/>
    <sheet name="281φ2" sheetId="46" r:id="rId31"/>
    <sheet name="281ω3α" sheetId="64" r:id="rId32"/>
  </sheets>
  <calcPr calcId="125725"/>
</workbook>
</file>

<file path=xl/calcChain.xml><?xml version="1.0" encoding="utf-8"?>
<calcChain xmlns="http://schemas.openxmlformats.org/spreadsheetml/2006/main">
  <c r="O50" i="53"/>
  <c r="K24"/>
  <c r="K23"/>
  <c r="N24"/>
  <c r="N23"/>
  <c r="L15" i="16"/>
  <c r="G14" i="60"/>
  <c r="D14"/>
  <c r="D2"/>
  <c r="C2"/>
  <c r="B2"/>
  <c r="H13"/>
  <c r="H12"/>
  <c r="E2" l="1"/>
  <c r="M45" i="56"/>
  <c r="L34"/>
  <c r="L35"/>
  <c r="L36"/>
  <c r="L37"/>
  <c r="L38"/>
  <c r="L39"/>
  <c r="L40"/>
  <c r="L41"/>
  <c r="L42"/>
  <c r="L33"/>
  <c r="F58" i="59"/>
  <c r="G57" i="57" l="1"/>
  <c r="H56"/>
  <c r="F56"/>
  <c r="G59" i="59"/>
  <c r="H58"/>
  <c r="E13" i="63"/>
  <c r="J2" i="16"/>
  <c r="I2"/>
  <c r="F27"/>
  <c r="F28"/>
  <c r="F26"/>
  <c r="AE14" i="57"/>
  <c r="I37" i="15"/>
  <c r="I35"/>
  <c r="I32"/>
  <c r="D13" i="63"/>
  <c r="AC6" i="55"/>
  <c r="AA6"/>
  <c r="AP14" i="53"/>
  <c r="AP7"/>
  <c r="AO9" i="21"/>
  <c r="AO9" i="19"/>
  <c r="R22" i="64"/>
  <c r="Q22"/>
  <c r="O22"/>
  <c r="R21"/>
  <c r="O21"/>
  <c r="Q21" s="1"/>
  <c r="R20"/>
  <c r="N20"/>
  <c r="O20" s="1"/>
  <c r="Q20" s="1"/>
  <c r="R19"/>
  <c r="N19"/>
  <c r="O19" s="1"/>
  <c r="Q19" s="1"/>
  <c r="R18"/>
  <c r="N18"/>
  <c r="O18" s="1"/>
  <c r="Q18" s="1"/>
  <c r="P17"/>
  <c r="R17" s="1"/>
  <c r="R23" s="1"/>
  <c r="M17"/>
  <c r="L17"/>
  <c r="K17"/>
  <c r="P8"/>
  <c r="R7"/>
  <c r="O7"/>
  <c r="Q7" s="1"/>
  <c r="R6"/>
  <c r="Q6"/>
  <c r="O6"/>
  <c r="R5"/>
  <c r="O5"/>
  <c r="Q5" s="1"/>
  <c r="N5"/>
  <c r="R4"/>
  <c r="O4"/>
  <c r="Q4" s="1"/>
  <c r="N4"/>
  <c r="R3"/>
  <c r="O3"/>
  <c r="Q3" s="1"/>
  <c r="N3"/>
  <c r="R2"/>
  <c r="R8" s="1"/>
  <c r="O2"/>
  <c r="Q2" s="1"/>
  <c r="Q8" s="1"/>
  <c r="N2"/>
  <c r="N17" s="1"/>
  <c r="O17" l="1"/>
  <c r="N23"/>
  <c r="O8"/>
  <c r="P23"/>
  <c r="N8"/>
  <c r="O23" l="1"/>
  <c r="Q17"/>
  <c r="Q23" s="1"/>
  <c r="P2" i="16" l="1"/>
  <c r="P18" s="1"/>
  <c r="Q18"/>
  <c r="R18"/>
  <c r="O3"/>
  <c r="O4"/>
  <c r="O5"/>
  <c r="O6"/>
  <c r="O7"/>
  <c r="O8"/>
  <c r="O9"/>
  <c r="O10"/>
  <c r="O11"/>
  <c r="O2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E15" i="63" l="1"/>
  <c r="E30" s="1"/>
  <c r="E16"/>
  <c r="E14"/>
  <c r="D15"/>
  <c r="D16"/>
  <c r="D14"/>
  <c r="D30"/>
  <c r="G30" i="62"/>
  <c r="I13"/>
  <c r="I14"/>
  <c r="I15"/>
  <c r="I12"/>
  <c r="H13"/>
  <c r="H14"/>
  <c r="H15"/>
  <c r="H12"/>
  <c r="H30" s="1"/>
  <c r="E18"/>
  <c r="E17"/>
  <c r="D18"/>
  <c r="D17"/>
  <c r="D30" s="1"/>
  <c r="C30" i="63"/>
  <c r="B30"/>
  <c r="C30" i="62"/>
  <c r="F30"/>
  <c r="B30"/>
  <c r="Q19" i="49"/>
  <c r="Q3"/>
  <c r="Q4"/>
  <c r="Q5"/>
  <c r="Q6"/>
  <c r="Q7"/>
  <c r="Q8"/>
  <c r="Q2"/>
  <c r="P3"/>
  <c r="P4"/>
  <c r="P2"/>
  <c r="Q4" i="46"/>
  <c r="Q7"/>
  <c r="Q8"/>
  <c r="Q9"/>
  <c r="Q10"/>
  <c r="Q11"/>
  <c r="Q12"/>
  <c r="P4"/>
  <c r="P5"/>
  <c r="P6"/>
  <c r="P7"/>
  <c r="P8"/>
  <c r="P9"/>
  <c r="P10"/>
  <c r="P11"/>
  <c r="P12"/>
  <c r="O4"/>
  <c r="O5"/>
  <c r="O6"/>
  <c r="O7"/>
  <c r="O8"/>
  <c r="O9"/>
  <c r="O10"/>
  <c r="O11"/>
  <c r="O12"/>
  <c r="N4"/>
  <c r="N5"/>
  <c r="N6"/>
  <c r="N7"/>
  <c r="N8"/>
  <c r="N9"/>
  <c r="N10"/>
  <c r="N11"/>
  <c r="N12"/>
  <c r="M4"/>
  <c r="M5"/>
  <c r="M6"/>
  <c r="M7"/>
  <c r="M8"/>
  <c r="M9"/>
  <c r="M10"/>
  <c r="M11"/>
  <c r="M12"/>
  <c r="L4"/>
  <c r="L5"/>
  <c r="L6"/>
  <c r="L7"/>
  <c r="L8"/>
  <c r="L9"/>
  <c r="L10"/>
  <c r="L11"/>
  <c r="L12"/>
  <c r="K4"/>
  <c r="K5"/>
  <c r="K6"/>
  <c r="K7"/>
  <c r="K8"/>
  <c r="K9"/>
  <c r="K10"/>
  <c r="K11"/>
  <c r="K12"/>
  <c r="J4"/>
  <c r="J5"/>
  <c r="J6"/>
  <c r="J7"/>
  <c r="J8"/>
  <c r="J9"/>
  <c r="J10"/>
  <c r="J11"/>
  <c r="J12"/>
  <c r="I4"/>
  <c r="I5"/>
  <c r="I6"/>
  <c r="I7"/>
  <c r="I8"/>
  <c r="I9"/>
  <c r="I10"/>
  <c r="I11"/>
  <c r="I12"/>
  <c r="H4"/>
  <c r="H5"/>
  <c r="H6"/>
  <c r="H7"/>
  <c r="H8"/>
  <c r="H9"/>
  <c r="H10"/>
  <c r="H11"/>
  <c r="H12"/>
  <c r="G4"/>
  <c r="G5"/>
  <c r="G6"/>
  <c r="G7"/>
  <c r="G8"/>
  <c r="G9"/>
  <c r="G10"/>
  <c r="G11"/>
  <c r="G12"/>
  <c r="F4"/>
  <c r="F5"/>
  <c r="F6"/>
  <c r="F7"/>
  <c r="F8"/>
  <c r="F9"/>
  <c r="F10"/>
  <c r="F11"/>
  <c r="F12"/>
  <c r="E4"/>
  <c r="E5"/>
  <c r="E6"/>
  <c r="E7"/>
  <c r="E8"/>
  <c r="E9"/>
  <c r="E10"/>
  <c r="E11"/>
  <c r="E12"/>
  <c r="D4"/>
  <c r="D5"/>
  <c r="D6"/>
  <c r="D7"/>
  <c r="D8"/>
  <c r="D9"/>
  <c r="D10"/>
  <c r="D11"/>
  <c r="D12"/>
  <c r="C4"/>
  <c r="C5"/>
  <c r="C6"/>
  <c r="C7"/>
  <c r="C8"/>
  <c r="C9"/>
  <c r="C10"/>
  <c r="C11"/>
  <c r="C12"/>
  <c r="B4"/>
  <c r="B5"/>
  <c r="B6"/>
  <c r="B7"/>
  <c r="B8"/>
  <c r="B9"/>
  <c r="B10"/>
  <c r="B11"/>
  <c r="B12"/>
  <c r="C3"/>
  <c r="D3"/>
  <c r="E3"/>
  <c r="F3"/>
  <c r="G3"/>
  <c r="H3"/>
  <c r="I3"/>
  <c r="J3"/>
  <c r="K3"/>
  <c r="L3"/>
  <c r="M3"/>
  <c r="N3"/>
  <c r="O3"/>
  <c r="P3"/>
  <c r="B3"/>
  <c r="P2"/>
  <c r="J2"/>
  <c r="K2"/>
  <c r="L2"/>
  <c r="M2"/>
  <c r="N2"/>
  <c r="O2"/>
  <c r="I2"/>
  <c r="Q3" i="47"/>
  <c r="Q3" i="46" s="1"/>
  <c r="Q4" i="47"/>
  <c r="Q5"/>
  <c r="Q5" i="46" s="1"/>
  <c r="Q6" i="47"/>
  <c r="Q6" i="46" s="1"/>
  <c r="Q7" i="47"/>
  <c r="Q8"/>
  <c r="Q9"/>
  <c r="Q10"/>
  <c r="Q11"/>
  <c r="Q12"/>
  <c r="Q2"/>
  <c r="Q2" i="46" s="1"/>
  <c r="P7" i="47"/>
  <c r="P8"/>
  <c r="P9"/>
  <c r="P10"/>
  <c r="P11"/>
  <c r="P12"/>
  <c r="P3"/>
  <c r="P4"/>
  <c r="P5"/>
  <c r="P6"/>
  <c r="P2"/>
  <c r="S8"/>
  <c r="Q4" i="52"/>
  <c r="Q5"/>
  <c r="Q6"/>
  <c r="Q7"/>
  <c r="Q2"/>
  <c r="P3"/>
  <c r="P4"/>
  <c r="P5"/>
  <c r="P6"/>
  <c r="P7"/>
  <c r="P8"/>
  <c r="P2"/>
  <c r="O4"/>
  <c r="O5"/>
  <c r="O6"/>
  <c r="O7"/>
  <c r="Z4"/>
  <c r="Z5"/>
  <c r="Z6"/>
  <c r="Z7"/>
  <c r="Z8"/>
  <c r="O8" s="1"/>
  <c r="Q8" s="1"/>
  <c r="F42"/>
  <c r="Q2" i="42"/>
  <c r="P3"/>
  <c r="P2"/>
  <c r="F33" i="37"/>
  <c r="O4"/>
  <c r="O5"/>
  <c r="O6"/>
  <c r="O7"/>
  <c r="O9"/>
  <c r="O10"/>
  <c r="O11"/>
  <c r="O12"/>
  <c r="O13"/>
  <c r="O14"/>
  <c r="O15"/>
  <c r="O16"/>
  <c r="O17"/>
  <c r="AC3"/>
  <c r="O3" s="1"/>
  <c r="AC4"/>
  <c r="AC5"/>
  <c r="AC6"/>
  <c r="AC7"/>
  <c r="AC8"/>
  <c r="O8" s="1"/>
  <c r="AC9"/>
  <c r="AC10"/>
  <c r="AC11"/>
  <c r="AC12"/>
  <c r="AC13"/>
  <c r="AC14"/>
  <c r="AC15"/>
  <c r="AC16"/>
  <c r="AC17"/>
  <c r="AC2"/>
  <c r="O2" s="1"/>
  <c r="R34" i="53"/>
  <c r="Q34"/>
  <c r="N34"/>
  <c r="O34"/>
  <c r="F34"/>
  <c r="E34"/>
  <c r="R33"/>
  <c r="R35"/>
  <c r="R36"/>
  <c r="R37"/>
  <c r="R38"/>
  <c r="Q31"/>
  <c r="Q32"/>
  <c r="Q33"/>
  <c r="Q35"/>
  <c r="Q36"/>
  <c r="Q37"/>
  <c r="Q38"/>
  <c r="Q39"/>
  <c r="Q40"/>
  <c r="Q41"/>
  <c r="Q42"/>
  <c r="Q43"/>
  <c r="Q44"/>
  <c r="Q45"/>
  <c r="Q46"/>
  <c r="Q47"/>
  <c r="Q48"/>
  <c r="Q30"/>
  <c r="O6"/>
  <c r="R6" s="1"/>
  <c r="O8"/>
  <c r="O9"/>
  <c r="R9" s="1"/>
  <c r="O10"/>
  <c r="R10" s="1"/>
  <c r="O11"/>
  <c r="R8"/>
  <c r="R11"/>
  <c r="Q4"/>
  <c r="Q5"/>
  <c r="Q6"/>
  <c r="Q8"/>
  <c r="Q9"/>
  <c r="Q10"/>
  <c r="Q11"/>
  <c r="Q12"/>
  <c r="Q13"/>
  <c r="Q14"/>
  <c r="Q15"/>
  <c r="Q16"/>
  <c r="Q17"/>
  <c r="Q18"/>
  <c r="Q19"/>
  <c r="Q20"/>
  <c r="Q21"/>
  <c r="Q3"/>
  <c r="AF3"/>
  <c r="O3" s="1"/>
  <c r="R3" s="1"/>
  <c r="R30" s="1"/>
  <c r="AF4"/>
  <c r="O4" s="1"/>
  <c r="R4" s="1"/>
  <c r="R31" s="1"/>
  <c r="AF5"/>
  <c r="O5" s="1"/>
  <c r="R5" s="1"/>
  <c r="R32" s="1"/>
  <c r="AF6"/>
  <c r="AF7"/>
  <c r="O7" s="1"/>
  <c r="R7" s="1"/>
  <c r="AN7"/>
  <c r="AF8"/>
  <c r="AN8"/>
  <c r="AF9"/>
  <c r="AN9"/>
  <c r="AF10"/>
  <c r="AN10"/>
  <c r="AF11"/>
  <c r="AF12"/>
  <c r="O12" s="1"/>
  <c r="R12" s="1"/>
  <c r="R39" s="1"/>
  <c r="AF13"/>
  <c r="O13" s="1"/>
  <c r="R13" s="1"/>
  <c r="R40" s="1"/>
  <c r="AF14"/>
  <c r="O14" s="1"/>
  <c r="R14" s="1"/>
  <c r="R41" s="1"/>
  <c r="AN14"/>
  <c r="AF15"/>
  <c r="O15" s="1"/>
  <c r="R15" s="1"/>
  <c r="R42" s="1"/>
  <c r="AN15"/>
  <c r="AF16"/>
  <c r="O16" s="1"/>
  <c r="R16" s="1"/>
  <c r="R43" s="1"/>
  <c r="AN16"/>
  <c r="AF17"/>
  <c r="O17" s="1"/>
  <c r="R17" s="1"/>
  <c r="R44" s="1"/>
  <c r="AN17"/>
  <c r="AF18"/>
  <c r="O18" s="1"/>
  <c r="R18" s="1"/>
  <c r="R45" s="1"/>
  <c r="AF19"/>
  <c r="O19" s="1"/>
  <c r="R19" s="1"/>
  <c r="R46" s="1"/>
  <c r="AF20"/>
  <c r="O20" s="1"/>
  <c r="R20" s="1"/>
  <c r="R47" s="1"/>
  <c r="AF21"/>
  <c r="O21" s="1"/>
  <c r="R21" s="1"/>
  <c r="R48" s="1"/>
  <c r="O5" i="22"/>
  <c r="O6"/>
  <c r="O7"/>
  <c r="O8"/>
  <c r="AC8"/>
  <c r="N8"/>
  <c r="Q4" i="21"/>
  <c r="Q5"/>
  <c r="Q6"/>
  <c r="Q7"/>
  <c r="Q8"/>
  <c r="Q9"/>
  <c r="Q10"/>
  <c r="Q11"/>
  <c r="Q12"/>
  <c r="Q13"/>
  <c r="Q14"/>
  <c r="Q15"/>
  <c r="Q16"/>
  <c r="Q17"/>
  <c r="Q18"/>
  <c r="Q3"/>
  <c r="P4"/>
  <c r="P5"/>
  <c r="P19" s="1"/>
  <c r="P6"/>
  <c r="P7"/>
  <c r="P8"/>
  <c r="P9"/>
  <c r="P10"/>
  <c r="P11"/>
  <c r="P12"/>
  <c r="P13"/>
  <c r="P14"/>
  <c r="P15"/>
  <c r="P16"/>
  <c r="P17"/>
  <c r="P18"/>
  <c r="P3"/>
  <c r="AF4"/>
  <c r="AF5"/>
  <c r="AF6"/>
  <c r="AF7"/>
  <c r="AF8"/>
  <c r="AF9"/>
  <c r="AF10"/>
  <c r="AF11"/>
  <c r="AF12"/>
  <c r="AF13"/>
  <c r="AF14"/>
  <c r="AF15"/>
  <c r="AF16"/>
  <c r="AF17"/>
  <c r="AF18"/>
  <c r="AF3"/>
  <c r="O21" i="43"/>
  <c r="Z11" s="1"/>
  <c r="Q4"/>
  <c r="Q5"/>
  <c r="Q6"/>
  <c r="Q7"/>
  <c r="Q8"/>
  <c r="Q9"/>
  <c r="Q10"/>
  <c r="Q11"/>
  <c r="Q12"/>
  <c r="Q13"/>
  <c r="Q14"/>
  <c r="Q15"/>
  <c r="Q16"/>
  <c r="Q17"/>
  <c r="Q18"/>
  <c r="P4"/>
  <c r="P5"/>
  <c r="P6"/>
  <c r="P7"/>
  <c r="P8"/>
  <c r="P9"/>
  <c r="P10"/>
  <c r="P11"/>
  <c r="P12"/>
  <c r="P13"/>
  <c r="P14"/>
  <c r="P15"/>
  <c r="P16"/>
  <c r="P17"/>
  <c r="P18"/>
  <c r="O3"/>
  <c r="P3"/>
  <c r="Q3"/>
  <c r="Q19" s="1"/>
  <c r="Q19" i="19"/>
  <c r="Q21" i="43" s="1"/>
  <c r="O3" i="19"/>
  <c r="O4"/>
  <c r="Q4" s="1"/>
  <c r="O5"/>
  <c r="O6"/>
  <c r="O7"/>
  <c r="O8"/>
  <c r="Q8" s="1"/>
  <c r="O9"/>
  <c r="O10"/>
  <c r="O11"/>
  <c r="O12"/>
  <c r="Q12" s="1"/>
  <c r="O13"/>
  <c r="O14"/>
  <c r="O15"/>
  <c r="O16"/>
  <c r="Q16" s="1"/>
  <c r="O17"/>
  <c r="AF3"/>
  <c r="AF4"/>
  <c r="AF5"/>
  <c r="AF6"/>
  <c r="AF7"/>
  <c r="AF8"/>
  <c r="AF9"/>
  <c r="AF10"/>
  <c r="AF11"/>
  <c r="AF12"/>
  <c r="AF13"/>
  <c r="AF14"/>
  <c r="AF15"/>
  <c r="AF16"/>
  <c r="AF17"/>
  <c r="AF2"/>
  <c r="Q3"/>
  <c r="Q5"/>
  <c r="Q6"/>
  <c r="Q7"/>
  <c r="Q9"/>
  <c r="Q10"/>
  <c r="Q11"/>
  <c r="Q13"/>
  <c r="Q14"/>
  <c r="Q15"/>
  <c r="Q17"/>
  <c r="P2" i="61"/>
  <c r="I2" s="1"/>
  <c r="F2"/>
  <c r="H2" s="1"/>
  <c r="G2" i="60"/>
  <c r="Q4" i="30"/>
  <c r="Q5"/>
  <c r="Q6"/>
  <c r="Q7"/>
  <c r="Q8"/>
  <c r="Q9"/>
  <c r="Q10"/>
  <c r="Q11"/>
  <c r="Q12"/>
  <c r="Q13"/>
  <c r="Q14"/>
  <c r="Q15"/>
  <c r="Q16"/>
  <c r="Q17"/>
  <c r="O4"/>
  <c r="O5"/>
  <c r="O6"/>
  <c r="O7"/>
  <c r="O8"/>
  <c r="O9"/>
  <c r="O10"/>
  <c r="O11"/>
  <c r="O12"/>
  <c r="O13"/>
  <c r="O14"/>
  <c r="O15"/>
  <c r="O16"/>
  <c r="O17"/>
  <c r="P3"/>
  <c r="P4"/>
  <c r="P5"/>
  <c r="P6"/>
  <c r="P7"/>
  <c r="P8"/>
  <c r="P9"/>
  <c r="P10"/>
  <c r="P11"/>
  <c r="P12"/>
  <c r="P13"/>
  <c r="P14"/>
  <c r="P15"/>
  <c r="P16"/>
  <c r="P17"/>
  <c r="P2"/>
  <c r="AE4"/>
  <c r="AE5"/>
  <c r="AE6"/>
  <c r="AE7"/>
  <c r="AE8"/>
  <c r="AE9"/>
  <c r="AE10"/>
  <c r="AE11"/>
  <c r="AE12"/>
  <c r="AE13"/>
  <c r="AE14"/>
  <c r="AE15"/>
  <c r="AE16"/>
  <c r="AE17"/>
  <c r="AE4" i="15"/>
  <c r="AE5"/>
  <c r="AE6"/>
  <c r="AE7"/>
  <c r="AE8"/>
  <c r="AE9"/>
  <c r="AE10"/>
  <c r="AE11"/>
  <c r="AE12"/>
  <c r="AE13"/>
  <c r="AE14"/>
  <c r="AE15"/>
  <c r="AE16"/>
  <c r="AE17"/>
  <c r="E30" i="62" l="1"/>
  <c r="I30"/>
  <c r="R49" i="53"/>
  <c r="AP17" s="1"/>
  <c r="R22"/>
  <c r="AP10" s="1"/>
  <c r="Q19" i="21"/>
  <c r="P19" i="43"/>
  <c r="J54" i="57"/>
  <c r="I54"/>
  <c r="H53"/>
  <c r="R3"/>
  <c r="R4"/>
  <c r="R5"/>
  <c r="R6"/>
  <c r="Q3"/>
  <c r="Q7" s="1"/>
  <c r="Q4"/>
  <c r="Q5"/>
  <c r="Q6"/>
  <c r="Q2"/>
  <c r="H53" i="56"/>
  <c r="I69"/>
  <c r="S66"/>
  <c r="S67"/>
  <c r="S68"/>
  <c r="S65"/>
  <c r="I64"/>
  <c r="I63"/>
  <c r="I62"/>
  <c r="I60"/>
  <c r="I59"/>
  <c r="I58"/>
  <c r="I57"/>
  <c r="N27" i="50"/>
  <c r="N28"/>
  <c r="P28" s="1"/>
  <c r="P6"/>
  <c r="N6"/>
  <c r="N4"/>
  <c r="N5"/>
  <c r="F16"/>
  <c r="P27"/>
  <c r="O27"/>
  <c r="O28"/>
  <c r="P26"/>
  <c r="P25"/>
  <c r="P3"/>
  <c r="P4"/>
  <c r="P5"/>
  <c r="P2"/>
  <c r="O4"/>
  <c r="O5"/>
  <c r="O4" i="15"/>
  <c r="Q4" s="1"/>
  <c r="O5"/>
  <c r="Q5" s="1"/>
  <c r="O6"/>
  <c r="Q6" s="1"/>
  <c r="O7"/>
  <c r="Q7" s="1"/>
  <c r="O8"/>
  <c r="Q8" s="1"/>
  <c r="O9"/>
  <c r="Q9" s="1"/>
  <c r="O10"/>
  <c r="Q10" s="1"/>
  <c r="O11"/>
  <c r="Q11" s="1"/>
  <c r="O12"/>
  <c r="Q12" s="1"/>
  <c r="O13"/>
  <c r="Q13" s="1"/>
  <c r="O14"/>
  <c r="Q14" s="1"/>
  <c r="O15"/>
  <c r="Q15" s="1"/>
  <c r="O16"/>
  <c r="Q16" s="1"/>
  <c r="O17"/>
  <c r="Q17" s="1"/>
  <c r="N4"/>
  <c r="P4" s="1"/>
  <c r="N5"/>
  <c r="P5" s="1"/>
  <c r="N6"/>
  <c r="P6" s="1"/>
  <c r="N7"/>
  <c r="P7" s="1"/>
  <c r="N8"/>
  <c r="P8" s="1"/>
  <c r="N9"/>
  <c r="P9" s="1"/>
  <c r="N10"/>
  <c r="P10" s="1"/>
  <c r="N12"/>
  <c r="P12" s="1"/>
  <c r="N13"/>
  <c r="P13" s="1"/>
  <c r="N14"/>
  <c r="P14" s="1"/>
  <c r="N15"/>
  <c r="P15" s="1"/>
  <c r="N16"/>
  <c r="P16" s="1"/>
  <c r="N17"/>
  <c r="P17" s="1"/>
  <c r="N2"/>
  <c r="P2" s="1"/>
  <c r="N3"/>
  <c r="P3" s="1"/>
  <c r="I29"/>
  <c r="I30"/>
  <c r="I31"/>
  <c r="I33"/>
  <c r="I34"/>
  <c r="I36"/>
  <c r="I28"/>
  <c r="H54" i="59"/>
  <c r="F2" i="60"/>
  <c r="H10"/>
  <c r="E10"/>
  <c r="H51" i="57"/>
  <c r="H22"/>
  <c r="D22"/>
  <c r="N2"/>
  <c r="N3"/>
  <c r="N4"/>
  <c r="N5"/>
  <c r="N6"/>
  <c r="K45" i="56"/>
  <c r="J45"/>
  <c r="H45"/>
  <c r="G45"/>
  <c r="E45"/>
  <c r="D45"/>
  <c r="H52" i="59"/>
  <c r="K32" i="56"/>
  <c r="J32"/>
  <c r="E32"/>
  <c r="D32"/>
  <c r="H23" i="59"/>
  <c r="D23"/>
  <c r="F3"/>
  <c r="E3"/>
  <c r="AE6" i="57"/>
  <c r="O6" s="1"/>
  <c r="AE5"/>
  <c r="O5" s="1"/>
  <c r="AE4"/>
  <c r="O4" s="1"/>
  <c r="AE3"/>
  <c r="O3" s="1"/>
  <c r="AE2"/>
  <c r="O2" s="1"/>
  <c r="R2" s="1"/>
  <c r="G55" i="56"/>
  <c r="AP18"/>
  <c r="AB18" s="1"/>
  <c r="AA18"/>
  <c r="Z18"/>
  <c r="AP17"/>
  <c r="AB17" s="1"/>
  <c r="AA17"/>
  <c r="Z17"/>
  <c r="AP16"/>
  <c r="AB16" s="1"/>
  <c r="AA16"/>
  <c r="Z16"/>
  <c r="AP15"/>
  <c r="AB15" s="1"/>
  <c r="AA15"/>
  <c r="Z15"/>
  <c r="AP14"/>
  <c r="AB14" s="1"/>
  <c r="AA14"/>
  <c r="Z14"/>
  <c r="AP13"/>
  <c r="AB13" s="1"/>
  <c r="AA13"/>
  <c r="Z13"/>
  <c r="AP12"/>
  <c r="AB12" s="1"/>
  <c r="AA12"/>
  <c r="Z12"/>
  <c r="AP11"/>
  <c r="AB11" s="1"/>
  <c r="AA11"/>
  <c r="Z11"/>
  <c r="AP10"/>
  <c r="AB10" s="1"/>
  <c r="AA10"/>
  <c r="Z10"/>
  <c r="AP9"/>
  <c r="AB9" s="1"/>
  <c r="AA9"/>
  <c r="Z9"/>
  <c r="AP8"/>
  <c r="AB8" s="1"/>
  <c r="AA8"/>
  <c r="Z8"/>
  <c r="AP7"/>
  <c r="AB7" s="1"/>
  <c r="AA7"/>
  <c r="Z7"/>
  <c r="AP6"/>
  <c r="AB6" s="1"/>
  <c r="AA6"/>
  <c r="Z6"/>
  <c r="AP5"/>
  <c r="AB5" s="1"/>
  <c r="AA5"/>
  <c r="Z5"/>
  <c r="AP4"/>
  <c r="AB4" s="1"/>
  <c r="AA4"/>
  <c r="Z4"/>
  <c r="AP3"/>
  <c r="AB3" s="1"/>
  <c r="AA3"/>
  <c r="Z3"/>
  <c r="AQ18" i="55"/>
  <c r="AQ17"/>
  <c r="AB17" s="1"/>
  <c r="AQ16"/>
  <c r="AB16" s="1"/>
  <c r="AQ15"/>
  <c r="AB15" s="1"/>
  <c r="AQ14"/>
  <c r="AB14" s="1"/>
  <c r="AQ13"/>
  <c r="AB13" s="1"/>
  <c r="AQ12"/>
  <c r="AB12" s="1"/>
  <c r="AA12"/>
  <c r="Z12"/>
  <c r="AQ11"/>
  <c r="AB11" s="1"/>
  <c r="AA11"/>
  <c r="Z11"/>
  <c r="AQ10"/>
  <c r="AB10" s="1"/>
  <c r="AA10"/>
  <c r="Z10"/>
  <c r="AQ9"/>
  <c r="AB9" s="1"/>
  <c r="AA9"/>
  <c r="Z9"/>
  <c r="AQ8"/>
  <c r="AB8" s="1"/>
  <c r="AA8"/>
  <c r="Z8"/>
  <c r="AQ7"/>
  <c r="AB7" s="1"/>
  <c r="AC7"/>
  <c r="AA7"/>
  <c r="Z7"/>
  <c r="AQ6"/>
  <c r="AB6" s="1"/>
  <c r="Z6"/>
  <c r="AQ5"/>
  <c r="AB5" s="1"/>
  <c r="AA5"/>
  <c r="Z5"/>
  <c r="AC5" s="1"/>
  <c r="AQ4"/>
  <c r="AA4"/>
  <c r="Z4"/>
  <c r="AQ3"/>
  <c r="AA3"/>
  <c r="Z3"/>
  <c r="H72" i="56" l="1"/>
  <c r="J58"/>
  <c r="J29" i="15"/>
  <c r="E11" s="1"/>
  <c r="J38"/>
  <c r="G11" s="1"/>
  <c r="I10" i="60"/>
  <c r="R7" i="57"/>
  <c r="T68" i="56"/>
  <c r="J62"/>
  <c r="Z19" i="55"/>
  <c r="AC19"/>
  <c r="P29" i="50"/>
  <c r="N29"/>
  <c r="L45" i="56"/>
  <c r="H73" s="1"/>
  <c r="F32"/>
  <c r="AB19" i="55"/>
  <c r="L32" i="56"/>
  <c r="F45"/>
  <c r="I45"/>
  <c r="AA19"/>
  <c r="Z19"/>
  <c r="H68"/>
  <c r="O7" i="57"/>
  <c r="N7"/>
  <c r="AB19" i="56"/>
  <c r="AA19" i="55"/>
  <c r="L46" i="56" l="1"/>
  <c r="N11" i="15"/>
  <c r="P11" s="1"/>
  <c r="AQ18" i="54"/>
  <c r="AB18" s="1"/>
  <c r="AA18"/>
  <c r="Z18"/>
  <c r="AQ17"/>
  <c r="AB17" s="1"/>
  <c r="AA17"/>
  <c r="Z17"/>
  <c r="AQ16"/>
  <c r="AB16" s="1"/>
  <c r="AA16"/>
  <c r="Z16"/>
  <c r="AQ15"/>
  <c r="AB15" s="1"/>
  <c r="AC15"/>
  <c r="AA15"/>
  <c r="Z15"/>
  <c r="AQ14"/>
  <c r="AB14" s="1"/>
  <c r="AA14"/>
  <c r="Z14"/>
  <c r="AQ13"/>
  <c r="AB13" s="1"/>
  <c r="AA13"/>
  <c r="Z13"/>
  <c r="AQ12"/>
  <c r="AB12" s="1"/>
  <c r="AC12"/>
  <c r="AA12"/>
  <c r="Z12"/>
  <c r="AQ11"/>
  <c r="AB11" s="1"/>
  <c r="AA11"/>
  <c r="Z11"/>
  <c r="AQ10"/>
  <c r="AB10" s="1"/>
  <c r="AA10"/>
  <c r="Z10"/>
  <c r="AQ9"/>
  <c r="AB9" s="1"/>
  <c r="AA9"/>
  <c r="Z9"/>
  <c r="AQ8"/>
  <c r="AB8" s="1"/>
  <c r="AA8"/>
  <c r="Z8"/>
  <c r="AQ7"/>
  <c r="AB7" s="1"/>
  <c r="AC7"/>
  <c r="AA7"/>
  <c r="Z7"/>
  <c r="AQ6"/>
  <c r="AB6" s="1"/>
  <c r="AC6"/>
  <c r="AA6"/>
  <c r="Z6"/>
  <c r="AQ5"/>
  <c r="AB5" s="1"/>
  <c r="AC5"/>
  <c r="AA5"/>
  <c r="Z5"/>
  <c r="AQ4"/>
  <c r="AB4" s="1"/>
  <c r="AC4"/>
  <c r="AA4"/>
  <c r="Z4"/>
  <c r="AQ3"/>
  <c r="AB3" s="1"/>
  <c r="AA3"/>
  <c r="Z3"/>
  <c r="AC19" l="1"/>
  <c r="Z19"/>
  <c r="AA19"/>
  <c r="AB19"/>
  <c r="I26" i="15" l="1"/>
  <c r="H26"/>
  <c r="E26"/>
  <c r="E110" i="40"/>
  <c r="E105"/>
  <c r="E98"/>
  <c r="E99"/>
  <c r="E100"/>
  <c r="E101"/>
  <c r="E102"/>
  <c r="E103"/>
  <c r="E104"/>
  <c r="B3" i="50"/>
  <c r="G21"/>
  <c r="F21"/>
  <c r="AH45" i="41" l="1"/>
  <c r="AE45"/>
  <c r="AH46" s="1"/>
  <c r="AC23"/>
  <c r="AD23" s="1"/>
  <c r="AH23" s="1"/>
  <c r="AH19"/>
  <c r="AE19"/>
  <c r="AG18"/>
  <c r="AD18"/>
  <c r="AG17"/>
  <c r="AF17"/>
  <c r="AD17"/>
  <c r="AC17"/>
  <c r="AG16"/>
  <c r="AF16"/>
  <c r="AD16"/>
  <c r="AC16"/>
  <c r="AG15"/>
  <c r="AF15"/>
  <c r="AD15"/>
  <c r="AC15"/>
  <c r="AG14"/>
  <c r="AF14"/>
  <c r="AD14"/>
  <c r="AC14"/>
  <c r="AG13"/>
  <c r="AF13"/>
  <c r="AD13"/>
  <c r="AC13"/>
  <c r="AG12"/>
  <c r="AF12"/>
  <c r="AD12"/>
  <c r="AC12"/>
  <c r="AG11"/>
  <c r="AF11"/>
  <c r="AD11"/>
  <c r="AC11"/>
  <c r="AG10"/>
  <c r="AF10"/>
  <c r="AD10"/>
  <c r="AC10"/>
  <c r="AG9"/>
  <c r="AF9"/>
  <c r="AD9"/>
  <c r="AC9"/>
  <c r="AG8"/>
  <c r="AF8"/>
  <c r="AD8"/>
  <c r="AC8"/>
  <c r="AG7"/>
  <c r="AF7"/>
  <c r="AD7"/>
  <c r="AC7"/>
  <c r="AG6"/>
  <c r="AF6"/>
  <c r="AD6"/>
  <c r="AC6"/>
  <c r="AG5"/>
  <c r="AF5"/>
  <c r="AD5"/>
  <c r="AC5"/>
  <c r="AG4"/>
  <c r="AF4"/>
  <c r="AC4"/>
  <c r="AD4" s="1"/>
  <c r="AF3"/>
  <c r="AF19" s="1"/>
  <c r="AC3"/>
  <c r="AD3" s="1"/>
  <c r="O18" i="37"/>
  <c r="X11" i="43"/>
  <c r="X14" s="1"/>
  <c r="X13"/>
  <c r="X12"/>
  <c r="U12" i="18"/>
  <c r="O12" s="1"/>
  <c r="AF14" i="51"/>
  <c r="AF15"/>
  <c r="AF13"/>
  <c r="AF9"/>
  <c r="AF10"/>
  <c r="AF11"/>
  <c r="AF12"/>
  <c r="AF8"/>
  <c r="AF4"/>
  <c r="AF5"/>
  <c r="AF6"/>
  <c r="AF7"/>
  <c r="AF3"/>
  <c r="AD14" i="52"/>
  <c r="AD13"/>
  <c r="AD12"/>
  <c r="Z11" i="42"/>
  <c r="Z10"/>
  <c r="Z9"/>
  <c r="C172" i="53"/>
  <c r="AM11" i="21"/>
  <c r="AM10"/>
  <c r="AM9"/>
  <c r="AM11" i="19"/>
  <c r="AM10"/>
  <c r="AM9"/>
  <c r="AC19" i="41" l="1"/>
  <c r="AF20" s="1"/>
  <c r="AF24" s="1"/>
  <c r="AG3"/>
  <c r="AG19" s="1"/>
  <c r="AH20"/>
  <c r="AH24" s="1"/>
  <c r="AH50"/>
  <c r="AD19"/>
  <c r="AG20" s="1"/>
  <c r="AG24" s="1"/>
  <c r="AD15" i="52"/>
  <c r="Z12" i="42"/>
  <c r="AM12" i="21"/>
  <c r="AM12" i="19"/>
  <c r="C171" i="53" l="1"/>
  <c r="N171" s="1"/>
  <c r="M21" s="1"/>
  <c r="C170"/>
  <c r="N170" s="1"/>
  <c r="L21" s="1"/>
  <c r="C169"/>
  <c r="N169" s="1"/>
  <c r="K21" s="1"/>
  <c r="C168"/>
  <c r="N168" s="1"/>
  <c r="J21" s="1"/>
  <c r="C167"/>
  <c r="N167" s="1"/>
  <c r="I21" s="1"/>
  <c r="C166"/>
  <c r="N166" s="1"/>
  <c r="H21" s="1"/>
  <c r="C165"/>
  <c r="C164"/>
  <c r="C163"/>
  <c r="C162"/>
  <c r="N162" s="1"/>
  <c r="D21" s="1"/>
  <c r="C161"/>
  <c r="N161" s="1"/>
  <c r="C21" s="1"/>
  <c r="C160"/>
  <c r="N160" s="1"/>
  <c r="B21" s="1"/>
  <c r="N163"/>
  <c r="E21" s="1"/>
  <c r="N164"/>
  <c r="F21" s="1"/>
  <c r="N165"/>
  <c r="G21" s="1"/>
  <c r="N172"/>
  <c r="N173"/>
  <c r="N174"/>
  <c r="N175"/>
  <c r="C159"/>
  <c r="C158"/>
  <c r="N158" s="1"/>
  <c r="L20" s="1"/>
  <c r="C157"/>
  <c r="N157" s="1"/>
  <c r="K20" s="1"/>
  <c r="C156"/>
  <c r="N156" s="1"/>
  <c r="J20" s="1"/>
  <c r="C155"/>
  <c r="N155" s="1"/>
  <c r="I20" s="1"/>
  <c r="C154"/>
  <c r="N154" s="1"/>
  <c r="H20" s="1"/>
  <c r="C153"/>
  <c r="C152"/>
  <c r="N152" s="1"/>
  <c r="F20" s="1"/>
  <c r="C151"/>
  <c r="N151" s="1"/>
  <c r="E20" s="1"/>
  <c r="N153"/>
  <c r="G20" s="1"/>
  <c r="N159"/>
  <c r="M20" s="1"/>
  <c r="C150"/>
  <c r="N150" s="1"/>
  <c r="D20" s="1"/>
  <c r="C149"/>
  <c r="N149" s="1"/>
  <c r="C20" s="1"/>
  <c r="C148"/>
  <c r="N148" s="1"/>
  <c r="B20" s="1"/>
  <c r="C147"/>
  <c r="N147" s="1"/>
  <c r="M19" s="1"/>
  <c r="C146"/>
  <c r="C145"/>
  <c r="C144"/>
  <c r="C143"/>
  <c r="C142"/>
  <c r="C141"/>
  <c r="C140"/>
  <c r="N146"/>
  <c r="L19" s="1"/>
  <c r="C139"/>
  <c r="C138"/>
  <c r="C137" l="1"/>
  <c r="C136"/>
  <c r="C135"/>
  <c r="C134"/>
  <c r="C133"/>
  <c r="C132"/>
  <c r="C131"/>
  <c r="C130"/>
  <c r="C129"/>
  <c r="C128"/>
  <c r="C127"/>
  <c r="C126"/>
  <c r="C125"/>
  <c r="C124"/>
  <c r="N126" l="1"/>
  <c r="D18" s="1"/>
  <c r="N127"/>
  <c r="E18" s="1"/>
  <c r="N128"/>
  <c r="F18" s="1"/>
  <c r="N129"/>
  <c r="G18" s="1"/>
  <c r="N130"/>
  <c r="H18" s="1"/>
  <c r="N131"/>
  <c r="I18" s="1"/>
  <c r="N132"/>
  <c r="J18" s="1"/>
  <c r="N133"/>
  <c r="K18" s="1"/>
  <c r="N134"/>
  <c r="L18" s="1"/>
  <c r="N135"/>
  <c r="M18" s="1"/>
  <c r="N136"/>
  <c r="B19" s="1"/>
  <c r="N137"/>
  <c r="C19" s="1"/>
  <c r="N138"/>
  <c r="D19" s="1"/>
  <c r="N139"/>
  <c r="E19" s="1"/>
  <c r="N140"/>
  <c r="F19" s="1"/>
  <c r="N141"/>
  <c r="G19" s="1"/>
  <c r="N142"/>
  <c r="H19" s="1"/>
  <c r="N143"/>
  <c r="I19" s="1"/>
  <c r="N144"/>
  <c r="J19" s="1"/>
  <c r="N145"/>
  <c r="K19" s="1"/>
  <c r="D123"/>
  <c r="N123" s="1"/>
  <c r="M17" s="1"/>
  <c r="C123"/>
  <c r="C122"/>
  <c r="C121"/>
  <c r="N121" s="1"/>
  <c r="K17" s="1"/>
  <c r="C120"/>
  <c r="N120" s="1"/>
  <c r="J17" s="1"/>
  <c r="D119"/>
  <c r="C119"/>
  <c r="D118"/>
  <c r="C118"/>
  <c r="D117"/>
  <c r="C117"/>
  <c r="D116"/>
  <c r="D114"/>
  <c r="D112"/>
  <c r="C116"/>
  <c r="C115"/>
  <c r="C114"/>
  <c r="C113"/>
  <c r="C112"/>
  <c r="N115"/>
  <c r="E17" s="1"/>
  <c r="N122"/>
  <c r="L17" s="1"/>
  <c r="N124"/>
  <c r="B18" s="1"/>
  <c r="N125"/>
  <c r="C18" s="1"/>
  <c r="N119" l="1"/>
  <c r="I17" s="1"/>
  <c r="N118"/>
  <c r="H17" s="1"/>
  <c r="N116"/>
  <c r="F17" s="1"/>
  <c r="N117"/>
  <c r="G17" s="1"/>
  <c r="C111" l="1"/>
  <c r="C110"/>
  <c r="C109"/>
  <c r="C108"/>
  <c r="C107"/>
  <c r="C106"/>
  <c r="C105"/>
  <c r="C104"/>
  <c r="D104"/>
  <c r="D103"/>
  <c r="C103"/>
  <c r="D102"/>
  <c r="C102"/>
  <c r="D101"/>
  <c r="C101"/>
  <c r="D100"/>
  <c r="C100"/>
  <c r="N109" l="1"/>
  <c r="K16" s="1"/>
  <c r="N110"/>
  <c r="L16" s="1"/>
  <c r="N111"/>
  <c r="M16" s="1"/>
  <c r="N112"/>
  <c r="B17" s="1"/>
  <c r="N113"/>
  <c r="C17" s="1"/>
  <c r="N114"/>
  <c r="D17" s="1"/>
  <c r="C99"/>
  <c r="N99" s="1"/>
  <c r="M15" s="1"/>
  <c r="D99"/>
  <c r="C98"/>
  <c r="N98" s="1"/>
  <c r="L15" s="1"/>
  <c r="N103"/>
  <c r="E16" s="1"/>
  <c r="N104"/>
  <c r="F16" s="1"/>
  <c r="N105"/>
  <c r="G16" s="1"/>
  <c r="N106"/>
  <c r="H16" s="1"/>
  <c r="N107"/>
  <c r="I16" s="1"/>
  <c r="N108"/>
  <c r="J16" s="1"/>
  <c r="N100"/>
  <c r="B16" s="1"/>
  <c r="N101"/>
  <c r="C16" s="1"/>
  <c r="N102"/>
  <c r="D16" s="1"/>
  <c r="C97"/>
  <c r="N97" s="1"/>
  <c r="K15" s="1"/>
  <c r="D96"/>
  <c r="C96"/>
  <c r="D95"/>
  <c r="C95"/>
  <c r="C94"/>
  <c r="N96" l="1"/>
  <c r="J15" s="1"/>
  <c r="N8"/>
  <c r="N9"/>
  <c r="N10"/>
  <c r="N11"/>
  <c r="N16"/>
  <c r="N17"/>
  <c r="N18"/>
  <c r="N45" s="1"/>
  <c r="N19"/>
  <c r="N46" s="1"/>
  <c r="N20"/>
  <c r="N47" s="1"/>
  <c r="N21"/>
  <c r="N48" s="1"/>
  <c r="U90" l="1"/>
  <c r="T90"/>
  <c r="V88"/>
  <c r="U73"/>
  <c r="T73"/>
  <c r="V71"/>
  <c r="V70"/>
  <c r="N95"/>
  <c r="I15" s="1"/>
  <c r="N94"/>
  <c r="H15" s="1"/>
  <c r="C93"/>
  <c r="N93" s="1"/>
  <c r="M14" s="1"/>
  <c r="N92"/>
  <c r="L14" s="1"/>
  <c r="C92"/>
  <c r="D91"/>
  <c r="C91"/>
  <c r="C90"/>
  <c r="N90" s="1"/>
  <c r="J14" s="1"/>
  <c r="N89"/>
  <c r="I14" s="1"/>
  <c r="C89"/>
  <c r="C88"/>
  <c r="N88" s="1"/>
  <c r="H14" s="1"/>
  <c r="C87"/>
  <c r="N87" s="1"/>
  <c r="G14" s="1"/>
  <c r="C86"/>
  <c r="N86" s="1"/>
  <c r="F14" s="1"/>
  <c r="C85"/>
  <c r="N85" s="1"/>
  <c r="E14" s="1"/>
  <c r="N84"/>
  <c r="D14" s="1"/>
  <c r="C84"/>
  <c r="C83"/>
  <c r="N83" s="1"/>
  <c r="C14" s="1"/>
  <c r="C82"/>
  <c r="N82" s="1"/>
  <c r="B14" s="1"/>
  <c r="N81"/>
  <c r="M13" s="1"/>
  <c r="C81"/>
  <c r="C80"/>
  <c r="N80" s="1"/>
  <c r="L13" s="1"/>
  <c r="C79"/>
  <c r="N79" s="1"/>
  <c r="K13" s="1"/>
  <c r="C78"/>
  <c r="N78" s="1"/>
  <c r="J13" s="1"/>
  <c r="C77"/>
  <c r="N77" s="1"/>
  <c r="I13" s="1"/>
  <c r="N76"/>
  <c r="H13" s="1"/>
  <c r="C76"/>
  <c r="C75"/>
  <c r="N75" s="1"/>
  <c r="G13" s="1"/>
  <c r="C74"/>
  <c r="N74" s="1"/>
  <c r="F13" s="1"/>
  <c r="N73"/>
  <c r="E13" s="1"/>
  <c r="C73"/>
  <c r="C72"/>
  <c r="N72" s="1"/>
  <c r="D13" s="1"/>
  <c r="C71"/>
  <c r="N71" s="1"/>
  <c r="C13" s="1"/>
  <c r="C70"/>
  <c r="N70" s="1"/>
  <c r="B13" s="1"/>
  <c r="C69"/>
  <c r="N69" s="1"/>
  <c r="M12" s="1"/>
  <c r="N12" s="1"/>
  <c r="V90" l="1"/>
  <c r="V73"/>
  <c r="N91"/>
  <c r="K14" s="1"/>
  <c r="N14" s="1"/>
  <c r="N15"/>
  <c r="N13"/>
  <c r="C68"/>
  <c r="C67"/>
  <c r="C66"/>
  <c r="C65"/>
  <c r="C64"/>
  <c r="C63"/>
  <c r="C62"/>
  <c r="C61"/>
  <c r="C60"/>
  <c r="C59"/>
  <c r="C58"/>
  <c r="C57"/>
  <c r="C56"/>
  <c r="C55"/>
  <c r="C54"/>
  <c r="C53"/>
  <c r="U51"/>
  <c r="T51"/>
  <c r="O45" l="1"/>
  <c r="O46"/>
  <c r="O47"/>
  <c r="O48"/>
  <c r="C48"/>
  <c r="D48"/>
  <c r="E48"/>
  <c r="F48"/>
  <c r="G48"/>
  <c r="H48"/>
  <c r="I48"/>
  <c r="J48"/>
  <c r="K48"/>
  <c r="L48"/>
  <c r="M48"/>
  <c r="C47"/>
  <c r="D47"/>
  <c r="E47"/>
  <c r="F47"/>
  <c r="G47"/>
  <c r="H47"/>
  <c r="I47"/>
  <c r="J47"/>
  <c r="K47"/>
  <c r="L47"/>
  <c r="M47"/>
  <c r="C46"/>
  <c r="D46"/>
  <c r="E46"/>
  <c r="F46"/>
  <c r="G46"/>
  <c r="H46"/>
  <c r="I46"/>
  <c r="J46"/>
  <c r="K46"/>
  <c r="L46"/>
  <c r="M46"/>
  <c r="C45"/>
  <c r="D45"/>
  <c r="E45"/>
  <c r="F45"/>
  <c r="G45"/>
  <c r="H45"/>
  <c r="I45"/>
  <c r="J45"/>
  <c r="K45"/>
  <c r="L45"/>
  <c r="M45"/>
  <c r="B45"/>
  <c r="B46"/>
  <c r="B47"/>
  <c r="B48"/>
  <c r="H44"/>
  <c r="I44"/>
  <c r="J44"/>
  <c r="K44"/>
  <c r="L44"/>
  <c r="M44"/>
  <c r="H43"/>
  <c r="I43"/>
  <c r="J43"/>
  <c r="K43"/>
  <c r="L43"/>
  <c r="M43"/>
  <c r="H42"/>
  <c r="I42"/>
  <c r="J42"/>
  <c r="K42"/>
  <c r="L42"/>
  <c r="M42"/>
  <c r="H41"/>
  <c r="I41"/>
  <c r="J41"/>
  <c r="K41"/>
  <c r="L41"/>
  <c r="M41"/>
  <c r="H40"/>
  <c r="I40"/>
  <c r="J40"/>
  <c r="K40"/>
  <c r="L40"/>
  <c r="M40"/>
  <c r="G40"/>
  <c r="G41"/>
  <c r="G42"/>
  <c r="G43"/>
  <c r="G44"/>
  <c r="F40"/>
  <c r="F41"/>
  <c r="F42"/>
  <c r="F43"/>
  <c r="F44"/>
  <c r="E40"/>
  <c r="E41"/>
  <c r="E42"/>
  <c r="E43"/>
  <c r="E44"/>
  <c r="D42"/>
  <c r="D43"/>
  <c r="D44"/>
  <c r="C41"/>
  <c r="C42"/>
  <c r="C43"/>
  <c r="C44"/>
  <c r="B38"/>
  <c r="B39"/>
  <c r="B40"/>
  <c r="B41"/>
  <c r="B42"/>
  <c r="B43"/>
  <c r="B44"/>
  <c r="M39"/>
  <c r="E39"/>
  <c r="F39"/>
  <c r="G39"/>
  <c r="H39"/>
  <c r="I39"/>
  <c r="J39"/>
  <c r="K39"/>
  <c r="L39"/>
  <c r="E38"/>
  <c r="F38"/>
  <c r="G38"/>
  <c r="H38"/>
  <c r="I38"/>
  <c r="J38"/>
  <c r="K38"/>
  <c r="L38"/>
  <c r="M38"/>
  <c r="E37"/>
  <c r="F37"/>
  <c r="G37"/>
  <c r="H37"/>
  <c r="I37"/>
  <c r="J37"/>
  <c r="K37"/>
  <c r="L37"/>
  <c r="M37"/>
  <c r="E36"/>
  <c r="F36"/>
  <c r="G36"/>
  <c r="H36"/>
  <c r="I36"/>
  <c r="J36"/>
  <c r="K36"/>
  <c r="L36"/>
  <c r="M36"/>
  <c r="E35"/>
  <c r="F35"/>
  <c r="G35"/>
  <c r="H35"/>
  <c r="I35"/>
  <c r="J35"/>
  <c r="K35"/>
  <c r="L35"/>
  <c r="M35"/>
  <c r="G34"/>
  <c r="H34"/>
  <c r="I34"/>
  <c r="J34"/>
  <c r="K34"/>
  <c r="L34"/>
  <c r="M34"/>
  <c r="N66" l="1"/>
  <c r="E5" s="1"/>
  <c r="N65"/>
  <c r="D5" s="1"/>
  <c r="N63"/>
  <c r="B5" s="1"/>
  <c r="N64"/>
  <c r="C5" s="1"/>
  <c r="N62" l="1"/>
  <c r="L4" s="1"/>
  <c r="N61"/>
  <c r="K4" s="1"/>
  <c r="N60"/>
  <c r="F4" s="1"/>
  <c r="D59"/>
  <c r="N59" s="1"/>
  <c r="E4" s="1"/>
  <c r="N58"/>
  <c r="C4" s="1"/>
  <c r="F33" l="1"/>
  <c r="G33"/>
  <c r="H33"/>
  <c r="I33"/>
  <c r="J33"/>
  <c r="K33"/>
  <c r="L33"/>
  <c r="M33"/>
  <c r="F32"/>
  <c r="G32"/>
  <c r="H32"/>
  <c r="I32"/>
  <c r="J32"/>
  <c r="K32"/>
  <c r="L32"/>
  <c r="M32"/>
  <c r="E32"/>
  <c r="E33"/>
  <c r="D32"/>
  <c r="D33"/>
  <c r="D34"/>
  <c r="D35"/>
  <c r="D36"/>
  <c r="D37"/>
  <c r="D38"/>
  <c r="D39"/>
  <c r="D40"/>
  <c r="D41"/>
  <c r="C32"/>
  <c r="C33"/>
  <c r="C34"/>
  <c r="C35"/>
  <c r="C36"/>
  <c r="C37"/>
  <c r="C38"/>
  <c r="C39"/>
  <c r="C40"/>
  <c r="B32"/>
  <c r="B33"/>
  <c r="B34"/>
  <c r="B35"/>
  <c r="B36"/>
  <c r="B37"/>
  <c r="C31"/>
  <c r="D31"/>
  <c r="E31"/>
  <c r="F31"/>
  <c r="G31"/>
  <c r="H31"/>
  <c r="I31"/>
  <c r="J31"/>
  <c r="K31"/>
  <c r="L31"/>
  <c r="M31"/>
  <c r="B31"/>
  <c r="N5"/>
  <c r="N6"/>
  <c r="N4"/>
  <c r="N56"/>
  <c r="L3" s="1"/>
  <c r="L30" s="1"/>
  <c r="N57"/>
  <c r="M3" s="1"/>
  <c r="M30" s="1"/>
  <c r="N55"/>
  <c r="K3" s="1"/>
  <c r="K30" s="1"/>
  <c r="N54"/>
  <c r="J3" s="1"/>
  <c r="J30" s="1"/>
  <c r="N53"/>
  <c r="I3" s="1"/>
  <c r="I30" s="1"/>
  <c r="N3" l="1"/>
  <c r="N30"/>
  <c r="N68" l="1"/>
  <c r="N67"/>
  <c r="F37" i="21"/>
  <c r="D60" i="19"/>
  <c r="N7" i="53" l="1"/>
  <c r="Q28" i="50"/>
  <c r="Q27"/>
  <c r="AE26"/>
  <c r="N26"/>
  <c r="AE25"/>
  <c r="N25"/>
  <c r="N31" i="53"/>
  <c r="N32"/>
  <c r="N33"/>
  <c r="N35"/>
  <c r="N36"/>
  <c r="N37"/>
  <c r="N38"/>
  <c r="N39"/>
  <c r="N40"/>
  <c r="N41"/>
  <c r="N42"/>
  <c r="N43"/>
  <c r="N44"/>
  <c r="N49" l="1"/>
  <c r="Q7"/>
  <c r="O29" i="50"/>
  <c r="Q25"/>
  <c r="Z6" i="4"/>
  <c r="Z7"/>
  <c r="Z8"/>
  <c r="Z9"/>
  <c r="Z10"/>
  <c r="Z11"/>
  <c r="Z12"/>
  <c r="Z13"/>
  <c r="Z14"/>
  <c r="Z15"/>
  <c r="Z16"/>
  <c r="Z17"/>
  <c r="Z18"/>
  <c r="R19"/>
  <c r="Q19"/>
  <c r="O33" i="53"/>
  <c r="O32"/>
  <c r="O31"/>
  <c r="O30"/>
  <c r="C17" i="48"/>
  <c r="D17"/>
  <c r="E17"/>
  <c r="F17"/>
  <c r="G17"/>
  <c r="H17"/>
  <c r="I17"/>
  <c r="J17"/>
  <c r="K17"/>
  <c r="L17"/>
  <c r="M17"/>
  <c r="N17"/>
  <c r="O17"/>
  <c r="P17"/>
  <c r="Q17"/>
  <c r="C16"/>
  <c r="D16"/>
  <c r="E16"/>
  <c r="F16"/>
  <c r="G16"/>
  <c r="H16"/>
  <c r="I16"/>
  <c r="J16"/>
  <c r="K16"/>
  <c r="L16"/>
  <c r="M16"/>
  <c r="N16"/>
  <c r="O16"/>
  <c r="P16"/>
  <c r="Q16"/>
  <c r="C15"/>
  <c r="D15"/>
  <c r="E15"/>
  <c r="F15"/>
  <c r="G15"/>
  <c r="H15"/>
  <c r="I15"/>
  <c r="J15"/>
  <c r="K15"/>
  <c r="L15"/>
  <c r="M15"/>
  <c r="N15"/>
  <c r="O15"/>
  <c r="P15"/>
  <c r="Q15"/>
  <c r="C14"/>
  <c r="D14"/>
  <c r="E14"/>
  <c r="F14"/>
  <c r="G14"/>
  <c r="H14"/>
  <c r="I14"/>
  <c r="J14"/>
  <c r="K14"/>
  <c r="L14"/>
  <c r="M14"/>
  <c r="N14"/>
  <c r="O14"/>
  <c r="P14"/>
  <c r="Q14"/>
  <c r="C13"/>
  <c r="D13"/>
  <c r="E13"/>
  <c r="F13"/>
  <c r="G13"/>
  <c r="H13"/>
  <c r="I13"/>
  <c r="J13"/>
  <c r="K13"/>
  <c r="L13"/>
  <c r="M13"/>
  <c r="N13"/>
  <c r="O13"/>
  <c r="P13"/>
  <c r="Q13"/>
  <c r="C12"/>
  <c r="D12"/>
  <c r="E12"/>
  <c r="F12"/>
  <c r="G12"/>
  <c r="H12"/>
  <c r="I12"/>
  <c r="J12"/>
  <c r="K12"/>
  <c r="L12"/>
  <c r="M12"/>
  <c r="N12"/>
  <c r="O12"/>
  <c r="P12"/>
  <c r="Q12"/>
  <c r="C11"/>
  <c r="D11"/>
  <c r="E11"/>
  <c r="F11"/>
  <c r="G11"/>
  <c r="H11"/>
  <c r="I11"/>
  <c r="J11"/>
  <c r="K11"/>
  <c r="L11"/>
  <c r="M11"/>
  <c r="N11"/>
  <c r="O11"/>
  <c r="P11"/>
  <c r="Q11"/>
  <c r="C10"/>
  <c r="D10"/>
  <c r="E10"/>
  <c r="F10"/>
  <c r="G10"/>
  <c r="H10"/>
  <c r="I10"/>
  <c r="J10"/>
  <c r="K10"/>
  <c r="L10"/>
  <c r="M10"/>
  <c r="N10"/>
  <c r="O10"/>
  <c r="P10"/>
  <c r="Q10"/>
  <c r="C9"/>
  <c r="D9"/>
  <c r="E9"/>
  <c r="F9"/>
  <c r="G9"/>
  <c r="H9"/>
  <c r="I9"/>
  <c r="J9"/>
  <c r="K9"/>
  <c r="L9"/>
  <c r="M9"/>
  <c r="N9"/>
  <c r="O9"/>
  <c r="P9"/>
  <c r="Q9"/>
  <c r="C8"/>
  <c r="D8"/>
  <c r="E8"/>
  <c r="F8"/>
  <c r="G8"/>
  <c r="H8"/>
  <c r="I8"/>
  <c r="J8"/>
  <c r="K8"/>
  <c r="L8"/>
  <c r="M8"/>
  <c r="N8"/>
  <c r="O8"/>
  <c r="P8"/>
  <c r="Q8"/>
  <c r="C7"/>
  <c r="D7"/>
  <c r="E7"/>
  <c r="F7"/>
  <c r="G7"/>
  <c r="H7"/>
  <c r="I7"/>
  <c r="J7"/>
  <c r="K7"/>
  <c r="L7"/>
  <c r="M7"/>
  <c r="N7"/>
  <c r="O7"/>
  <c r="P7"/>
  <c r="Q7"/>
  <c r="C6"/>
  <c r="D6"/>
  <c r="E6"/>
  <c r="F6"/>
  <c r="G6"/>
  <c r="H6"/>
  <c r="I6"/>
  <c r="J6"/>
  <c r="K6"/>
  <c r="L6"/>
  <c r="M6"/>
  <c r="N6"/>
  <c r="O6"/>
  <c r="P6"/>
  <c r="Q6"/>
  <c r="N5"/>
  <c r="O5"/>
  <c r="P5"/>
  <c r="Q5"/>
  <c r="C5"/>
  <c r="D5"/>
  <c r="E5"/>
  <c r="F5"/>
  <c r="G5"/>
  <c r="H5"/>
  <c r="I5"/>
  <c r="J5"/>
  <c r="K5"/>
  <c r="L5"/>
  <c r="M5"/>
  <c r="B5"/>
  <c r="B6"/>
  <c r="B7"/>
  <c r="B8"/>
  <c r="B9"/>
  <c r="B10"/>
  <c r="B11"/>
  <c r="B12"/>
  <c r="B13"/>
  <c r="B14"/>
  <c r="B15"/>
  <c r="B16"/>
  <c r="B17"/>
  <c r="Q49" i="53" l="1"/>
  <c r="Q22"/>
  <c r="Q26" i="50"/>
  <c r="Q29" s="1"/>
  <c r="O36" i="53"/>
  <c r="O40"/>
  <c r="O35"/>
  <c r="O39"/>
  <c r="O43"/>
  <c r="O38"/>
  <c r="O42"/>
  <c r="O37"/>
  <c r="O41"/>
  <c r="O44"/>
  <c r="N22"/>
  <c r="AC8" i="51"/>
  <c r="AC9"/>
  <c r="AC10"/>
  <c r="AC11"/>
  <c r="AC12"/>
  <c r="AC13"/>
  <c r="AC14"/>
  <c r="AC15"/>
  <c r="AC16"/>
  <c r="AC17"/>
  <c r="AC18"/>
  <c r="AC7"/>
  <c r="AC4"/>
  <c r="AC5"/>
  <c r="AC6"/>
  <c r="AC3"/>
  <c r="AB5"/>
  <c r="AB6"/>
  <c r="AB4"/>
  <c r="AB3"/>
  <c r="AA17"/>
  <c r="AA18"/>
  <c r="AA8"/>
  <c r="AA9"/>
  <c r="AA10"/>
  <c r="AA11"/>
  <c r="AA12"/>
  <c r="AA13"/>
  <c r="AA14"/>
  <c r="AA15"/>
  <c r="AA16"/>
  <c r="AA7"/>
  <c r="AA4"/>
  <c r="AA5"/>
  <c r="AA6"/>
  <c r="AA3"/>
  <c r="Z5"/>
  <c r="Z6"/>
  <c r="Z4"/>
  <c r="Z3"/>
  <c r="AE3" i="49"/>
  <c r="O3" s="1"/>
  <c r="AE4"/>
  <c r="O4" s="1"/>
  <c r="AE2"/>
  <c r="O2" s="1"/>
  <c r="AC4" i="22"/>
  <c r="O4" s="1"/>
  <c r="AC5"/>
  <c r="AC6"/>
  <c r="AC7"/>
  <c r="AC2"/>
  <c r="O2" s="1"/>
  <c r="AC3"/>
  <c r="O3" s="1"/>
  <c r="O9" l="1"/>
  <c r="O22" i="53"/>
  <c r="O49"/>
  <c r="O17" i="21" l="1"/>
  <c r="O16"/>
  <c r="O15"/>
  <c r="O14"/>
  <c r="O13"/>
  <c r="O12"/>
  <c r="O11"/>
  <c r="O10"/>
  <c r="O9"/>
  <c r="O8"/>
  <c r="O7"/>
  <c r="O6"/>
  <c r="O5"/>
  <c r="O4"/>
  <c r="O3"/>
  <c r="Z3" i="52"/>
  <c r="O3" s="1"/>
  <c r="Q3" s="1"/>
  <c r="W4" i="4"/>
  <c r="W5"/>
  <c r="W6"/>
  <c r="W7"/>
  <c r="W8"/>
  <c r="W9"/>
  <c r="W10"/>
  <c r="W11"/>
  <c r="W12"/>
  <c r="W13"/>
  <c r="W14"/>
  <c r="W15"/>
  <c r="W16"/>
  <c r="W17"/>
  <c r="W18"/>
  <c r="W3"/>
  <c r="D51" i="19" l="1"/>
  <c r="D49"/>
  <c r="D33" i="49"/>
  <c r="D34"/>
  <c r="D35"/>
  <c r="D36"/>
  <c r="D27"/>
  <c r="D28"/>
  <c r="D29"/>
  <c r="E30" s="1"/>
  <c r="D30"/>
  <c r="D31"/>
  <c r="D32"/>
  <c r="D23"/>
  <c r="D24"/>
  <c r="D25"/>
  <c r="D26"/>
  <c r="E27" s="1"/>
  <c r="D37"/>
  <c r="D22"/>
  <c r="F34" i="21"/>
  <c r="D35" i="19"/>
  <c r="E33" i="52"/>
  <c r="E32"/>
  <c r="E31"/>
  <c r="E30"/>
  <c r="E29"/>
  <c r="E29" i="42"/>
  <c r="E28"/>
  <c r="E27"/>
  <c r="E26"/>
  <c r="E30" i="37"/>
  <c r="E29"/>
  <c r="E28"/>
  <c r="E27"/>
  <c r="E26"/>
  <c r="E25"/>
  <c r="E24"/>
  <c r="E23"/>
  <c r="E25" i="42"/>
  <c r="E24"/>
  <c r="E35" i="52"/>
  <c r="E34"/>
  <c r="E28"/>
  <c r="E27"/>
  <c r="E26"/>
  <c r="E25"/>
  <c r="E24"/>
  <c r="E23"/>
  <c r="O18"/>
  <c r="N17"/>
  <c r="X18" i="4" s="1"/>
  <c r="N16" i="52"/>
  <c r="X17" i="4" s="1"/>
  <c r="N15" i="52"/>
  <c r="X16" i="4" s="1"/>
  <c r="N14" i="52"/>
  <c r="X15" i="4" s="1"/>
  <c r="N13" i="52"/>
  <c r="X14" i="4" s="1"/>
  <c r="N12" i="52"/>
  <c r="X13" i="4" s="1"/>
  <c r="N11" i="52"/>
  <c r="X12" i="4" s="1"/>
  <c r="N10" i="52"/>
  <c r="X11" i="4" s="1"/>
  <c r="N9" i="52"/>
  <c r="X10" i="4" s="1"/>
  <c r="N8" i="52"/>
  <c r="X9" i="4" s="1"/>
  <c r="N7" i="52"/>
  <c r="X8" i="4" s="1"/>
  <c r="N6" i="52"/>
  <c r="X7" i="4" s="1"/>
  <c r="N5" i="52"/>
  <c r="X6" i="4" s="1"/>
  <c r="N4" i="52"/>
  <c r="X5" i="4" s="1"/>
  <c r="N3" i="52"/>
  <c r="N2"/>
  <c r="D46" i="19"/>
  <c r="F32" i="21"/>
  <c r="D39" i="19"/>
  <c r="F31" i="21"/>
  <c r="F33"/>
  <c r="G34" s="1"/>
  <c r="E32" i="49" l="1"/>
  <c r="G32" i="21"/>
  <c r="X4" i="4"/>
  <c r="X3"/>
  <c r="F32" i="52"/>
  <c r="F29" i="42"/>
  <c r="F29" i="37"/>
  <c r="F26"/>
  <c r="F27" i="52"/>
  <c r="Q18"/>
  <c r="AF12" s="1"/>
  <c r="N18"/>
  <c r="AB14" i="4"/>
  <c r="AB15"/>
  <c r="AB16"/>
  <c r="AB17"/>
  <c r="AB18"/>
  <c r="AA4"/>
  <c r="AA5"/>
  <c r="AA6"/>
  <c r="AA7"/>
  <c r="AA8"/>
  <c r="AA10"/>
  <c r="AA11"/>
  <c r="AA12"/>
  <c r="AA13"/>
  <c r="AA14"/>
  <c r="AA15"/>
  <c r="AA16"/>
  <c r="AA17"/>
  <c r="AA18"/>
  <c r="AA3"/>
  <c r="Y6"/>
  <c r="Y7"/>
  <c r="Y8"/>
  <c r="Y9"/>
  <c r="Y10"/>
  <c r="Y11"/>
  <c r="Y12"/>
  <c r="Y13"/>
  <c r="Y14"/>
  <c r="Y15"/>
  <c r="Y16"/>
  <c r="Y17"/>
  <c r="Y18"/>
  <c r="P18" i="52" l="1"/>
  <c r="C13" i="4"/>
  <c r="C14"/>
  <c r="C15"/>
  <c r="C16"/>
  <c r="C17"/>
  <c r="C18"/>
  <c r="G6"/>
  <c r="G7"/>
  <c r="G8"/>
  <c r="G9"/>
  <c r="G5"/>
  <c r="F25" i="21"/>
  <c r="D3" i="4"/>
  <c r="D4"/>
  <c r="D5"/>
  <c r="D6"/>
  <c r="D7"/>
  <c r="D8"/>
  <c r="D9"/>
  <c r="D10"/>
  <c r="F24" i="21"/>
  <c r="F23"/>
  <c r="E83" i="40"/>
  <c r="E75"/>
  <c r="AE3" i="30"/>
  <c r="O3" s="1"/>
  <c r="Q3" s="1"/>
  <c r="AE2"/>
  <c r="O2" s="1"/>
  <c r="Q2" s="1"/>
  <c r="E60"/>
  <c r="E59"/>
  <c r="I59"/>
  <c r="H58"/>
  <c r="H59"/>
  <c r="H60"/>
  <c r="I60" s="1"/>
  <c r="E58"/>
  <c r="I58" s="1"/>
  <c r="H51"/>
  <c r="E51"/>
  <c r="I51" s="1"/>
  <c r="AF15" i="52" l="1"/>
  <c r="Q18" i="30"/>
  <c r="H72"/>
  <c r="H71"/>
  <c r="H70"/>
  <c r="H69"/>
  <c r="H68"/>
  <c r="H67"/>
  <c r="H66"/>
  <c r="H65"/>
  <c r="H64"/>
  <c r="H63"/>
  <c r="H62"/>
  <c r="H61"/>
  <c r="H57"/>
  <c r="H56"/>
  <c r="H55"/>
  <c r="H54"/>
  <c r="H53"/>
  <c r="H52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2"/>
  <c r="E53"/>
  <c r="E54"/>
  <c r="E55"/>
  <c r="E56"/>
  <c r="E57"/>
  <c r="E61"/>
  <c r="E62"/>
  <c r="E63"/>
  <c r="E64"/>
  <c r="E65"/>
  <c r="E66"/>
  <c r="E67"/>
  <c r="E68"/>
  <c r="E69"/>
  <c r="E70"/>
  <c r="E71"/>
  <c r="E72"/>
  <c r="AE2" i="15"/>
  <c r="O2" s="1"/>
  <c r="Q2" s="1"/>
  <c r="AE3"/>
  <c r="O3" s="1"/>
  <c r="Q3" s="1"/>
  <c r="H23"/>
  <c r="H24"/>
  <c r="H25"/>
  <c r="E23"/>
  <c r="I23" s="1"/>
  <c r="E24"/>
  <c r="E25"/>
  <c r="I25" l="1"/>
  <c r="J26" s="1"/>
  <c r="O18"/>
  <c r="I70" i="30"/>
  <c r="I66"/>
  <c r="I64"/>
  <c r="I57"/>
  <c r="I54"/>
  <c r="I52"/>
  <c r="I47"/>
  <c r="I39"/>
  <c r="I35"/>
  <c r="I31"/>
  <c r="I27"/>
  <c r="I68"/>
  <c r="I62"/>
  <c r="I56"/>
  <c r="I49"/>
  <c r="I45"/>
  <c r="I72"/>
  <c r="I41"/>
  <c r="I37"/>
  <c r="I69"/>
  <c r="I63"/>
  <c r="I50"/>
  <c r="I46"/>
  <c r="I44"/>
  <c r="I42"/>
  <c r="I38"/>
  <c r="I34"/>
  <c r="I30"/>
  <c r="I26"/>
  <c r="I71"/>
  <c r="I67"/>
  <c r="I65"/>
  <c r="I61"/>
  <c r="I55"/>
  <c r="I53"/>
  <c r="I48"/>
  <c r="I43"/>
  <c r="I40"/>
  <c r="I36"/>
  <c r="I32"/>
  <c r="I28"/>
  <c r="I33"/>
  <c r="I29"/>
  <c r="I24" i="15"/>
  <c r="J24" s="1"/>
  <c r="G3" i="4"/>
  <c r="AE4" i="40"/>
  <c r="O4" s="1"/>
  <c r="AE3"/>
  <c r="O3" s="1"/>
  <c r="E106"/>
  <c r="E107"/>
  <c r="E108"/>
  <c r="E109"/>
  <c r="E97"/>
  <c r="E96"/>
  <c r="E95"/>
  <c r="E94"/>
  <c r="E93"/>
  <c r="E92"/>
  <c r="E72"/>
  <c r="E73"/>
  <c r="E74"/>
  <c r="E76"/>
  <c r="E77"/>
  <c r="E78"/>
  <c r="E79"/>
  <c r="E80"/>
  <c r="E81"/>
  <c r="E82"/>
  <c r="E84"/>
  <c r="E85"/>
  <c r="E86"/>
  <c r="E87"/>
  <c r="E88"/>
  <c r="E89"/>
  <c r="E90"/>
  <c r="E91"/>
  <c r="E66"/>
  <c r="E67"/>
  <c r="E68"/>
  <c r="E69"/>
  <c r="E70"/>
  <c r="E71"/>
  <c r="E50"/>
  <c r="E51"/>
  <c r="E52"/>
  <c r="E53"/>
  <c r="E54"/>
  <c r="E55"/>
  <c r="E56"/>
  <c r="E57"/>
  <c r="E58"/>
  <c r="E59"/>
  <c r="E60"/>
  <c r="E61"/>
  <c r="E62"/>
  <c r="E63"/>
  <c r="E64"/>
  <c r="E65"/>
  <c r="J72" i="30" l="1"/>
  <c r="G4" i="4"/>
  <c r="F96" i="40"/>
  <c r="F104"/>
  <c r="J68" i="30"/>
  <c r="J44"/>
  <c r="J36"/>
  <c r="E36" i="40"/>
  <c r="E37"/>
  <c r="E38"/>
  <c r="E39"/>
  <c r="E40"/>
  <c r="E41"/>
  <c r="E42"/>
  <c r="E43"/>
  <c r="E44"/>
  <c r="E45"/>
  <c r="E46"/>
  <c r="E47"/>
  <c r="E48"/>
  <c r="E49"/>
  <c r="F57" l="1"/>
  <c r="E5" i="4"/>
  <c r="E6"/>
  <c r="E25" i="40"/>
  <c r="E26"/>
  <c r="E27"/>
  <c r="E28"/>
  <c r="E29"/>
  <c r="E30"/>
  <c r="E31"/>
  <c r="E32"/>
  <c r="E33"/>
  <c r="E34"/>
  <c r="E35"/>
  <c r="Q4" i="50"/>
  <c r="Q5"/>
  <c r="AE1"/>
  <c r="AE2"/>
  <c r="Q2" s="1"/>
  <c r="AE3"/>
  <c r="N3"/>
  <c r="N2"/>
  <c r="E3" i="4" s="1"/>
  <c r="G16" i="50"/>
  <c r="T32" i="51"/>
  <c r="X23"/>
  <c r="AI19"/>
  <c r="AG18"/>
  <c r="AG17"/>
  <c r="AG16"/>
  <c r="AG19" s="1"/>
  <c r="AF16"/>
  <c r="M15"/>
  <c r="K15"/>
  <c r="I15"/>
  <c r="G15"/>
  <c r="E15"/>
  <c r="AE15" s="1"/>
  <c r="C15"/>
  <c r="Y14"/>
  <c r="W14"/>
  <c r="U14"/>
  <c r="S14"/>
  <c r="Q14"/>
  <c r="O14"/>
  <c r="M14"/>
  <c r="K14"/>
  <c r="I14"/>
  <c r="G14"/>
  <c r="E14"/>
  <c r="C14"/>
  <c r="AE14" s="1"/>
  <c r="AE13"/>
  <c r="AE12"/>
  <c r="AE11"/>
  <c r="Y11"/>
  <c r="AE10"/>
  <c r="Y10"/>
  <c r="Y9"/>
  <c r="AE9" s="1"/>
  <c r="Y8"/>
  <c r="AE8" s="1"/>
  <c r="Y7"/>
  <c r="W7"/>
  <c r="U7"/>
  <c r="S7"/>
  <c r="Q7"/>
  <c r="O7"/>
  <c r="M7"/>
  <c r="G7"/>
  <c r="E7"/>
  <c r="C7"/>
  <c r="AE7" s="1"/>
  <c r="Y6"/>
  <c r="W6"/>
  <c r="U6"/>
  <c r="S6"/>
  <c r="Q6"/>
  <c r="O6"/>
  <c r="M6"/>
  <c r="K6"/>
  <c r="I6"/>
  <c r="G6"/>
  <c r="E6"/>
  <c r="C6"/>
  <c r="AD6" s="1"/>
  <c r="AE6" s="1"/>
  <c r="Y5"/>
  <c r="W5"/>
  <c r="U5"/>
  <c r="S5"/>
  <c r="AD5" s="1"/>
  <c r="AE5" s="1"/>
  <c r="Q5"/>
  <c r="AE4"/>
  <c r="AD4"/>
  <c r="AD3"/>
  <c r="AE3" s="1"/>
  <c r="O6" i="50" l="1"/>
  <c r="Q3"/>
  <c r="Q6" s="1"/>
  <c r="E4" i="4"/>
  <c r="F45" i="40"/>
  <c r="AF19" i="51"/>
  <c r="AE19"/>
  <c r="Q4" i="40" l="1"/>
  <c r="Q3"/>
  <c r="Q18" i="15" l="1"/>
  <c r="Q19" i="40"/>
  <c r="P18" i="15"/>
  <c r="N18"/>
  <c r="J4" i="48" l="1"/>
  <c r="K4"/>
  <c r="L4"/>
  <c r="M4"/>
  <c r="O4"/>
  <c r="J3"/>
  <c r="K3"/>
  <c r="L3"/>
  <c r="M3"/>
  <c r="O3"/>
  <c r="B4"/>
  <c r="C4"/>
  <c r="D4"/>
  <c r="E4"/>
  <c r="F4"/>
  <c r="G4"/>
  <c r="H4"/>
  <c r="B3"/>
  <c r="C3"/>
  <c r="D3"/>
  <c r="E3"/>
  <c r="F3"/>
  <c r="G3"/>
  <c r="H3"/>
  <c r="I3"/>
  <c r="I4"/>
  <c r="J2"/>
  <c r="K2"/>
  <c r="L2"/>
  <c r="M2"/>
  <c r="O2"/>
  <c r="I2"/>
  <c r="O18" i="49"/>
  <c r="Q17"/>
  <c r="Q16"/>
  <c r="Q15"/>
  <c r="Q14"/>
  <c r="Q13"/>
  <c r="Q12"/>
  <c r="Q11"/>
  <c r="Q10"/>
  <c r="Q9"/>
  <c r="Q4" i="48"/>
  <c r="N4" i="49"/>
  <c r="Y5" i="4" s="1"/>
  <c r="Q3" i="48"/>
  <c r="N3" i="49"/>
  <c r="Y4" i="4" s="1"/>
  <c r="N2" i="49"/>
  <c r="Y3" i="4" s="1"/>
  <c r="Y19" l="1"/>
  <c r="N2" i="48"/>
  <c r="Z3" i="4" s="1"/>
  <c r="Q18" i="49"/>
  <c r="P2" i="48"/>
  <c r="P3"/>
  <c r="P4"/>
  <c r="N18" i="49"/>
  <c r="Q2" i="48"/>
  <c r="Q18" s="1"/>
  <c r="N3"/>
  <c r="Z4" i="4" s="1"/>
  <c r="N4" i="48"/>
  <c r="Z5" i="4" s="1"/>
  <c r="O18" i="48"/>
  <c r="Z19" i="4" l="1"/>
  <c r="P18" i="48"/>
  <c r="P18" i="49"/>
  <c r="N18" i="48"/>
  <c r="AF135" i="47"/>
  <c r="AE135"/>
  <c r="AF134"/>
  <c r="AE134"/>
  <c r="AD104"/>
  <c r="AD119" s="1"/>
  <c r="R52"/>
  <c r="R50"/>
  <c r="P50"/>
  <c r="P51" s="1"/>
  <c r="P52" s="1"/>
  <c r="AM43"/>
  <c r="AP42"/>
  <c r="AP43" s="1"/>
  <c r="AP41"/>
  <c r="AO41"/>
  <c r="AO42" s="1"/>
  <c r="AO43" s="1"/>
  <c r="S9"/>
  <c r="T9" s="1"/>
  <c r="N8"/>
  <c r="AA9" i="4" s="1"/>
  <c r="AA19" s="1"/>
  <c r="N7" i="47"/>
  <c r="N6"/>
  <c r="N5"/>
  <c r="N3"/>
  <c r="N2"/>
  <c r="AB13" i="4"/>
  <c r="AB12"/>
  <c r="AB11"/>
  <c r="AB10"/>
  <c r="AB9"/>
  <c r="AB8"/>
  <c r="AB7"/>
  <c r="AB6"/>
  <c r="AB5"/>
  <c r="AB4"/>
  <c r="O18" i="46"/>
  <c r="N18" l="1"/>
  <c r="AB3" i="4"/>
  <c r="P18" i="46"/>
  <c r="Q18"/>
  <c r="P18" i="47"/>
  <c r="AD120"/>
  <c r="AD134"/>
  <c r="AD135" s="1"/>
  <c r="N18"/>
  <c r="AE104"/>
  <c r="O18" l="1"/>
  <c r="Q18"/>
  <c r="W3" i="42" l="1"/>
  <c r="O3" s="1"/>
  <c r="O18" l="1"/>
  <c r="AB9" s="1"/>
  <c r="Q3"/>
  <c r="Q18" s="1"/>
  <c r="D110" i="19" l="1"/>
  <c r="D93"/>
  <c r="D90"/>
  <c r="D87"/>
  <c r="D79"/>
  <c r="F48" i="21"/>
  <c r="F51"/>
  <c r="F53"/>
  <c r="F52"/>
  <c r="F55"/>
  <c r="F54"/>
  <c r="F50"/>
  <c r="F58"/>
  <c r="F57"/>
  <c r="E30" i="18"/>
  <c r="F59" i="21"/>
  <c r="F60"/>
  <c r="F61"/>
  <c r="F62"/>
  <c r="F64"/>
  <c r="E31" i="18"/>
  <c r="E32"/>
  <c r="F73" i="21"/>
  <c r="F74"/>
  <c r="G61" l="1"/>
  <c r="G53"/>
  <c r="G74"/>
  <c r="F76"/>
  <c r="F78"/>
  <c r="D73" i="19"/>
  <c r="F82" i="21"/>
  <c r="F83"/>
  <c r="F81"/>
  <c r="F88" l="1"/>
  <c r="F84"/>
  <c r="F85"/>
  <c r="F86"/>
  <c r="F89"/>
  <c r="D105" i="19"/>
  <c r="F47" i="21"/>
  <c r="G86" l="1"/>
  <c r="D102" i="19"/>
  <c r="F65" i="21"/>
  <c r="F63"/>
  <c r="G64" s="1"/>
  <c r="F49" l="1"/>
  <c r="G51" s="1"/>
  <c r="F56"/>
  <c r="G56" s="1"/>
  <c r="F46"/>
  <c r="G48" s="1"/>
  <c r="F45"/>
  <c r="F44"/>
  <c r="F36"/>
  <c r="F35"/>
  <c r="F28"/>
  <c r="G25"/>
  <c r="F26"/>
  <c r="G45" l="1"/>
  <c r="D96" i="19"/>
  <c r="D81"/>
  <c r="F75" i="21"/>
  <c r="F77"/>
  <c r="F79"/>
  <c r="F80"/>
  <c r="G81" s="1"/>
  <c r="F87"/>
  <c r="F90"/>
  <c r="F91"/>
  <c r="F92"/>
  <c r="F72"/>
  <c r="F71"/>
  <c r="F70"/>
  <c r="F69"/>
  <c r="F68"/>
  <c r="F67"/>
  <c r="F66"/>
  <c r="G66" s="1"/>
  <c r="F30"/>
  <c r="F27"/>
  <c r="F29"/>
  <c r="G79" l="1"/>
  <c r="G30"/>
  <c r="O18" i="18" l="1"/>
  <c r="C18" i="43" l="1"/>
  <c r="D18"/>
  <c r="E18"/>
  <c r="F18"/>
  <c r="C17"/>
  <c r="D17"/>
  <c r="E17"/>
  <c r="F17"/>
  <c r="G17"/>
  <c r="H17"/>
  <c r="I17"/>
  <c r="J17"/>
  <c r="K17"/>
  <c r="L17"/>
  <c r="M17"/>
  <c r="C16"/>
  <c r="D16"/>
  <c r="E16"/>
  <c r="F16"/>
  <c r="G16"/>
  <c r="H16"/>
  <c r="I16"/>
  <c r="J16"/>
  <c r="K16"/>
  <c r="L16"/>
  <c r="M16"/>
  <c r="B16"/>
  <c r="C15"/>
  <c r="D15"/>
  <c r="E15"/>
  <c r="F15"/>
  <c r="G15"/>
  <c r="H15"/>
  <c r="I15"/>
  <c r="J15"/>
  <c r="K15"/>
  <c r="L15"/>
  <c r="M15"/>
  <c r="C14"/>
  <c r="D14"/>
  <c r="E14"/>
  <c r="F14"/>
  <c r="G14"/>
  <c r="H14"/>
  <c r="I14"/>
  <c r="J14"/>
  <c r="K14"/>
  <c r="L14"/>
  <c r="M14"/>
  <c r="C13"/>
  <c r="D13"/>
  <c r="E13"/>
  <c r="F13"/>
  <c r="G13"/>
  <c r="H13"/>
  <c r="I13"/>
  <c r="J13"/>
  <c r="K13"/>
  <c r="L13"/>
  <c r="M13"/>
  <c r="C12"/>
  <c r="D12"/>
  <c r="E12"/>
  <c r="F12"/>
  <c r="G12"/>
  <c r="H12"/>
  <c r="I12"/>
  <c r="J12"/>
  <c r="K12"/>
  <c r="L12"/>
  <c r="M12"/>
  <c r="C11"/>
  <c r="D11"/>
  <c r="E11"/>
  <c r="F11"/>
  <c r="G11"/>
  <c r="H11"/>
  <c r="I11"/>
  <c r="J11"/>
  <c r="K11"/>
  <c r="L11"/>
  <c r="M11"/>
  <c r="C10"/>
  <c r="D10"/>
  <c r="E10"/>
  <c r="F10"/>
  <c r="G10"/>
  <c r="H10"/>
  <c r="I10"/>
  <c r="J10"/>
  <c r="K10"/>
  <c r="L10"/>
  <c r="M10"/>
  <c r="M9"/>
  <c r="C9"/>
  <c r="D9"/>
  <c r="E9"/>
  <c r="F9"/>
  <c r="G9"/>
  <c r="H9"/>
  <c r="I9"/>
  <c r="J9"/>
  <c r="K9"/>
  <c r="L9"/>
  <c r="C8"/>
  <c r="D8"/>
  <c r="E8"/>
  <c r="F8"/>
  <c r="G8"/>
  <c r="H8"/>
  <c r="I8"/>
  <c r="J8"/>
  <c r="K8"/>
  <c r="L8"/>
  <c r="M8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B7"/>
  <c r="B8"/>
  <c r="B9"/>
  <c r="B10"/>
  <c r="B11"/>
  <c r="B12"/>
  <c r="B13"/>
  <c r="B14"/>
  <c r="B15"/>
  <c r="B17"/>
  <c r="B18"/>
  <c r="N14" l="1"/>
  <c r="M14" i="4" s="1"/>
  <c r="N10" i="43"/>
  <c r="M10" i="4" s="1"/>
  <c r="N6" i="43"/>
  <c r="M6" i="4" s="1"/>
  <c r="N11" i="43"/>
  <c r="M11" i="4" s="1"/>
  <c r="N18" i="43"/>
  <c r="M18" i="4" s="1"/>
  <c r="N13" i="43"/>
  <c r="M13" i="4" s="1"/>
  <c r="N9" i="43"/>
  <c r="M9" i="4" s="1"/>
  <c r="N15" i="43"/>
  <c r="M15" i="4" s="1"/>
  <c r="N7" i="43"/>
  <c r="M7" i="4" s="1"/>
  <c r="N16" i="43"/>
  <c r="M16" i="4" s="1"/>
  <c r="N17" i="43"/>
  <c r="M17" i="4" s="1"/>
  <c r="N12" i="43"/>
  <c r="M12" i="4" s="1"/>
  <c r="N8" i="43"/>
  <c r="M8" i="4" s="1"/>
  <c r="N5" i="19"/>
  <c r="N6"/>
  <c r="N7"/>
  <c r="N8"/>
  <c r="N9"/>
  <c r="N10"/>
  <c r="N11"/>
  <c r="N12"/>
  <c r="N13"/>
  <c r="N14"/>
  <c r="N15"/>
  <c r="N16"/>
  <c r="N17"/>
  <c r="N4"/>
  <c r="D30"/>
  <c r="D28"/>
  <c r="R4" i="4"/>
  <c r="R5"/>
  <c r="R6"/>
  <c r="R7"/>
  <c r="R8"/>
  <c r="R9"/>
  <c r="R10"/>
  <c r="R11"/>
  <c r="R12"/>
  <c r="R13"/>
  <c r="R14"/>
  <c r="R15"/>
  <c r="R16"/>
  <c r="R17"/>
  <c r="R18"/>
  <c r="R3"/>
  <c r="M5" i="43"/>
  <c r="C5"/>
  <c r="D5"/>
  <c r="E5"/>
  <c r="F5"/>
  <c r="G5"/>
  <c r="H5"/>
  <c r="I5"/>
  <c r="J5"/>
  <c r="K5"/>
  <c r="L5"/>
  <c r="B5"/>
  <c r="D4"/>
  <c r="E4"/>
  <c r="F4"/>
  <c r="G4"/>
  <c r="H4"/>
  <c r="I4"/>
  <c r="J4"/>
  <c r="K4"/>
  <c r="L4"/>
  <c r="M4"/>
  <c r="C4"/>
  <c r="B4"/>
  <c r="K3"/>
  <c r="L3"/>
  <c r="M3"/>
  <c r="J3"/>
  <c r="L17" i="4" l="1"/>
  <c r="P16" i="19"/>
  <c r="L13" i="4"/>
  <c r="P12" i="19"/>
  <c r="L9" i="4"/>
  <c r="P8" i="19"/>
  <c r="L18" i="4"/>
  <c r="P17" i="19"/>
  <c r="L14" i="4"/>
  <c r="P13" i="19"/>
  <c r="L10" i="4"/>
  <c r="P9" i="19"/>
  <c r="L6" i="4"/>
  <c r="P5" i="19"/>
  <c r="L5" i="4"/>
  <c r="P4" i="19"/>
  <c r="L15" i="4"/>
  <c r="P14" i="19"/>
  <c r="L11" i="4"/>
  <c r="P10" i="19"/>
  <c r="L7" i="4"/>
  <c r="P6" i="19"/>
  <c r="L16" i="4"/>
  <c r="P15" i="19"/>
  <c r="L12" i="4"/>
  <c r="P11" i="19"/>
  <c r="L8" i="4"/>
  <c r="P7" i="19"/>
  <c r="N5" i="43"/>
  <c r="M5" i="4" s="1"/>
  <c r="N4" i="43"/>
  <c r="M4" i="4" s="1"/>
  <c r="O19" i="21" l="1"/>
  <c r="O18" i="30"/>
  <c r="O19" i="40"/>
  <c r="AO12" i="21" l="1"/>
  <c r="N4" i="22"/>
  <c r="N5"/>
  <c r="N6"/>
  <c r="N7"/>
  <c r="N2"/>
  <c r="N17" i="42" l="1"/>
  <c r="N16"/>
  <c r="N15"/>
  <c r="N14"/>
  <c r="N13"/>
  <c r="N12"/>
  <c r="N11"/>
  <c r="N10"/>
  <c r="N9"/>
  <c r="N8"/>
  <c r="N7"/>
  <c r="N6"/>
  <c r="N5"/>
  <c r="N4"/>
  <c r="N3"/>
  <c r="N2"/>
  <c r="N18" l="1"/>
  <c r="T18" i="4"/>
  <c r="S18"/>
  <c r="P18" i="42" l="1"/>
  <c r="X19" i="4"/>
  <c r="N5" i="40"/>
  <c r="P5" s="1"/>
  <c r="N6"/>
  <c r="P6" s="1"/>
  <c r="N7"/>
  <c r="P7" s="1"/>
  <c r="N8"/>
  <c r="P8" s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4"/>
  <c r="P4" s="1"/>
  <c r="N3"/>
  <c r="P3" s="1"/>
  <c r="AB10" i="42" l="1"/>
  <c r="T5" i="4"/>
  <c r="T9"/>
  <c r="T11"/>
  <c r="T15"/>
  <c r="S6"/>
  <c r="S8"/>
  <c r="S10"/>
  <c r="S12"/>
  <c r="S14"/>
  <c r="S16"/>
  <c r="T7"/>
  <c r="T13"/>
  <c r="T17"/>
  <c r="S3"/>
  <c r="S5"/>
  <c r="S7"/>
  <c r="S9"/>
  <c r="S11"/>
  <c r="S13"/>
  <c r="S15"/>
  <c r="S17"/>
  <c r="T6"/>
  <c r="T8"/>
  <c r="T10"/>
  <c r="T12"/>
  <c r="T14"/>
  <c r="T16"/>
  <c r="T3"/>
  <c r="T4"/>
  <c r="S4"/>
  <c r="F4"/>
  <c r="F3"/>
  <c r="P19" i="40"/>
  <c r="N19"/>
  <c r="AB12" i="42" l="1"/>
  <c r="T19" i="4"/>
  <c r="F19"/>
  <c r="AB19" l="1"/>
  <c r="N2" i="37" l="1"/>
  <c r="V3" i="4" s="1"/>
  <c r="U5"/>
  <c r="U6"/>
  <c r="U4"/>
  <c r="U3"/>
  <c r="U7"/>
  <c r="N6" i="37" l="1"/>
  <c r="V7" i="4" s="1"/>
  <c r="N11" i="37"/>
  <c r="V12" i="4" s="1"/>
  <c r="N4" i="37"/>
  <c r="V5" i="4" s="1"/>
  <c r="N17" i="37"/>
  <c r="V18" i="4" s="1"/>
  <c r="N13" i="37" l="1"/>
  <c r="V14" i="4" s="1"/>
  <c r="N12" i="37"/>
  <c r="V13" i="4" s="1"/>
  <c r="N16" i="37"/>
  <c r="V17" i="4" s="1"/>
  <c r="N15" i="37"/>
  <c r="V16" i="4" s="1"/>
  <c r="N8" i="37"/>
  <c r="V9" i="4" s="1"/>
  <c r="N10" i="37"/>
  <c r="V11" i="4" s="1"/>
  <c r="N9" i="37"/>
  <c r="V10" i="4" s="1"/>
  <c r="N7" i="37"/>
  <c r="V8" i="4" s="1"/>
  <c r="N3" i="37"/>
  <c r="V4" i="4" s="1"/>
  <c r="N5" i="37"/>
  <c r="V6" i="4" s="1"/>
  <c r="N14" i="37"/>
  <c r="V15" i="4" s="1"/>
  <c r="U18"/>
  <c r="U9"/>
  <c r="U10"/>
  <c r="U8"/>
  <c r="V19" l="1"/>
  <c r="N18" i="37"/>
  <c r="U13" i="4"/>
  <c r="U17"/>
  <c r="U11"/>
  <c r="U19" s="1"/>
  <c r="U12"/>
  <c r="U14"/>
  <c r="U16"/>
  <c r="U15"/>
  <c r="N3" i="22" l="1"/>
  <c r="N9" s="1"/>
  <c r="K8" i="4"/>
  <c r="K13"/>
  <c r="N14" i="18"/>
  <c r="K15" i="4" s="1"/>
  <c r="N15" i="18"/>
  <c r="K16" i="4" s="1"/>
  <c r="N16" i="18"/>
  <c r="K17" i="4" s="1"/>
  <c r="N17" i="18"/>
  <c r="K18" i="4" s="1"/>
  <c r="N13" i="18"/>
  <c r="K14" i="4" s="1"/>
  <c r="N3" i="18"/>
  <c r="K4" i="4" s="1"/>
  <c r="N4" i="18"/>
  <c r="K5" i="4" s="1"/>
  <c r="N5" i="18"/>
  <c r="K6" i="4" s="1"/>
  <c r="N6" i="18"/>
  <c r="K7" i="4" s="1"/>
  <c r="N7" i="18"/>
  <c r="N8"/>
  <c r="K9" i="4" s="1"/>
  <c r="N9" i="18"/>
  <c r="K10" i="4" s="1"/>
  <c r="N10" i="18"/>
  <c r="K11" i="4" s="1"/>
  <c r="N11" i="18"/>
  <c r="K12" i="4" s="1"/>
  <c r="N2" i="18"/>
  <c r="K3" i="4" s="1"/>
  <c r="J4"/>
  <c r="J5"/>
  <c r="J6"/>
  <c r="J7"/>
  <c r="J8"/>
  <c r="J9"/>
  <c r="J10"/>
  <c r="J11"/>
  <c r="J12"/>
  <c r="J13"/>
  <c r="J14"/>
  <c r="J15"/>
  <c r="J16"/>
  <c r="J17"/>
  <c r="J18"/>
  <c r="J3"/>
  <c r="N3" i="17"/>
  <c r="N4"/>
  <c r="N5"/>
  <c r="N2"/>
  <c r="N3" i="30"/>
  <c r="N4"/>
  <c r="N5"/>
  <c r="N6"/>
  <c r="N7"/>
  <c r="N8"/>
  <c r="N9"/>
  <c r="N10"/>
  <c r="N11"/>
  <c r="N12"/>
  <c r="N13"/>
  <c r="N14"/>
  <c r="N15"/>
  <c r="N16"/>
  <c r="N17"/>
  <c r="N2"/>
  <c r="P18" s="1"/>
  <c r="C4" i="4"/>
  <c r="D11" l="1"/>
  <c r="D12"/>
  <c r="D13"/>
  <c r="D14"/>
  <c r="D15"/>
  <c r="D16"/>
  <c r="D17"/>
  <c r="D18"/>
  <c r="O13" i="16"/>
  <c r="O14"/>
  <c r="O15"/>
  <c r="O16"/>
  <c r="O17"/>
  <c r="O12"/>
  <c r="N4" i="21"/>
  <c r="N4" i="4" s="1"/>
  <c r="N5" i="21"/>
  <c r="N5" i="4" s="1"/>
  <c r="N6" i="21"/>
  <c r="N6" i="4" s="1"/>
  <c r="N7" i="21"/>
  <c r="N7" i="4" s="1"/>
  <c r="N8" i="21"/>
  <c r="N8" i="4" s="1"/>
  <c r="N9" i="21"/>
  <c r="N9" i="4" s="1"/>
  <c r="N10" i="21"/>
  <c r="N10" i="4" s="1"/>
  <c r="N11" i="21"/>
  <c r="N11" i="4" s="1"/>
  <c r="N12" i="21"/>
  <c r="N12" i="4" s="1"/>
  <c r="N13" i="21"/>
  <c r="N13" i="4" s="1"/>
  <c r="N14" i="21"/>
  <c r="N14" i="4" s="1"/>
  <c r="N15" i="21"/>
  <c r="N15" i="4" s="1"/>
  <c r="N16" i="21"/>
  <c r="N16" i="4" s="1"/>
  <c r="N17" i="21"/>
  <c r="N17" i="4" s="1"/>
  <c r="N18" i="21"/>
  <c r="N18" i="4" s="1"/>
  <c r="N3" i="21"/>
  <c r="N2" i="19"/>
  <c r="N3"/>
  <c r="L4" i="4" l="1"/>
  <c r="P3" i="19"/>
  <c r="N3" i="43"/>
  <c r="N19" s="1"/>
  <c r="P2" i="19"/>
  <c r="M3" i="4" l="1"/>
  <c r="M19" s="1"/>
  <c r="C5"/>
  <c r="C6"/>
  <c r="C7"/>
  <c r="C8"/>
  <c r="C9"/>
  <c r="C10"/>
  <c r="C11"/>
  <c r="C12"/>
  <c r="H9"/>
  <c r="H8"/>
  <c r="H7"/>
  <c r="H6"/>
  <c r="H5"/>
  <c r="H4"/>
  <c r="H3"/>
  <c r="I18"/>
  <c r="H19" l="1"/>
  <c r="N18" i="30"/>
  <c r="O4" i="4"/>
  <c r="N17" i="17"/>
  <c r="N16"/>
  <c r="N15"/>
  <c r="N14"/>
  <c r="N13"/>
  <c r="N12"/>
  <c r="N11"/>
  <c r="N10"/>
  <c r="N9"/>
  <c r="N8"/>
  <c r="N7"/>
  <c r="N6"/>
  <c r="I17" i="4"/>
  <c r="I16"/>
  <c r="I15"/>
  <c r="I14"/>
  <c r="I12"/>
  <c r="B4"/>
  <c r="B5"/>
  <c r="B7"/>
  <c r="B8"/>
  <c r="B11"/>
  <c r="AC11" s="1"/>
  <c r="B15"/>
  <c r="B18"/>
  <c r="AC18" s="1"/>
  <c r="B6"/>
  <c r="B9"/>
  <c r="AC9" s="1"/>
  <c r="B10"/>
  <c r="AC10" s="1"/>
  <c r="B12"/>
  <c r="B13"/>
  <c r="B14"/>
  <c r="B16"/>
  <c r="B17"/>
  <c r="B3"/>
  <c r="AC4" l="1"/>
  <c r="AC14"/>
  <c r="AC16"/>
  <c r="AC12"/>
  <c r="AC17"/>
  <c r="AC15"/>
  <c r="O3"/>
  <c r="I13"/>
  <c r="AC13" s="1"/>
  <c r="N18" i="18"/>
  <c r="O18" i="16"/>
  <c r="L3" i="4"/>
  <c r="N18" i="19"/>
  <c r="N18" i="17"/>
  <c r="O8" i="4" l="1"/>
  <c r="AC8" s="1"/>
  <c r="O7"/>
  <c r="AC7" s="1"/>
  <c r="O6"/>
  <c r="AC6" s="1"/>
  <c r="N3"/>
  <c r="N19" i="21"/>
  <c r="C3" i="4"/>
  <c r="S19"/>
  <c r="P19"/>
  <c r="I19"/>
  <c r="O5" l="1"/>
  <c r="AC5" s="1"/>
  <c r="AC3"/>
  <c r="N19"/>
  <c r="B19"/>
  <c r="C19"/>
  <c r="D19"/>
  <c r="E19"/>
  <c r="G19"/>
  <c r="J19"/>
  <c r="K19"/>
  <c r="L19"/>
  <c r="O19" l="1"/>
  <c r="AC19" l="1"/>
  <c r="O15" i="43"/>
  <c r="O6"/>
  <c r="O4"/>
  <c r="O16"/>
  <c r="O17"/>
  <c r="O12"/>
  <c r="O7"/>
  <c r="O11"/>
  <c r="O14"/>
  <c r="O13"/>
  <c r="O9"/>
  <c r="O5"/>
  <c r="O10"/>
  <c r="O18"/>
  <c r="O8"/>
  <c r="P18" i="19" l="1"/>
  <c r="O2"/>
  <c r="O18" s="1"/>
  <c r="AO12" l="1"/>
  <c r="Q2"/>
  <c r="Q18" s="1"/>
  <c r="O19" i="43"/>
  <c r="Z14" l="1"/>
</calcChain>
</file>

<file path=xl/sharedStrings.xml><?xml version="1.0" encoding="utf-8"?>
<sst xmlns="http://schemas.openxmlformats.org/spreadsheetml/2006/main" count="1598" uniqueCount="624">
  <si>
    <t>ετος</t>
  </si>
  <si>
    <t>έως</t>
  </si>
  <si>
    <t>5ος</t>
  </si>
  <si>
    <t>281α</t>
  </si>
  <si>
    <t>281β</t>
  </si>
  <si>
    <t>281γ</t>
  </si>
  <si>
    <t>281δ</t>
  </si>
  <si>
    <t>281ε</t>
  </si>
  <si>
    <t>281ζ</t>
  </si>
  <si>
    <t>281η</t>
  </si>
  <si>
    <t>281θ</t>
  </si>
  <si>
    <t>281ι1</t>
  </si>
  <si>
    <t>281ι2</t>
  </si>
  <si>
    <t>281κ</t>
  </si>
  <si>
    <t>281λ</t>
  </si>
  <si>
    <t>281μ</t>
  </si>
  <si>
    <t>ΣΥΝΟΛΑ</t>
  </si>
  <si>
    <t>281ξ</t>
  </si>
  <si>
    <t>1ος</t>
  </si>
  <si>
    <t>2ος</t>
  </si>
  <si>
    <t>3ος</t>
  </si>
  <si>
    <t>4ος</t>
  </si>
  <si>
    <t>6ος</t>
  </si>
  <si>
    <t>7ος</t>
  </si>
  <si>
    <t>8ος</t>
  </si>
  <si>
    <t>9ος</t>
  </si>
  <si>
    <t>10ος</t>
  </si>
  <si>
    <t>11ος</t>
  </si>
  <si>
    <t>12ος</t>
  </si>
  <si>
    <t>έλεγχος</t>
  </si>
  <si>
    <t>πληρωμή</t>
  </si>
  <si>
    <t>ελέγχου</t>
  </si>
  <si>
    <t>πληρωμών</t>
  </si>
  <si>
    <t>αιωρούμενα</t>
  </si>
  <si>
    <t>από ΖΗΛ-200 = 2019/12/29 = πληρωμή στα ΕΛΤΑ με επιταγή = 609,40€ = ΔΕΝ γνωρίζω ακόμα ΑΝ είναι κ-18 ή κ-15-17 μηνός ή πολίτη ( ή ακόμα και αν το ζητάει )  [[[ και μάλιστα ΑΝΑΛΟΓΑ σε ποιόν κωδικό θα πάνε , με ΖΗΛ-π.χ.-1 = 6.753,76</t>
  </si>
  <si>
    <t>σύνολα</t>
  </si>
  <si>
    <t>3/4/2007 [[[ ?? = 23/06/2007 = ????]]] = οι πολίτες στην τράπεζα ΚΑΙ συννημμένο προς υποθυκοφυλακείο</t>
  </si>
  <si>
    <t>281ι</t>
  </si>
  <si>
    <t>281ε1</t>
  </si>
  <si>
    <t>281ε2</t>
  </si>
  <si>
    <t xml:space="preserve">ΔΕΝ έχει ολοκληρωθεί η αναζήτηση = καταγραφή </t>
  </si>
  <si>
    <t>ελέγχου σε €</t>
  </si>
  <si>
    <t xml:space="preserve">281α = κακώς ζητούμενο κ-18 … υπάρχει κατάσταση &amp; πληρωμή {{{ ΦΥΣΙΚΑ και υπήρχε στην Αθήνα }}} ... </t>
  </si>
  <si>
    <t>ΤΑΝ</t>
  </si>
  <si>
    <t>κ-15</t>
  </si>
  <si>
    <t>κ-17</t>
  </si>
  <si>
    <t>281ο</t>
  </si>
  <si>
    <t>281ο = ΤΑΝ παγίου αναλογικής 5% &amp; ΟΧΙ 9%</t>
  </si>
  <si>
    <t>έτος</t>
  </si>
  <si>
    <t>281ρ</t>
  </si>
  <si>
    <t>281φ</t>
  </si>
  <si>
    <t>281δ1</t>
  </si>
  <si>
    <t>281δ2</t>
  </si>
  <si>
    <t>ΤΑΣ</t>
  </si>
  <si>
    <t>zηλ-π.χ.-1</t>
  </si>
  <si>
    <t>ρυθμιση</t>
  </si>
  <si>
    <t>ρύθμιση</t>
  </si>
  <si>
    <t>κυβερνητική υπαιτιότητα</t>
  </si>
  <si>
    <t>ποσό</t>
  </si>
  <si>
    <t>φόρος</t>
  </si>
  <si>
    <t xml:space="preserve">281ρ1 = πόρος 1,3% ΚΑΚΩΣ απαιτητός ΚΑΘΩΣ πληρωμή στην  Δ.Ο.Υ. </t>
  </si>
  <si>
    <t>459 = από XLs-εθνικης</t>
  </si>
  <si>
    <t>αναζήτηση</t>
  </si>
  <si>
    <t>281ι1β = περί ΤΑΣ = πλήρωσε παραπάνω {= 281Ια*6/9}</t>
  </si>
  <si>
    <t>281μ2</t>
  </si>
  <si>
    <t xml:space="preserve">281ξ1 = ΌΧΙ βεβαίωση από ΤΑΝ (ΑΜΕΣΑ μειωτικά στο εκκαθαριστικό) = φόρος που ΔΕΝ θα αποδίδονταν </t>
  </si>
  <si>
    <t xml:space="preserve">281ξ2 = ΌΧΙ βεβαίωση από ΤΑΣ (ΑΜΕΣΑ μειωτικά στο εκκαθαριστικό) = φόρος που ΔΕΝ θα αποδίδονταν </t>
  </si>
  <si>
    <t>281μ2 = υπερΠληρωμή ΤΑΣ με κωδικό **15**</t>
  </si>
  <si>
    <t>σύνολο</t>
  </si>
  <si>
    <t>9ος-***1</t>
  </si>
  <si>
    <t>9ος-****1</t>
  </si>
  <si>
    <t>9ος-14</t>
  </si>
  <si>
    <t>10ος***1</t>
  </si>
  <si>
    <t>86-17/10</t>
  </si>
  <si>
    <t>*14 +*1 +****1</t>
  </si>
  <si>
    <t>4ος-***1</t>
  </si>
  <si>
    <t>5ος-****1</t>
  </si>
  <si>
    <t>388-6/5</t>
  </si>
  <si>
    <t>990-2/5</t>
  </si>
  <si>
    <t>*1 + ζητάει παραπάνω 109,36 + γνωρίζει πως ήδη πλήρωσε 77,59 παραπάνω</t>
  </si>
  <si>
    <t>7093-28/6</t>
  </si>
  <si>
    <t>υπάρχειΦύλλοΥπολογισμού /// μεταγραφή 9/8/2007 = ΔΕΝ θα μεταγράφονταν</t>
  </si>
  <si>
    <t>7032--6/6</t>
  </si>
  <si>
    <t>7122--10/7</t>
  </si>
  <si>
    <t>8246--7/10</t>
  </si>
  <si>
    <t>159-3/12</t>
  </si>
  <si>
    <t>*14 = στην κατάσταση προς ΤΑΝ χρέωσε 2.823δρχ αντί 281 =[ αφαίρεση κ17 =8,55</t>
  </si>
  <si>
    <t>223-30/12</t>
  </si>
  <si>
    <t>235-31/12</t>
  </si>
  <si>
    <t>*14 = καταχώρηση ως 2.850.000δρχ =8.363,9€ =[αφαίρεση κ18 =8,13 &amp; κ15 =48,65 &amp; κ17 =9,35</t>
  </si>
  <si>
    <t>προσύμφ αγοραπ - αρραβών =300.000δρχ</t>
  </si>
  <si>
    <t>407-8/5</t>
  </si>
  <si>
    <t xml:space="preserve">281η = κωδικός ''δίκη'' - *225* = κακώς ζητούμενο προς απόδοση  κ-18 = ενώ ζητάει όλο το κ18 στο …… λέει στο πόρισμα πως αποδόθηκε  </t>
  </si>
  <si>
    <t>7759..10/4</t>
  </si>
  <si>
    <t>8228..7/10</t>
  </si>
  <si>
    <t>7951..10/7</t>
  </si>
  <si>
    <t>8246-16/10</t>
  </si>
  <si>
    <t>8133..6/9</t>
  </si>
  <si>
    <t>8265..5/11</t>
  </si>
  <si>
    <t>8301..14/11</t>
  </si>
  <si>
    <t>8351..3/12</t>
  </si>
  <si>
    <t xml:space="preserve">226 = χρέωση 20 αντί 12 σε 6 πάγιες [6*8 =48 =9% = </t>
  </si>
  <si>
    <t>9197..24/12</t>
  </si>
  <si>
    <t>9021..14/10</t>
  </si>
  <si>
    <t>9414..30/4</t>
  </si>
  <si>
    <t>9424..4/5</t>
  </si>
  <si>
    <t>9742..4/10</t>
  </si>
  <si>
    <t>205 = για κάπιο λόγο φορτώνει τους πολίτες</t>
  </si>
  <si>
    <t>9743..4/10</t>
  </si>
  <si>
    <t>9807..9/11</t>
  </si>
  <si>
    <t>9945..7/2</t>
  </si>
  <si>
    <t>10114..17/5</t>
  </si>
  <si>
    <t xml:space="preserve">5ος </t>
  </si>
  <si>
    <t>10104..12/5</t>
  </si>
  <si>
    <t>10288..19/8</t>
  </si>
  <si>
    <t>10363..20/9</t>
  </si>
  <si>
    <t>10601..24/5</t>
  </si>
  <si>
    <t>10697..7/8</t>
  </si>
  <si>
    <t>10855..16/11</t>
  </si>
  <si>
    <t>10856..16/11</t>
  </si>
  <si>
    <t>10857..16/11</t>
  </si>
  <si>
    <t>11075..8/4</t>
  </si>
  <si>
    <t>8514..11/4</t>
  </si>
  <si>
    <t>εκθ δημ δικαστ πληστηρ [βάσει 40330 υπ.Αποφ 2005 είναι από 11 έως 77€</t>
  </si>
  <si>
    <t>64..18-9</t>
  </si>
  <si>
    <t>211-29/12</t>
  </si>
  <si>
    <t xml:space="preserve">*14 = είναι ''προσύμφωνο αγοραπωλησίας'' - 1,5εκ δρχ =4.548,79€ με κ18 =5,75 =[αφαίρεση κ15 =25,18 &amp; κ17 =4,84 </t>
  </si>
  <si>
    <t>1265-24/10</t>
  </si>
  <si>
    <t>6816..3/4</t>
  </si>
  <si>
    <t>6817..3/4</t>
  </si>
  <si>
    <t>7032..6/6</t>
  </si>
  <si>
    <t>7114..6/7</t>
  </si>
  <si>
    <t>7115..6/7</t>
  </si>
  <si>
    <t>6851-27/5</t>
  </si>
  <si>
    <t>9934..28/1</t>
  </si>
  <si>
    <t>10441..24/11</t>
  </si>
  <si>
    <t>10442..24/11</t>
  </si>
  <si>
    <t>10443..24/11</t>
  </si>
  <si>
    <t>10444..24/11</t>
  </si>
  <si>
    <t>ΑΝΑΖΗΤΗΣΗ γραμμάτιαΕθνικης πίσωΜπρος από 3753554-5</t>
  </si>
  <si>
    <t>ελεγκτης 1] ΔΕΝ είχε κατάσταση , 2] ΔΕΝ έβρισκε τα συμβόλαια , 3] χρησιμοποίησε το βιβλίο συμβολαίων {χα , χα} //// σωστό ποσό =96.956,37 (όχι 74.262,59) με πόρους 630,22 &amp; 121,20 [πληρώθηκαν με γραμμάτια εθνικης 4956361 &amp; 9163314]</t>
  </si>
  <si>
    <t xml:space="preserve">ελεγκτης 1] ΔΕΝ είχε κατάσταση , 2] ΔΕΝ έβρισκε τα συμβόλαια , 3] χρησιμοποίησε το βιβλίο συμβολαίων {χα , χα} </t>
  </si>
  <si>
    <t>σωστό ποσό = 77.250,32 (όχι 81.883,79) με πόρους 502,13 &amp; 96,56 [πληρώθηκαν με γραμμάτια εθνικης 9757955 &amp; 9757955 (έχουν τον ίδιο αριθμό επειδή ΔΕΝ είχε γραμμάτια η εθνική ΚΑΙ έβγαλα φωτοτυπίες)]</t>
  </si>
  <si>
    <t>πλήρωσε 302,12(20/12/10) + 827,95(10/01/2011) + 367,12(10/12/2012) /// σωστή άρθροιση = 1.089,97</t>
  </si>
  <si>
    <t>κ-17[30/10/2007=76,16} /// κ-15[30-10-2007=396,04]</t>
  </si>
  <si>
    <t>8246..16/10</t>
  </si>
  <si>
    <t>αποδέχεται ΟΣΑ η κατάσταση μηνός από ΑΓΑΠΕ = …. χα , χα ….</t>
  </si>
  <si>
    <t>7085..6/6</t>
  </si>
  <si>
    <t>7121..7/7</t>
  </si>
  <si>
    <t>7122..7/7</t>
  </si>
  <si>
    <t>7123..7/7</t>
  </si>
  <si>
    <t>7146..7/7</t>
  </si>
  <si>
    <t>9563..6/6</t>
  </si>
  <si>
    <t>9742..10/10</t>
  </si>
  <si>
    <t>9743..10/10</t>
  </si>
  <si>
    <t>συμβόλαιο = γραμμάτια εθνικης = 9164223-4 [130,64 &amp; 25,12</t>
  </si>
  <si>
    <t>206 = για κάπιο λόγο φορτώνει τους πολίτες</t>
  </si>
  <si>
    <t>9902..30/12</t>
  </si>
  <si>
    <t>9876..12/12</t>
  </si>
  <si>
    <t>9877..12/12</t>
  </si>
  <si>
    <t>10061..4/4</t>
  </si>
  <si>
    <t>18/8/09 [κ-15=326,66] + ??=61,56] , [18/8/09=63,82+??=16,16]</t>
  </si>
  <si>
    <t>ΑΝΑΖΗΤΗΣΗ = συμβόλαιο = γραμμάτιαΕθνικης 3753554-5</t>
  </si>
  <si>
    <t>281ζ = κωδικός ''δίκη'' - *54* = κακώς ζητούμενο προς απόδοση = κ-15-17 ( επί συμβολαίου ) = έχουν σίγουρα πληρωθεί ΑΛΛΙΩΣ ΔΕΝ ΘΑ ΜΕΤΑΓΡΑΦΟΝΤΑΝ από το υποθυκοφυλακείο</t>
  </si>
  <si>
    <t>8285..5/11</t>
  </si>
  <si>
    <t>10051..14/4</t>
  </si>
  <si>
    <t>212 = στην κατάσταση πληρώνει 4,18 ,ΕΝΏ στο συμβόλαιο ΚΑΙ στο βιβλίο συμβολαίων καταχωρεί πάγια -κ18=1</t>
  </si>
  <si>
    <t>10757..9/9</t>
  </si>
  <si>
    <t>10576..30/4</t>
  </si>
  <si>
    <t>10374..23/9</t>
  </si>
  <si>
    <t>10372..23/9</t>
  </si>
  <si>
    <t>10345..9/9</t>
  </si>
  <si>
    <t>10728..8/8</t>
  </si>
  <si>
    <t>9982..2/2</t>
  </si>
  <si>
    <t>9953..2/2</t>
  </si>
  <si>
    <t>10007..3/3</t>
  </si>
  <si>
    <t>λόγω λάθους ποσού πράξης ΑΓΑΠΕ</t>
  </si>
  <si>
    <t>11127..5/5</t>
  </si>
  <si>
    <t>διαμαρτυρικό - κατάσταση κ-18 = 21,56</t>
  </si>
  <si>
    <t>9842..12/12</t>
  </si>
  <si>
    <t>9901..12/12</t>
  </si>
  <si>
    <t>9894..12/12</t>
  </si>
  <si>
    <t>9848..12/12</t>
  </si>
  <si>
    <t>9770..10/10</t>
  </si>
  <si>
    <t>ΑΝΑΖΗΤΗΣΗ /// συμβόλαιο = 9164253-5 γραμμάτια Εθνικής /// μεταγραφή 2011-1ος</t>
  </si>
  <si>
    <t>9772..10/10</t>
  </si>
  <si>
    <t>9676..8/8</t>
  </si>
  <si>
    <t>9446..5/5</t>
  </si>
  <si>
    <t>9377..4/4</t>
  </si>
  <si>
    <t>9263..2/2</t>
  </si>
  <si>
    <t>αποδέχεται τις πληρωμές από ΑΓΑΠΕ = …. χα , χα ….</t>
  </si>
  <si>
    <t>8112..9/9</t>
  </si>
  <si>
    <t>8004..7/7</t>
  </si>
  <si>
    <t>7957..7/7</t>
  </si>
  <si>
    <t>7956..7/7</t>
  </si>
  <si>
    <t>7746..4/4</t>
  </si>
  <si>
    <t>7755..4/4</t>
  </si>
  <si>
    <t>7394..10/10</t>
  </si>
  <si>
    <t>7359..10/10</t>
  </si>
  <si>
    <t>7360..10/10</t>
  </si>
  <si>
    <t>7223..8/8</t>
  </si>
  <si>
    <t>7255..8/8</t>
  </si>
  <si>
    <t>7096..6/6</t>
  </si>
  <si>
    <t>8197..9/9</t>
  </si>
  <si>
    <t>2023/8ο = ΛΕΙΠΕΙ</t>
  </si>
  <si>
    <t>1998-8 σε κ-15 γραμμ = 8554812 /// κ-18 &amp; κ-17 = πίσωΜπρος</t>
  </si>
  <si>
    <t>ποσό φόρου</t>
  </si>
  <si>
    <t>για 299</t>
  </si>
  <si>
    <t>δρχ</t>
  </si>
  <si>
    <t>σε€</t>
  </si>
  <si>
    <t>299-ποσόΦόρου</t>
  </si>
  <si>
    <t>281φ2 = διπλοπληρωμή ΤΑΣ -6% σε προσύμφωνα  του παππού</t>
  </si>
  <si>
    <t>ευρω</t>
  </si>
  <si>
    <t>281φ1 = διπλοπληρωμή ΤΑΝ -9% σε προσύμφωνα  του παππού</t>
  </si>
  <si>
    <t>κατασταση</t>
  </si>
  <si>
    <t>πληρΑναΣυμβ</t>
  </si>
  <si>
    <t>σφραγιδα</t>
  </si>
  <si>
    <t>δικαιωμ</t>
  </si>
  <si>
    <t>υπολΑρ</t>
  </si>
  <si>
    <t>αρραβων</t>
  </si>
  <si>
    <t>πληρωμη</t>
  </si>
  <si>
    <t>Δ.Ο.Υ.</t>
  </si>
  <si>
    <t>4.985[αντι5.270</t>
  </si>
  <si>
    <t>47.083[αντι58.552</t>
  </si>
  <si>
    <t>ναι</t>
  </si>
  <si>
    <t>11.085[αντι9.700</t>
  </si>
  <si>
    <t>123.160[αντι107.560</t>
  </si>
  <si>
    <t>ΌΧΙ</t>
  </si>
  <si>
    <t>15.356/1990καπολα</t>
  </si>
  <si>
    <t>5685 [τοΞαναζηταειΟελεγχος</t>
  </si>
  <si>
    <t xml:space="preserve">αγοραπωλησία ΒΑΣΕΙ  προσυμφ 28.837/2001καπολα  τίμ 8.804,11 αρρ   Δ.Ο.Υ. </t>
  </si>
  <si>
    <t>έλεγχος -1.000.000=4€</t>
  </si>
  <si>
    <t>παγια</t>
  </si>
  <si>
    <t>ΔΕΝγραφει</t>
  </si>
  <si>
    <t>28615/2001καπολα</t>
  </si>
  <si>
    <t>21980σουμα</t>
  </si>
  <si>
    <t>ΚΑΜΙΑ αναφορα</t>
  </si>
  <si>
    <t>933[τοΞαναζηταειΟελεγχος</t>
  </si>
  <si>
    <t xml:space="preserve">αγοραπωλησία ΒΑΣΕΙ  προσυμφ 27084/2000καπολα  τίμ 8.917,92 αρρ   Δ.Ο.Υ. </t>
  </si>
  <si>
    <t>έλεγχος -800.000=3,37€</t>
  </si>
  <si>
    <t>πληρωθηκεΦοροςΔΟΥ</t>
  </si>
  <si>
    <t>26635/1999καπολα</t>
  </si>
  <si>
    <t>ΔΕΝ έχωΤιποτα</t>
  </si>
  <si>
    <t>64.162σουμα</t>
  </si>
  <si>
    <t>26634/1999καπολα</t>
  </si>
  <si>
    <t>281,38σουμα[217</t>
  </si>
  <si>
    <t>156564/1967καπολα</t>
  </si>
  <si>
    <t>15.000δρχ</t>
  </si>
  <si>
    <t>540δρχ</t>
  </si>
  <si>
    <t>έλεγχος -7.336,76=8,75€</t>
  </si>
  <si>
    <t>208,6σουμα[144,46</t>
  </si>
  <si>
    <t>15950/1967καπολα</t>
  </si>
  <si>
    <t>5.000δρχ</t>
  </si>
  <si>
    <t>έλεγχοςΔενΥπολογιζει =1€παραπανω</t>
  </si>
  <si>
    <t>27319/2000καπολα</t>
  </si>
  <si>
    <t>71.544σουμα</t>
  </si>
  <si>
    <t>27318/2000καπολα</t>
  </si>
  <si>
    <t>41.868σουμα</t>
  </si>
  <si>
    <t>10375/1992γερασιμιδου</t>
  </si>
  <si>
    <t>έλεγχοςΔενΥπολογιζει =36,19€παραπανω</t>
  </si>
  <si>
    <t>892,81σουμα</t>
  </si>
  <si>
    <t>1,3%=76,3</t>
  </si>
  <si>
    <t>ΛΥΣΗ</t>
  </si>
  <si>
    <t>25083καπολα</t>
  </si>
  <si>
    <t>38.424σουμα</t>
  </si>
  <si>
    <t>ΛΥΣΗ 24910καπολα</t>
  </si>
  <si>
    <t>έλεγχοςΔενΥπολογιζει =2,5€παραπανω</t>
  </si>
  <si>
    <t>ΤΑΝδενΧρεωνει1,3%</t>
  </si>
  <si>
    <t>αναζήτηση ΑΝΑ συμβόλαιο = 2004-12ο</t>
  </si>
  <si>
    <t>αναζήτηση από βιβλίο συμβολαίων έως 2011-12-31</t>
  </si>
  <si>
    <t>δωρεα</t>
  </si>
  <si>
    <t>ΟΛΟ</t>
  </si>
  <si>
    <t>ΛΥΣΗ 7961 2εκ -αρρ=10.000 [ΤΑΝ=1.881</t>
  </si>
  <si>
    <t>Δ.Ο.Υ.=πληρωμες = 10.500 + 2.100</t>
  </si>
  <si>
    <t>Δ.Ο.Υ.-1</t>
  </si>
  <si>
    <t>Δ.Ο.Υ.-2</t>
  </si>
  <si>
    <t>ποσόΦόρου</t>
  </si>
  <si>
    <t>281υ2 = διπλοπληρωμή σε αγοραπωλησίες ΒΑΣΕΙ προσυμφώνου {{{ = ΌΧΙ υπολογισμός αρραβώνα ( ΤΑΣ ) }}}</t>
  </si>
  <si>
    <t>299-ποσό φόρου</t>
  </si>
  <si>
    <t>αποΕλεγχοΤΑΝ</t>
  </si>
  <si>
    <t>στατιστικη από ΤΑΝ στα 3/5</t>
  </si>
  <si>
    <t>281ξ3 = ταμεία ΌΧΙ καταχώρηση ως ΕΣΟΔΟ στα βιβλία εσόδων</t>
  </si>
  <si>
    <t>281κ =ΔΟΛΟΣ = κακώς ζητούμενο κ-18 {ενώ βλέπει στα συμβόλαια τα χαρτόσημα του ΤΑΝ για το 5%}</t>
  </si>
  <si>
    <t>1998-9</t>
  </si>
  <si>
    <t>1998-10</t>
  </si>
  <si>
    <t>1999-1</t>
  </si>
  <si>
    <t>συμβόλαιο</t>
  </si>
  <si>
    <t>ΙΔΕ 287ε2-ε2α-ε2β</t>
  </si>
  <si>
    <t>1998-8</t>
  </si>
  <si>
    <t>γραμμάτιο</t>
  </si>
  <si>
    <t>281ε1  = κ-15-17  διπλοΠληρωμή &amp; με μηνιαία κατάσταση &amp; εθνική ανά συμβόλαιο= κωδικός ''δίκη'' - *7*</t>
  </si>
  <si>
    <t>66=1.000</t>
  </si>
  <si>
    <t>67=4.375</t>
  </si>
  <si>
    <t>69=3.525</t>
  </si>
  <si>
    <t>70=5.706</t>
  </si>
  <si>
    <t>71=2.500</t>
  </si>
  <si>
    <t>1998-11</t>
  </si>
  <si>
    <t>????</t>
  </si>
  <si>
    <t>1998-12</t>
  </si>
  <si>
    <t>???</t>
  </si>
  <si>
    <t>253=6.750</t>
  </si>
  <si>
    <t>μαζί</t>
  </si>
  <si>
    <t>67=26.815</t>
  </si>
  <si>
    <t>71=15.445</t>
  </si>
  <si>
    <t>179???</t>
  </si>
  <si>
    <t>144=Δ.Ο.Υ. = 1.080</t>
  </si>
  <si>
    <t>253=182.000</t>
  </si>
  <si>
    <t>1999-2</t>
  </si>
  <si>
    <t>1999-3</t>
  </si>
  <si>
    <t>19..2/9</t>
  </si>
  <si>
    <t>281ε2 = κ-15-17 - διπλοΠληρωμή {&amp; με μηνιαία κατάσταση &amp; εθνική ανά συμβόλαιο} ( οίο = υπό αναζήτηση ) [καταγραφή από σφραγίδες τελευταίας σελίδας ] κωδικός ''δίκη'' - *7*</t>
  </si>
  <si>
    <t xml:space="preserve">281θ = περί κ-15-17 = κακώς ζητούμενο προς απόδοση {πληρώθηκαν ποσά σε άλλο κωδικό} , {κωδικός ''δίκη'' - *6* </t>
  </si>
  <si>
    <t xml:space="preserve">281ι2 = περί κ-15-17 = υπερΠληρωμή {κωδικός ''δίκη'' - *4* = </t>
  </si>
  <si>
    <t>22..2/9</t>
  </si>
  <si>
    <t>30..7/9</t>
  </si>
  <si>
    <t>281ι1β</t>
  </si>
  <si>
    <t>281λ = μη καταγραφή πληρωμών Κ-29 ( 2013 έως 5ο )</t>
  </si>
  <si>
    <t>281ξ2-φόρος</t>
  </si>
  <si>
    <t>281ξ1-φόρος</t>
  </si>
  <si>
    <t>281β = κακώς ζητούμενο κ-15-17 …. σε μηνιαία κατάσταση … υπάρχει κατάσταση &amp; πληρωμή {{{ ΦΥΣΙΚΑ και υπήρχε στην Αθήνα }}}</t>
  </si>
  <si>
    <t>281γ = κακώς ζητούμενο κ-15-17 …. με πληρωμή από πολίτη … υπάρχει πληρωμή ….  {{{ ΦΥΣΙΚΑ και υπήρχε στην Αθήνα }}}</t>
  </si>
  <si>
    <t xml:space="preserve">281η = κακώς ζητούμενο κ-18 = ενώ ζητάει όλο το κ18 στο …… λέει στο πόρισμα πως αποδόθηκε {κωδικός ''δίκη'' - *225* = </t>
  </si>
  <si>
    <t>281ζ = κακώς ζητούμενο κ-15-17 ( επί συμβολαίου ) = έχουν σίγουρα πληρωθεί ΑΛΛΙΩΣ ΔΕΝ ΘΑ ΜΕΤΑΓΡΑΦΟΝΤΑΝ από το υποθυκοφυλακείο {{ κωδικός ''δίκη'' - *54*</t>
  </si>
  <si>
    <t xml:space="preserve">281θ = κακώς ζητούμενο κ-15-17 = πληρώθηκαν ποσά σε άλλο κωδικό {κωδικός ''δίκη'' - *6* </t>
  </si>
  <si>
    <t>281κ = κακώς ζητούμενο κ-18 {ενώ βλέπει στα συμβόλαια τα χαρτόσημα του ΤΑΝ για το 5%}</t>
  </si>
  <si>
    <t>281ρ1</t>
  </si>
  <si>
    <t>281ρ2</t>
  </si>
  <si>
    <t>281δ1 =  κ-18  διπλοΠληρωμή [&amp; με μηνιαία κατάσταση &amp; εθνική ανά συμβόλαιο {κωδικός ''δίκη'' - *7*</t>
  </si>
  <si>
    <t>281δ2 =  κ-18  διπλοΠληρωμή [&amp; με μηνιαία κατάσταση &amp; εθνική ανά συμβόλαιο {υτπό αναζήτηση} (κωδικός ''δίκη'' - *7*</t>
  </si>
  <si>
    <t>281ι1 = περί κ-18 = υπερΠληρωμή { κωδικός ''δίκη'' - *4*</t>
  </si>
  <si>
    <t>281ι2 = περί κ-15-17 = υπερΠληρωμή { κωδικός ''δίκη'' - *4*</t>
  </si>
  <si>
    <t>281ρ2 = κ-15 (1,3%) διπλοΠληρωμή ΚΑΙ στην Δ.Ο.Υ.</t>
  </si>
  <si>
    <t>281υ1 = κ-18 = διπλοπληρωμή σε αγοραπωλησίες ΒΑΣΕΙ προσυμφώνου { = ΌΧΙ υπολογισμός αρραβώνα}</t>
  </si>
  <si>
    <t>281υ2 = ΤΑΣ = διπλοπληρωμή σε αγοραπωλησίες ΒΑΣΕΙ προσυμφώνου { = ΌΧΙ υπολογισμός αρραβώνα}</t>
  </si>
  <si>
    <t>281μ1 = υπερΠληρωμή κ-18 με κωδικό **15**</t>
  </si>
  <si>
    <t>281μ1</t>
  </si>
  <si>
    <t>281υ</t>
  </si>
  <si>
    <t>281υ1</t>
  </si>
  <si>
    <t>281υ2</t>
  </si>
  <si>
    <t>281φ2</t>
  </si>
  <si>
    <t>281φ1</t>
  </si>
  <si>
    <t>ΔΕΝ τις έβαλε στην κατάσταση ΕΠΕΙΔΗ είχαν πληρωθεί στην τράπεζα ανά συμβόλαιο ΌΠΩΣ 253</t>
  </si>
  <si>
    <t>263-2/2</t>
  </si>
  <si>
    <t>268-2/2</t>
  </si>
  <si>
    <t>270-2/2</t>
  </si>
  <si>
    <t>αντί 390 έβαλε 3.900 στην κατάσταση</t>
  </si>
  <si>
    <t>αποδέχεται την κατάσταση</t>
  </si>
  <si>
    <t>340-4/4</t>
  </si>
  <si>
    <t>341-4/4</t>
  </si>
  <si>
    <t>367-4/4</t>
  </si>
  <si>
    <t>368-4/4</t>
  </si>
  <si>
    <t>344-4/4</t>
  </si>
  <si>
    <t>…5/5</t>
  </si>
  <si>
    <t>…1/1</t>
  </si>
  <si>
    <t>..3/3</t>
  </si>
  <si>
    <t>…3/3</t>
  </si>
  <si>
    <t>281ρ3 = 1,3% πληρωμή στην Δ.Ο.Υ. (ως έξοδο = ΠΟΡΟΙ - 281ρ3</t>
  </si>
  <si>
    <t>…4/4</t>
  </si>
  <si>
    <t>…6/6</t>
  </si>
  <si>
    <t>…8/8</t>
  </si>
  <si>
    <t>…9/9</t>
  </si>
  <si>
    <t>281ρ2 = 1,3% διπλοΠληρωμή ΚΑΙ στην Δ.Ο.Υ. [= ΠΟΡΟΙ - 281ρ2</t>
  </si>
  <si>
    <t>…11/11</t>
  </si>
  <si>
    <t>381-5/5</t>
  </si>
  <si>
    <t>401-5/5</t>
  </si>
  <si>
    <t>..18-9/9</t>
  </si>
  <si>
    <t>..75-11/11</t>
  </si>
  <si>
    <t>..415-5/5</t>
  </si>
  <si>
    <t>…425-6/6</t>
  </si>
  <si>
    <t>…441-6/6</t>
  </si>
  <si>
    <t>…449-6/6</t>
  </si>
  <si>
    <t>…466-7/7</t>
  </si>
  <si>
    <t>…474-8/8</t>
  </si>
  <si>
    <t>…502-8/8</t>
  </si>
  <si>
    <t>…527-12/12</t>
  </si>
  <si>
    <t>…597-12/12</t>
  </si>
  <si>
    <t>…893-3/3</t>
  </si>
  <si>
    <t>…1105-8/8</t>
  </si>
  <si>
    <t>…1382-12/12</t>
  </si>
  <si>
    <t>το είχα σκαναρισμένο ΑΛΛΑ λείπει από φάκελο στις 9/9/2023</t>
  </si>
  <si>
    <t>695-10/10</t>
  </si>
  <si>
    <t>729-10/10</t>
  </si>
  <si>
    <t>281ρ3</t>
  </si>
  <si>
    <t>921-3/3</t>
  </si>
  <si>
    <t>είναι συμβόλαιο του 4ου</t>
  </si>
  <si>
    <t>…1285-11/11</t>
  </si>
  <si>
    <t>βάσει rochild</t>
  </si>
  <si>
    <t>ΜΠΑΙΝΟΥΝ στο 282</t>
  </si>
  <si>
    <t>βάσει ΤΑΝ ή Δ.Ο.Υ.</t>
  </si>
  <si>
    <t>βάσει ΤΑΝ</t>
  </si>
  <si>
    <t>πάγια</t>
  </si>
  <si>
    <t>πάγιοΑναλ</t>
  </si>
  <si>
    <t>διαθήκη</t>
  </si>
  <si>
    <t>κληρΑποδ</t>
  </si>
  <si>
    <t>σύσταση</t>
  </si>
  <si>
    <t>καταστατ</t>
  </si>
  <si>
    <t>διανομή</t>
  </si>
  <si>
    <t>διαμαρτυρ</t>
  </si>
  <si>
    <t>2002-4</t>
  </si>
  <si>
    <t>2002-5</t>
  </si>
  <si>
    <t>281ν1 = υπερΠληρωμή κ-18 με κωδικό **15**</t>
  </si>
  <si>
    <t>2098..4/4</t>
  </si>
  <si>
    <t>2102..4/4</t>
  </si>
  <si>
    <t>2103…4/4</t>
  </si>
  <si>
    <t>2104…4/4</t>
  </si>
  <si>
    <t>2128…4/4</t>
  </si>
  <si>
    <t>2115…4/4</t>
  </si>
  <si>
    <t>πάγιοΣεΧαρτόσημα</t>
  </si>
  <si>
    <t>πάγιεςΣτην Κατάσταση</t>
  </si>
  <si>
    <t>κληρΑποδ = 2</t>
  </si>
  <si>
    <t>κλΑπ=261-264-271</t>
  </si>
  <si>
    <t>κληρΑποδ = 3</t>
  </si>
  <si>
    <t>1999-4</t>
  </si>
  <si>
    <t>..--//--</t>
  </si>
  <si>
    <t>διαθηκεςΣτηνΚατασταση</t>
  </si>
  <si>
    <t>κληρΑποδ = 7</t>
  </si>
  <si>
    <t>κλΑπ=338-342-343-352-353-360-371</t>
  </si>
  <si>
    <t>1999-5</t>
  </si>
  <si>
    <t>κλΑπ=394-398-405-406</t>
  </si>
  <si>
    <t>κληρΑποδ = 4</t>
  </si>
  <si>
    <t>1999-10</t>
  </si>
  <si>
    <t>σύσταση =1</t>
  </si>
  <si>
    <t>κλΑπ=690-708-709</t>
  </si>
  <si>
    <t>1999-11</t>
  </si>
  <si>
    <t>κλΑπ=738-746</t>
  </si>
  <si>
    <t>2000-1</t>
  </si>
  <si>
    <t>2000-2</t>
  </si>
  <si>
    <t>2000-3</t>
  </si>
  <si>
    <t>2000-4</t>
  </si>
  <si>
    <t>κλΑπ=821-825-830-832-834</t>
  </si>
  <si>
    <t>κληρΑποδ = 5</t>
  </si>
  <si>
    <t>κλΑπ=861-862-863-864-865-866-875-877</t>
  </si>
  <si>
    <t>κληρΑποδ = 8</t>
  </si>
  <si>
    <t>κλΑπ=879-888-894-895-896-901-913</t>
  </si>
  <si>
    <t>κλΑπ=921-924-927-928-929-930-937-946</t>
  </si>
  <si>
    <t>διαφορά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</si>
  <si>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</si>
  <si>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</si>
  <si>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</si>
  <si>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</si>
  <si>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</si>
  <si>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</si>
  <si>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</si>
  <si>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</si>
  <si>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</si>
  <si>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</si>
  <si>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</si>
  <si>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</si>
  <si>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</si>
  <si>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</si>
  <si>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</si>
  <si>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</si>
  <si>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</si>
  <si>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</si>
  <si>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</si>
  <si>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</si>
  <si>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</si>
  <si>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</si>
  <si>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</si>
  <si>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</si>
  <si>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</si>
  <si>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πάγιοΑναλογικής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</si>
  <si>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</si>
  <si>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</si>
  <si>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</si>
  <si>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</si>
  <si>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</si>
  <si>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</si>
  <si>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</si>
  <si>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</si>
  <si>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</si>
  <si>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</si>
  <si>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</si>
  <si>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</si>
  <si>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</si>
  <si>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</si>
  <si>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</si>
  <si>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</si>
  <si>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</si>
  <si>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</si>
  <si>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</si>
  <si>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</si>
  <si>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</si>
  <si>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</si>
  <si>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</si>
  <si>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</si>
  <si>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</si>
  <si>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</si>
  <si>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</si>
  <si>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</si>
  <si>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</si>
  <si>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</si>
  <si>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</si>
  <si>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</si>
  <si>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</si>
  <si>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</si>
  <si>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</si>
  <si>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</si>
  <si>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</si>
  <si>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</si>
  <si>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</si>
  <si>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</si>
  <si>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</si>
  <si>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</si>
  <si>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</si>
  <si>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</si>
  <si>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</si>
  <si>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</si>
  <si>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</si>
  <si>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</si>
  <si>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</si>
  <si>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</si>
  <si>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</si>
  <si>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</si>
  <si>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</si>
  <si>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</si>
  <si>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</si>
  <si>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</si>
  <si>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</si>
  <si>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</si>
  <si>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</si>
  <si>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</si>
  <si>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</si>
  <si>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</si>
  <si>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</si>
  <si>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</si>
  <si>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</si>
  <si>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</si>
  <si>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</si>
  <si>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</si>
  <si>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</si>
  <si>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</si>
  <si>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</si>
  <si>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</si>
  <si>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</si>
  <si>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</si>
  <si>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</si>
  <si>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</si>
  <si>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</si>
  <si>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</si>
  <si>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2012-8 στις 10/9/2012</t>
  </si>
  <si>
    <t>μειον 6.903,87 δηλωμένα</t>
  </si>
  <si>
    <t>Μ.Ο.</t>
  </si>
  <si>
    <t>συμβολαιογράφοι 2.000 έως 2022</t>
  </si>
  <si>
    <t>συμβολαιογράφοι 1.980 έως 1.999</t>
  </si>
  <si>
    <t>συμβολαιογράφοι 1.960 έως 1.979</t>
  </si>
  <si>
    <t>ΜΕ επικαρπία</t>
  </si>
  <si>
    <t>281ν1</t>
  </si>
  <si>
    <t>281ν2</t>
  </si>
  <si>
    <t>281ι1α = περί κ-18 = υπερΠληρωμή {{{ κωδικός ''δίκη'' - *4*</t>
  </si>
  <si>
    <t>από 291πίνακας στοιχείο 283σ11δ-12δ</t>
  </si>
  <si>
    <t>…2/2</t>
  </si>
  <si>
    <t>..2/2</t>
  </si>
  <si>
    <t>..5/5</t>
  </si>
  <si>
    <t>281α1 = κ-18 μηνιαίο ΚΑΚΩΣ ζητούμενο (1998-10ος έως 2013-5ος) … υπάρχει κατάσταση &amp; πληρωμή {{{ ΦΥΣΙΚΑ και υπήρχε στην Αθήνα }}}</t>
  </si>
  <si>
    <t>281α2 = κ-18 μηνιαίο ΚΑΚΩΣ ζητούμενο (1998-10ος έως 2013-5ος) … υπάρχει κατάσταση &amp; πληρωμή (υπό αναζήτηση) {{{ ΦΥΣΙΚΑ υπήρχε στην Αθήνα</t>
  </si>
  <si>
    <t>281β1 =  κ-15-17 μηνιαίο ΚΑΚΩΣ ζητούμενο (1998-10ος έως 2007-6ος) … υπάρχει κατάσταση &amp; πληρωμή {{{ ΦΥΣΙΚΑ και υπήρχε στην Αθήνα }}}</t>
  </si>
  <si>
    <t>281β2 =  κ-15-17 μηνιαίο ΚΑΚΩΣ ζητούμενο (1998-10ος  έως 2007-6ος) … υπάρχει κατάσταση &amp; πληρωμή (υπό αναζήτηση)  {{{ ΦΥΣΙΚΑ υπήρχε στην Αθήνα</t>
  </si>
  <si>
    <t>281δ1 =  κ-18 {διπλοΠληρωμή &amp; με μηνιαία κατάσταση &amp; ανά συμβόλαιο από πολίτη} , (1998-10ος έως 2013-5ος) , {= κωδικός ''δίκη'' - *7*</t>
  </si>
  <si>
    <t>281ε1  =  κ-15-17 {διπλοΠληρωμή &amp; με μηνιαία κατάσταση &amp; ανά συμβόλαιο από πολίτη} , (1998-10ος έως 2007-6ος) , {= κωδικός ''δίκη'' - *7*</t>
  </si>
  <si>
    <t>281ε2 =  κ-15-17 {διπλοΠληρωμή &amp; με μηνιαία κατάσταση &amp; ανά συμβόλαιο από πολίτη} , (1998-10ος έως 2007-6ος) , {υπό αναζήτηση} ,[καταγραφή από σφραγίδες τελευταίας σελίδας ] κωδικός ''δίκη'' - *7*</t>
  </si>
  <si>
    <t>281δ4 =  κ-18 {διπλοΠληρωμή &amp; ανά συμβόλαιο από πολίτη &amp; με μηνιαία κατάσταση} , (1998-8ος έως 1998-9ος &amp; 2007-6ος έως 2013-5ος) , {υπό αναζήτηση} , {= κωδικός ''δίκη'' - *7*</t>
  </si>
  <si>
    <t>*</t>
  </si>
  <si>
    <t>* = αποδέχεται την μηνιαία πληρωμή</t>
  </si>
  <si>
    <t>αναφορά ελέγχου = συγκεντρωτική ΒΑΣΕΙ κατάσταση μηνός [&amp; όχι ΑΝΑ συμβόλαιο]</t>
  </si>
  <si>
    <t>* = των παγίων ΔΕΝ τα χρεώνει ΚΑΘΩΣ αποδέχεται τα πούλια στα συμβόλαια</t>
  </si>
  <si>
    <t>ΑΓΑΠΕ = ΔΕΝ την έβαλε στην κατάσταση ΕΠΕΙΔΗ έχει πληρωθεί ΑΝΑ συμβόλαιο</t>
  </si>
  <si>
    <t>281-α3 = κ-18 ανά συμβόλαιο από πολίτη ΚΑΚΩΣ ζητούμενο (1998-8ος έως 1998-9ος) {{{υπάρχει η πληρωμή</t>
  </si>
  <si>
    <t>281-α4 = κ-18 ανά συμβόλαιο από πολίτη ΚΑΚΩΣ ζητούμενο (1998-8ος έως 1998-9ος) {υπό αναζήτηση} , [καταγραφή από σφραγίδες τελευταίας σελίδας ] {υπάρχει η πληρωμή</t>
  </si>
  <si>
    <t>281-γ1</t>
  </si>
  <si>
    <t>281-γ2</t>
  </si>
  <si>
    <t>281-α3</t>
  </si>
  <si>
    <t>281-α4</t>
  </si>
  <si>
    <t>* = πληρωμένα στην κατάσταση μηνός</t>
  </si>
  <si>
    <t>* = αποδέχεται την μηνιαία πληρωμή [= 501,23 + 117,19]</t>
  </si>
  <si>
    <t>281-δ3 =  κ-18 {διπλοΠληρωμή &amp; ανά συμβόλαιο από πολίτη &amp; με μηνιαία κατάσταση} , (1998-8ος έως 1998-9ος &amp; 2007-6ος έως 2013-5ος) , {= κωδικός ''δίκη'' - *7*</t>
  </si>
  <si>
    <t>281-δ4</t>
  </si>
  <si>
    <t>281-δ3</t>
  </si>
  <si>
    <t>281γ2 = κ-15-17 ανά συμβόλαιο από πολίτη ΚΑΚΩΣ ζητούμενο (1998-8ος έως 1998-9ος &amp; 2007-7ος έως 2013-5ος)  … υπάρχει η πληρωμή (υπό αναζήτηση)</t>
  </si>
  <si>
    <t>281γ1 = κ-15-17 ανά συμβόλαιο από πολίτη ΚΑΚΩΣ ζητούμενο (1998-8ος έως 1998-9ος &amp; 2007-7ος έως 2013-5ος) {{{υπάρχει η πληρωμή</t>
  </si>
  <si>
    <t>ΔΟΛΟΣ</t>
  </si>
  <si>
    <t>2007-4</t>
  </si>
  <si>
    <t>2007-6</t>
  </si>
  <si>
    <t>7115 ..6/7</t>
  </si>
  <si>
    <t>85,42 &amp; 16,45 στις 29/12/2011 {συμπληρωματικά των ΗΔΗ</t>
  </si>
  <si>
    <t>281-δ2 = κ-18 {διπλοΠληρωμή &amp; με μηνιαία κατάσταση &amp; ανά συμβόλαιο από πολίτη} , (1998-10ος έως 2013-5ος) {{{υπό αναζήτηση}[καταγραφή από σφραγίδες τελευταίας σελίδας ] κωδικός ''δίκη'' - *7*</t>
  </si>
  <si>
    <t>281-ε3 =  κ-15-17 {διπλοΠληρωμή &amp; ανά συμβόλαιο από πολίτη &amp; με μηνιαία κατάσταση} , (1998-8ος έως 1998-9ος) , {= κωδικός ''δίκη'' - *7*</t>
  </si>
  <si>
    <t>281ε4 =  κ-15-17 {διπλοΠληρωμή &amp; ανά συμβόλαιο από πολίτη &amp; με μηνιαία κατάσταση} , (1998-8ος έως 1998-9ος) , {υπό αναζήτηση} {= κωδικός ''δίκη'' - *7*</t>
  </si>
  <si>
    <t>281λ = ρυθμίσεις [έως 2013-5ο</t>
  </si>
  <si>
    <t>281μ = κατασχέσεις [έως 2013-5ο</t>
  </si>
  <si>
    <t>281ο = διπλοπληρωμή κ-15-17 για την μεταγραφή (χαμένες παλιές πληρωμές) [έως 2013-5ο</t>
  </si>
  <si>
    <t>α.α.</t>
  </si>
  <si>
    <t>πράξη</t>
  </si>
  <si>
    <t>γονική</t>
  </si>
  <si>
    <t>δωρεά</t>
  </si>
  <si>
    <t>έχει πληρωθεί ΜΕ μηνιαία κατάσταση</t>
  </si>
  <si>
    <t>μεταγραφή</t>
  </si>
  <si>
    <t>5-11-1998=328/67</t>
  </si>
  <si>
    <t>ΔΕΝ την έβαλε στην κατάσταση ΕΠΕΙΔΗ έχει πληρωθεί ΑΝΑ συμβόλαιο</t>
  </si>
  <si>
    <t>υπάρχουν οι πληρωμές</t>
  </si>
  <si>
    <t>22/10/1998=328-36</t>
  </si>
  <si>
    <t>24/12/1998=331-44</t>
  </si>
  <si>
    <t>20/10/1998=328-27</t>
  </si>
  <si>
    <t>26/01/1999=332-77</t>
  </si>
  <si>
    <t>υποθΕξαλειψη</t>
  </si>
  <si>
    <t>υπάρχει η πληρωμή</t>
  </si>
  <si>
    <t>υποΑναζήτηση</t>
  </si>
  <si>
    <t>γραμμάτια εθνικης = 3753554 &amp; 3753555</t>
  </si>
  <si>
    <t>281ω3α1 = διπλοπληρωμές κ-18-15-17 σε πράξεις (= εκτέλεση - ΒΑΣΕΙ προσυμφώνου ή  προτάσεων )</t>
  </si>
  <si>
    <t>1998-10ος = 75 = είχε πληρωθεί από παππού = 5.685</t>
  </si>
  <si>
    <t>281ω3α2 = διπλοπληρωμές ΤΑΣ σε πράξεις (= εκτέλεση - ΒΑΣΕΙ προσυμφώνου ή  προτάσεων )</t>
  </si>
  <si>
    <t>281ω3α = διπλοπληρωμές κ-18-15-17 σε πράξεις (= εκτέλεση - ΒΑΣΕΙ προσυμφώνου ή  προτάσεων )</t>
  </si>
  <si>
    <t xml:space="preserve">281ν2 = ΤΑΣ υπερΠληρωμή (με κωδικό **15**) [=281ν1*6/5
281μ2 = υπερΠληρωμή ΤΑΣ με κωδικό **15** [=281μ1*6/5
</t>
  </si>
  <si>
    <t>281υ = κ-18 - διπλοπληρωμή σε αγοραπωλησίες ΒΑΣΕΙ προσυμφώνου { = ΌΧΙ υπολογισμός αρραβώνα</t>
  </si>
  <si>
    <t>κ-15=46,21</t>
  </si>
  <si>
    <t>κ-17=8,89</t>
  </si>
  <si>
    <t>το 2019 ΑΡΑδιπλοπληρωμήΚαθώςΕίχεΔειΤαΑρχικάΟέλγχος</t>
  </si>
  <si>
    <t>281α4β</t>
  </si>
  <si>
    <t>281γ2β</t>
  </si>
  <si>
    <t>281δ4γ</t>
  </si>
  <si>
    <t>1998-8ος</t>
  </si>
  <si>
    <t>1998-9ος</t>
  </si>
  <si>
    <t>έως 2013/5ο</t>
  </si>
  <si>
    <t>ΙΔΕ 288θ2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</si>
</sst>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d/m;@"/>
    <numFmt numFmtId="166" formatCode="d/m/yyyy;@"/>
  </numFmts>
  <fonts count="3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9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sz val="12"/>
      <color rgb="FF0070C0"/>
      <name val="Arial"/>
      <family val="2"/>
      <charset val="161"/>
    </font>
    <font>
      <sz val="12"/>
      <color rgb="FFFF0000"/>
      <name val="Arial"/>
      <family val="2"/>
      <charset val="161"/>
    </font>
    <font>
      <sz val="8"/>
      <name val="Arial"/>
      <family val="2"/>
      <charset val="161"/>
    </font>
    <font>
      <sz val="14"/>
      <color rgb="FFFF0000"/>
      <name val="Arial"/>
      <family val="2"/>
      <charset val="161"/>
    </font>
    <font>
      <sz val="10"/>
      <name val="Arial"/>
      <family val="2"/>
      <charset val="161"/>
    </font>
    <font>
      <sz val="10"/>
      <color rgb="FF0070C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6"/>
      <color rgb="FFFF0000"/>
      <name val="Arial"/>
      <family val="2"/>
      <charset val="161"/>
    </font>
    <font>
      <sz val="8"/>
      <color rgb="FF0070C0"/>
      <name val="Arial"/>
      <family val="2"/>
      <charset val="161"/>
    </font>
    <font>
      <b/>
      <sz val="8"/>
      <color rgb="FF0070C0"/>
      <name val="Arial"/>
      <family val="2"/>
      <charset val="161"/>
    </font>
    <font>
      <sz val="8"/>
      <color rgb="FF00B050"/>
      <name val="Arial"/>
      <family val="2"/>
      <charset val="161"/>
    </font>
    <font>
      <b/>
      <sz val="8"/>
      <color rgb="FF00B0F0"/>
      <name val="Arial"/>
      <family val="2"/>
      <charset val="161"/>
    </font>
    <font>
      <b/>
      <sz val="8"/>
      <name val="Arial"/>
      <family val="2"/>
      <charset val="161"/>
    </font>
    <font>
      <sz val="11"/>
      <color theme="1"/>
      <name val="Arial"/>
      <family val="2"/>
      <charset val="161"/>
    </font>
    <font>
      <sz val="11"/>
      <color rgb="FF0070C0"/>
      <name val="Arial"/>
      <family val="2"/>
      <charset val="161"/>
    </font>
    <font>
      <b/>
      <sz val="11"/>
      <color rgb="FFFF0000"/>
      <name val="Arial"/>
      <family val="2"/>
      <charset val="161"/>
    </font>
    <font>
      <sz val="11"/>
      <color rgb="FFFF0000"/>
      <name val="Arial"/>
      <family val="2"/>
      <charset val="161"/>
    </font>
    <font>
      <b/>
      <sz val="11"/>
      <color rgb="FF0070C0"/>
      <name val="Arial"/>
      <family val="2"/>
      <charset val="161"/>
    </font>
    <font>
      <sz val="10"/>
      <color rgb="FFFF0000"/>
      <name val="Arial"/>
      <family val="2"/>
      <charset val="161"/>
    </font>
    <font>
      <sz val="11"/>
      <name val="Arial"/>
      <family val="2"/>
      <charset val="161"/>
    </font>
    <font>
      <b/>
      <u/>
      <sz val="12"/>
      <color theme="1"/>
      <name val="Arial"/>
      <family val="2"/>
      <charset val="161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2">
    <xf numFmtId="0" fontId="0" fillId="0" borderId="0" xfId="0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43" fontId="3" fillId="0" borderId="1" xfId="1" applyFont="1" applyBorder="1"/>
    <xf numFmtId="43" fontId="2" fillId="2" borderId="1" xfId="1" applyFont="1" applyFill="1" applyBorder="1"/>
    <xf numFmtId="43" fontId="3" fillId="3" borderId="1" xfId="1" applyFont="1" applyFill="1" applyBorder="1"/>
    <xf numFmtId="0" fontId="4" fillId="0" borderId="1" xfId="0" applyFont="1" applyBorder="1"/>
    <xf numFmtId="0" fontId="4" fillId="0" borderId="0" xfId="0" applyFont="1"/>
    <xf numFmtId="43" fontId="4" fillId="0" borderId="1" xfId="1" applyFont="1" applyFill="1" applyBorder="1"/>
    <xf numFmtId="43" fontId="4" fillId="0" borderId="1" xfId="1" applyFont="1" applyBorder="1"/>
    <xf numFmtId="43" fontId="4" fillId="0" borderId="0" xfId="0" applyNumberFormat="1" applyFont="1"/>
    <xf numFmtId="0" fontId="5" fillId="0" borderId="0" xfId="0" applyFont="1"/>
    <xf numFmtId="0" fontId="6" fillId="0" borderId="0" xfId="0" applyFont="1"/>
    <xf numFmtId="43" fontId="4" fillId="0" borderId="0" xfId="1" applyFont="1"/>
    <xf numFmtId="0" fontId="4" fillId="0" borderId="5" xfId="0" applyFont="1" applyBorder="1"/>
    <xf numFmtId="0" fontId="2" fillId="0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8" borderId="10" xfId="0" applyFont="1" applyFill="1" applyBorder="1" applyAlignment="1">
      <alignment horizontal="center" wrapText="1"/>
    </xf>
    <xf numFmtId="0" fontId="2" fillId="8" borderId="7" xfId="0" applyFont="1" applyFill="1" applyBorder="1" applyAlignment="1">
      <alignment horizontal="center" wrapText="1"/>
    </xf>
    <xf numFmtId="0" fontId="0" fillId="0" borderId="0" xfId="0" applyFont="1"/>
    <xf numFmtId="0" fontId="7" fillId="0" borderId="0" xfId="0" applyFont="1" applyAlignment="1"/>
    <xf numFmtId="0" fontId="0" fillId="0" borderId="5" xfId="0" applyFont="1" applyBorder="1"/>
    <xf numFmtId="43" fontId="0" fillId="7" borderId="5" xfId="1" applyFont="1" applyFill="1" applyBorder="1"/>
    <xf numFmtId="43" fontId="0" fillId="0" borderId="5" xfId="1" applyFont="1" applyFill="1" applyBorder="1"/>
    <xf numFmtId="0" fontId="0" fillId="0" borderId="1" xfId="0" applyFont="1" applyBorder="1"/>
    <xf numFmtId="43" fontId="0" fillId="7" borderId="1" xfId="1" applyFont="1" applyFill="1" applyBorder="1"/>
    <xf numFmtId="0" fontId="7" fillId="0" borderId="0" xfId="0" applyFont="1"/>
    <xf numFmtId="43" fontId="0" fillId="0" borderId="0" xfId="1" applyFont="1"/>
    <xf numFmtId="43" fontId="0" fillId="5" borderId="1" xfId="1" applyFont="1" applyFill="1" applyBorder="1"/>
    <xf numFmtId="43" fontId="0" fillId="5" borderId="1" xfId="1" applyFont="1" applyFill="1" applyBorder="1" applyAlignment="1">
      <alignment horizontal="center"/>
    </xf>
    <xf numFmtId="43" fontId="0" fillId="5" borderId="5" xfId="1" applyFont="1" applyFill="1" applyBorder="1"/>
    <xf numFmtId="164" fontId="0" fillId="0" borderId="5" xfId="1" applyNumberFormat="1" applyFont="1" applyFill="1" applyBorder="1"/>
    <xf numFmtId="43" fontId="1" fillId="0" borderId="7" xfId="1" applyFont="1" applyBorder="1"/>
    <xf numFmtId="0" fontId="2" fillId="0" borderId="7" xfId="0" applyFont="1" applyBorder="1"/>
    <xf numFmtId="43" fontId="2" fillId="7" borderId="5" xfId="1" applyFont="1" applyFill="1" applyBorder="1"/>
    <xf numFmtId="43" fontId="2" fillId="0" borderId="5" xfId="1" applyFont="1" applyFill="1" applyBorder="1"/>
    <xf numFmtId="43" fontId="2" fillId="0" borderId="1" xfId="1" applyFont="1" applyFill="1" applyBorder="1"/>
    <xf numFmtId="43" fontId="8" fillId="0" borderId="5" xfId="1" applyFont="1" applyFill="1" applyBorder="1"/>
    <xf numFmtId="43" fontId="8" fillId="0" borderId="1" xfId="1" applyFont="1" applyFill="1" applyBorder="1"/>
    <xf numFmtId="43" fontId="8" fillId="3" borderId="1" xfId="1" applyFont="1" applyFill="1" applyBorder="1"/>
    <xf numFmtId="0" fontId="8" fillId="0" borderId="0" xfId="0" applyFont="1"/>
    <xf numFmtId="43" fontId="8" fillId="5" borderId="1" xfId="1" applyFont="1" applyFill="1" applyBorder="1"/>
    <xf numFmtId="43" fontId="8" fillId="5" borderId="5" xfId="1" applyFont="1" applyFill="1" applyBorder="1"/>
    <xf numFmtId="43" fontId="2" fillId="5" borderId="5" xfId="1" applyFont="1" applyFill="1" applyBorder="1"/>
    <xf numFmtId="43" fontId="2" fillId="2" borderId="5" xfId="1" applyFont="1" applyFill="1" applyBorder="1"/>
    <xf numFmtId="43" fontId="2" fillId="5" borderId="1" xfId="1" applyFont="1" applyFill="1" applyBorder="1"/>
    <xf numFmtId="43" fontId="3" fillId="0" borderId="1" xfId="1" applyFont="1" applyFill="1" applyBorder="1"/>
    <xf numFmtId="0" fontId="2" fillId="3" borderId="7" xfId="0" applyFont="1" applyFill="1" applyBorder="1" applyAlignment="1">
      <alignment horizontal="center" wrapText="1"/>
    </xf>
    <xf numFmtId="43" fontId="0" fillId="0" borderId="0" xfId="0" applyNumberFormat="1" applyFont="1"/>
    <xf numFmtId="43" fontId="2" fillId="0" borderId="0" xfId="1" applyFont="1"/>
    <xf numFmtId="0" fontId="2" fillId="5" borderId="5" xfId="0" applyFont="1" applyFill="1" applyBorder="1"/>
    <xf numFmtId="0" fontId="2" fillId="5" borderId="1" xfId="0" applyFont="1" applyFill="1" applyBorder="1"/>
    <xf numFmtId="43" fontId="0" fillId="0" borderId="1" xfId="0" applyNumberFormat="1" applyFont="1" applyFill="1" applyBorder="1"/>
    <xf numFmtId="43" fontId="2" fillId="7" borderId="1" xfId="1" applyFont="1" applyFill="1" applyBorder="1"/>
    <xf numFmtId="43" fontId="2" fillId="7" borderId="1" xfId="1" applyFont="1" applyFill="1" applyBorder="1" applyAlignment="1">
      <alignment horizontal="center"/>
    </xf>
    <xf numFmtId="164" fontId="4" fillId="0" borderId="0" xfId="1" applyNumberFormat="1" applyFont="1"/>
    <xf numFmtId="164" fontId="0" fillId="0" borderId="0" xfId="1" applyNumberFormat="1" applyFont="1"/>
    <xf numFmtId="43" fontId="0" fillId="0" borderId="1" xfId="1" applyFont="1" applyFill="1" applyBorder="1"/>
    <xf numFmtId="0" fontId="0" fillId="3" borderId="7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0" fontId="0" fillId="8" borderId="7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43" fontId="4" fillId="2" borderId="1" xfId="1" applyFont="1" applyFill="1" applyBorder="1"/>
    <xf numFmtId="43" fontId="0" fillId="2" borderId="5" xfId="1" applyFont="1" applyFill="1" applyBorder="1"/>
    <xf numFmtId="43" fontId="8" fillId="7" borderId="1" xfId="1" applyFont="1" applyFill="1" applyBorder="1"/>
    <xf numFmtId="0" fontId="13" fillId="0" borderId="0" xfId="0" applyFont="1" applyAlignment="1">
      <alignment horizontal="center"/>
    </xf>
    <xf numFmtId="164" fontId="0" fillId="0" borderId="0" xfId="0" applyNumberFormat="1" applyFont="1"/>
    <xf numFmtId="0" fontId="0" fillId="3" borderId="2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0" fontId="0" fillId="8" borderId="2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14" fillId="0" borderId="0" xfId="0" applyFont="1"/>
    <xf numFmtId="0" fontId="0" fillId="0" borderId="4" xfId="0" applyBorder="1" applyAlignment="1">
      <alignment horizontal="center"/>
    </xf>
    <xf numFmtId="165" fontId="0" fillId="0" borderId="1" xfId="1" applyNumberFormat="1" applyFont="1" applyBorder="1"/>
    <xf numFmtId="164" fontId="0" fillId="0" borderId="1" xfId="1" applyNumberFormat="1" applyFont="1" applyBorder="1" applyAlignment="1"/>
    <xf numFmtId="43" fontId="0" fillId="0" borderId="3" xfId="1" applyFont="1" applyBorder="1" applyAlignment="1"/>
    <xf numFmtId="43" fontId="0" fillId="0" borderId="1" xfId="1" applyFont="1" applyBorder="1"/>
    <xf numFmtId="0" fontId="0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0" fillId="10" borderId="0" xfId="1" applyNumberFormat="1" applyFont="1" applyFill="1"/>
    <xf numFmtId="0" fontId="0" fillId="6" borderId="0" xfId="0" applyFill="1"/>
    <xf numFmtId="164" fontId="0" fillId="0" borderId="1" xfId="1" applyNumberFormat="1" applyFont="1" applyFill="1" applyBorder="1" applyAlignment="1"/>
    <xf numFmtId="43" fontId="0" fillId="0" borderId="1" xfId="1" applyFont="1" applyFill="1" applyBorder="1" applyAlignment="1"/>
    <xf numFmtId="43" fontId="15" fillId="0" borderId="5" xfId="1" applyFont="1" applyFill="1" applyBorder="1"/>
    <xf numFmtId="43" fontId="2" fillId="2" borderId="1" xfId="1" applyFont="1" applyFill="1" applyBorder="1" applyAlignment="1">
      <alignment horizontal="center"/>
    </xf>
    <xf numFmtId="43" fontId="2" fillId="0" borderId="5" xfId="1" applyFont="1" applyFill="1" applyBorder="1" applyAlignment="1">
      <alignment horizontal="center"/>
    </xf>
    <xf numFmtId="43" fontId="2" fillId="8" borderId="5" xfId="1" applyFont="1" applyFill="1" applyBorder="1"/>
    <xf numFmtId="0" fontId="2" fillId="8" borderId="0" xfId="0" applyFont="1" applyFill="1"/>
    <xf numFmtId="43" fontId="2" fillId="0" borderId="0" xfId="0" applyNumberFormat="1" applyFont="1" applyAlignment="1"/>
    <xf numFmtId="0" fontId="2" fillId="0" borderId="0" xfId="0" applyFont="1" applyFill="1"/>
    <xf numFmtId="43" fontId="2" fillId="0" borderId="0" xfId="1" applyFont="1" applyFill="1"/>
    <xf numFmtId="43" fontId="8" fillId="2" borderId="1" xfId="1" applyFont="1" applyFill="1" applyBorder="1"/>
    <xf numFmtId="43" fontId="8" fillId="14" borderId="5" xfId="1" applyFont="1" applyFill="1" applyBorder="1"/>
    <xf numFmtId="43" fontId="4" fillId="14" borderId="1" xfId="1" applyFont="1" applyFill="1" applyBorder="1"/>
    <xf numFmtId="43" fontId="8" fillId="0" borderId="1" xfId="1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4" fillId="4" borderId="0" xfId="0" applyFont="1" applyFill="1"/>
    <xf numFmtId="43" fontId="2" fillId="15" borderId="1" xfId="1" applyFont="1" applyFill="1" applyBorder="1"/>
    <xf numFmtId="43" fontId="2" fillId="15" borderId="5" xfId="1" applyFont="1" applyFill="1" applyBorder="1"/>
    <xf numFmtId="164" fontId="2" fillId="2" borderId="5" xfId="1" applyNumberFormat="1" applyFont="1" applyFill="1" applyBorder="1"/>
    <xf numFmtId="164" fontId="2" fillId="15" borderId="5" xfId="1" applyNumberFormat="1" applyFont="1" applyFill="1" applyBorder="1"/>
    <xf numFmtId="43" fontId="2" fillId="15" borderId="1" xfId="1" applyFont="1" applyFill="1" applyBorder="1" applyAlignment="1">
      <alignment horizontal="center"/>
    </xf>
    <xf numFmtId="0" fontId="2" fillId="4" borderId="0" xfId="0" applyFont="1" applyFill="1"/>
    <xf numFmtId="164" fontId="2" fillId="7" borderId="5" xfId="1" applyNumberFormat="1" applyFont="1" applyFill="1" applyBorder="1"/>
    <xf numFmtId="164" fontId="2" fillId="0" borderId="0" xfId="1" applyNumberFormat="1" applyFont="1" applyFill="1"/>
    <xf numFmtId="0" fontId="0" fillId="0" borderId="7" xfId="0" applyBorder="1"/>
    <xf numFmtId="14" fontId="9" fillId="0" borderId="0" xfId="0" applyNumberFormat="1" applyFont="1"/>
    <xf numFmtId="0" fontId="4" fillId="0" borderId="4" xfId="0" applyFont="1" applyFill="1" applyBorder="1" applyAlignment="1">
      <alignment horizontal="center"/>
    </xf>
    <xf numFmtId="43" fontId="10" fillId="0" borderId="0" xfId="1" applyFont="1" applyFill="1"/>
    <xf numFmtId="43" fontId="4" fillId="7" borderId="5" xfId="1" applyFont="1" applyFill="1" applyBorder="1"/>
    <xf numFmtId="43" fontId="4" fillId="0" borderId="5" xfId="1" applyFont="1" applyFill="1" applyBorder="1"/>
    <xf numFmtId="43" fontId="4" fillId="0" borderId="1" xfId="0" applyNumberFormat="1" applyFont="1" applyFill="1" applyBorder="1"/>
    <xf numFmtId="43" fontId="4" fillId="7" borderId="1" xfId="1" applyFont="1" applyFill="1" applyBorder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4" borderId="0" xfId="0" applyFont="1" applyFill="1" applyAlignment="1"/>
    <xf numFmtId="43" fontId="4" fillId="0" borderId="5" xfId="0" applyNumberFormat="1" applyFont="1" applyFill="1" applyBorder="1"/>
    <xf numFmtId="0" fontId="4" fillId="3" borderId="10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8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3" borderId="0" xfId="0" applyFont="1" applyFill="1"/>
    <xf numFmtId="43" fontId="4" fillId="0" borderId="1" xfId="1" applyFont="1" applyFill="1" applyBorder="1" applyAlignment="1">
      <alignment horizontal="center"/>
    </xf>
    <xf numFmtId="14" fontId="4" fillId="0" borderId="0" xfId="0" applyNumberFormat="1" applyFont="1"/>
    <xf numFmtId="164" fontId="4" fillId="0" borderId="0" xfId="0" applyNumberFormat="1" applyFont="1"/>
    <xf numFmtId="164" fontId="17" fillId="0" borderId="0" xfId="1" applyNumberFormat="1" applyFont="1"/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5" fillId="0" borderId="0" xfId="0" applyFont="1" applyAlignment="1"/>
    <xf numFmtId="43" fontId="4" fillId="0" borderId="13" xfId="1" applyFont="1" applyFill="1" applyBorder="1"/>
    <xf numFmtId="43" fontId="4" fillId="0" borderId="2" xfId="1" applyFont="1" applyFill="1" applyBorder="1"/>
    <xf numFmtId="0" fontId="4" fillId="0" borderId="7" xfId="0" applyFont="1" applyBorder="1"/>
    <xf numFmtId="43" fontId="10" fillId="0" borderId="0" xfId="0" applyNumberFormat="1" applyFont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18" fillId="0" borderId="0" xfId="0" applyFont="1" applyAlignment="1">
      <alignment horizontal="center"/>
    </xf>
    <xf numFmtId="0" fontId="19" fillId="0" borderId="0" xfId="0" applyFont="1"/>
    <xf numFmtId="43" fontId="4" fillId="2" borderId="5" xfId="1" applyFont="1" applyFill="1" applyBorder="1"/>
    <xf numFmtId="43" fontId="4" fillId="0" borderId="7" xfId="1" applyFont="1" applyBorder="1"/>
    <xf numFmtId="164" fontId="4" fillId="0" borderId="0" xfId="1" applyNumberFormat="1" applyFont="1" applyFill="1"/>
    <xf numFmtId="43" fontId="5" fillId="0" borderId="0" xfId="0" applyNumberFormat="1" applyFont="1"/>
    <xf numFmtId="43" fontId="5" fillId="0" borderId="0" xfId="1" applyFont="1"/>
    <xf numFmtId="43" fontId="4" fillId="0" borderId="0" xfId="1" applyFont="1" applyAlignment="1"/>
    <xf numFmtId="43" fontId="5" fillId="0" borderId="0" xfId="1" applyFont="1" applyAlignment="1"/>
    <xf numFmtId="43" fontId="4" fillId="0" borderId="0" xfId="1" applyFont="1" applyFill="1"/>
    <xf numFmtId="43" fontId="17" fillId="0" borderId="0" xfId="1" applyFont="1"/>
    <xf numFmtId="43" fontId="17" fillId="0" borderId="0" xfId="1" applyFont="1" applyAlignment="1"/>
    <xf numFmtId="43" fontId="15" fillId="0" borderId="0" xfId="1" applyFont="1"/>
    <xf numFmtId="14" fontId="4" fillId="10" borderId="0" xfId="0" applyNumberFormat="1" applyFont="1" applyFill="1"/>
    <xf numFmtId="164" fontId="2" fillId="0" borderId="0" xfId="1" applyNumberFormat="1" applyFont="1" applyAlignment="1"/>
    <xf numFmtId="43" fontId="17" fillId="0" borderId="0" xfId="1" applyFont="1" applyFill="1"/>
    <xf numFmtId="14" fontId="4" fillId="0" borderId="0" xfId="0" applyNumberFormat="1" applyFont="1" applyFill="1"/>
    <xf numFmtId="0" fontId="4" fillId="0" borderId="0" xfId="0" applyFont="1" applyFill="1"/>
    <xf numFmtId="43" fontId="5" fillId="0" borderId="0" xfId="1" applyFont="1" applyFill="1"/>
    <xf numFmtId="0" fontId="4" fillId="3" borderId="0" xfId="0" applyFont="1" applyFill="1" applyAlignment="1">
      <alignment horizontal="center"/>
    </xf>
    <xf numFmtId="0" fontId="17" fillId="0" borderId="0" xfId="0" applyFont="1" applyFill="1"/>
    <xf numFmtId="0" fontId="2" fillId="12" borderId="0" xfId="0" applyFont="1" applyFill="1"/>
    <xf numFmtId="164" fontId="4" fillId="0" borderId="0" xfId="0" applyNumberFormat="1" applyFont="1" applyFill="1"/>
    <xf numFmtId="164" fontId="17" fillId="0" borderId="0" xfId="0" applyNumberFormat="1" applyFont="1"/>
    <xf numFmtId="164" fontId="4" fillId="0" borderId="5" xfId="1" applyNumberFormat="1" applyFont="1" applyFill="1" applyBorder="1"/>
    <xf numFmtId="164" fontId="4" fillId="0" borderId="1" xfId="1" applyNumberFormat="1" applyFont="1" applyFill="1" applyBorder="1"/>
    <xf numFmtId="43" fontId="2" fillId="0" borderId="0" xfId="1" applyFont="1" applyBorder="1"/>
    <xf numFmtId="0" fontId="0" fillId="0" borderId="4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7" borderId="5" xfId="1" applyNumberFormat="1" applyFont="1" applyFill="1" applyBorder="1"/>
    <xf numFmtId="0" fontId="20" fillId="0" borderId="0" xfId="0" applyFont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4" fontId="0" fillId="4" borderId="0" xfId="1" applyNumberFormat="1" applyFont="1" applyFill="1"/>
    <xf numFmtId="164" fontId="0" fillId="0" borderId="0" xfId="1" applyNumberFormat="1" applyFont="1" applyFill="1"/>
    <xf numFmtId="43" fontId="0" fillId="0" borderId="1" xfId="1" applyFont="1" applyFill="1" applyBorder="1" applyAlignment="1">
      <alignment horizontal="center"/>
    </xf>
    <xf numFmtId="164" fontId="0" fillId="6" borderId="0" xfId="1" applyNumberFormat="1" applyFont="1" applyFill="1"/>
    <xf numFmtId="164" fontId="2" fillId="0" borderId="4" xfId="1" applyNumberFormat="1" applyFont="1" applyBorder="1" applyAlignment="1">
      <alignment horizontal="center"/>
    </xf>
    <xf numFmtId="164" fontId="2" fillId="0" borderId="2" xfId="1" applyNumberFormat="1" applyFont="1" applyFill="1" applyBorder="1" applyAlignment="1"/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/>
    <xf numFmtId="164" fontId="0" fillId="12" borderId="0" xfId="1" applyNumberFormat="1" applyFont="1" applyFill="1"/>
    <xf numFmtId="0" fontId="0" fillId="12" borderId="0" xfId="0" applyFont="1" applyFill="1"/>
    <xf numFmtId="0" fontId="0" fillId="8" borderId="0" xfId="0" applyFill="1"/>
    <xf numFmtId="164" fontId="0" fillId="8" borderId="0" xfId="1" applyNumberFormat="1" applyFont="1" applyFill="1"/>
    <xf numFmtId="164" fontId="0" fillId="2" borderId="0" xfId="1" applyNumberFormat="1" applyFont="1" applyFill="1"/>
    <xf numFmtId="0" fontId="0" fillId="6" borderId="0" xfId="0" applyFont="1" applyFill="1"/>
    <xf numFmtId="164" fontId="0" fillId="16" borderId="0" xfId="1" applyNumberFormat="1" applyFont="1" applyFill="1"/>
    <xf numFmtId="164" fontId="0" fillId="4" borderId="1" xfId="1" applyNumberFormat="1" applyFont="1" applyFill="1" applyBorder="1"/>
    <xf numFmtId="164" fontId="0" fillId="3" borderId="1" xfId="1" applyNumberFormat="1" applyFont="1" applyFill="1" applyBorder="1" applyAlignment="1"/>
    <xf numFmtId="164" fontId="0" fillId="0" borderId="3" xfId="1" applyNumberFormat="1" applyFont="1" applyBorder="1" applyAlignment="1"/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Fill="1" applyBorder="1"/>
    <xf numFmtId="164" fontId="2" fillId="0" borderId="1" xfId="1" applyNumberFormat="1" applyFont="1" applyBorder="1"/>
    <xf numFmtId="164" fontId="14" fillId="0" borderId="0" xfId="1" applyNumberFormat="1" applyFont="1"/>
    <xf numFmtId="43" fontId="0" fillId="3" borderId="1" xfId="1" applyFont="1" applyFill="1" applyBorder="1" applyAlignment="1"/>
    <xf numFmtId="164" fontId="0" fillId="10" borderId="1" xfId="1" applyNumberFormat="1" applyFont="1" applyFill="1" applyBorder="1" applyAlignment="1"/>
    <xf numFmtId="43" fontId="0" fillId="10" borderId="1" xfId="1" applyFont="1" applyFill="1" applyBorder="1" applyAlignment="1"/>
    <xf numFmtId="0" fontId="0" fillId="7" borderId="0" xfId="0" applyFont="1" applyFill="1"/>
    <xf numFmtId="164" fontId="0" fillId="7" borderId="0" xfId="1" applyNumberFormat="1" applyFont="1" applyFill="1"/>
    <xf numFmtId="0" fontId="0" fillId="2" borderId="0" xfId="0" applyFont="1" applyFill="1"/>
    <xf numFmtId="164" fontId="0" fillId="4" borderId="1" xfId="1" applyNumberFormat="1" applyFont="1" applyFill="1" applyBorder="1" applyAlignment="1"/>
    <xf numFmtId="164" fontId="0" fillId="0" borderId="3" xfId="1" applyNumberFormat="1" applyFont="1" applyFill="1" applyBorder="1" applyAlignment="1"/>
    <xf numFmtId="43" fontId="0" fillId="6" borderId="0" xfId="1" applyFont="1" applyFill="1"/>
    <xf numFmtId="0" fontId="0" fillId="12" borderId="0" xfId="0" applyFill="1"/>
    <xf numFmtId="164" fontId="0" fillId="2" borderId="1" xfId="1" applyNumberFormat="1" applyFont="1" applyFill="1" applyBorder="1" applyAlignment="1"/>
    <xf numFmtId="43" fontId="0" fillId="12" borderId="0" xfId="1" applyFont="1" applyFill="1"/>
    <xf numFmtId="164" fontId="0" fillId="2" borderId="1" xfId="1" applyNumberFormat="1" applyFont="1" applyFill="1" applyBorder="1"/>
    <xf numFmtId="0" fontId="14" fillId="4" borderId="0" xfId="0" applyFont="1" applyFill="1"/>
    <xf numFmtId="0" fontId="0" fillId="4" borderId="0" xfId="0" applyFill="1"/>
    <xf numFmtId="164" fontId="12" fillId="0" borderId="0" xfId="1" applyNumberFormat="1" applyFont="1"/>
    <xf numFmtId="164" fontId="21" fillId="0" borderId="0" xfId="1" applyNumberFormat="1" applyFont="1"/>
    <xf numFmtId="0" fontId="0" fillId="2" borderId="0" xfId="0" applyFill="1"/>
    <xf numFmtId="0" fontId="7" fillId="3" borderId="0" xfId="0" applyFont="1" applyFill="1"/>
    <xf numFmtId="164" fontId="7" fillId="0" borderId="0" xfId="0" applyNumberFormat="1" applyFont="1"/>
    <xf numFmtId="43" fontId="7" fillId="0" borderId="0" xfId="1" applyFont="1"/>
    <xf numFmtId="0" fontId="0" fillId="10" borderId="0" xfId="0" applyFont="1" applyFill="1"/>
    <xf numFmtId="0" fontId="0" fillId="10" borderId="0" xfId="0" applyFill="1"/>
    <xf numFmtId="164" fontId="7" fillId="0" borderId="0" xfId="1" applyNumberFormat="1" applyFont="1"/>
    <xf numFmtId="0" fontId="2" fillId="0" borderId="0" xfId="0" applyFont="1"/>
    <xf numFmtId="0" fontId="2" fillId="0" borderId="1" xfId="0" applyFont="1" applyBorder="1"/>
    <xf numFmtId="43" fontId="2" fillId="2" borderId="1" xfId="1" applyFont="1" applyFill="1" applyBorder="1"/>
    <xf numFmtId="43" fontId="2" fillId="0" borderId="0" xfId="0" applyNumberFormat="1" applyFont="1"/>
    <xf numFmtId="0" fontId="2" fillId="0" borderId="5" xfId="0" applyFont="1" applyBorder="1"/>
    <xf numFmtId="43" fontId="2" fillId="7" borderId="5" xfId="1" applyFont="1" applyFill="1" applyBorder="1"/>
    <xf numFmtId="43" fontId="2" fillId="0" borderId="5" xfId="1" applyFont="1" applyFill="1" applyBorder="1"/>
    <xf numFmtId="43" fontId="2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2" fillId="5" borderId="5" xfId="1" applyFont="1" applyFill="1" applyBorder="1"/>
    <xf numFmtId="43" fontId="2" fillId="0" borderId="0" xfId="1" applyFont="1"/>
    <xf numFmtId="43" fontId="2" fillId="7" borderId="1" xfId="1" applyFont="1" applyFill="1" applyBorder="1"/>
    <xf numFmtId="164" fontId="2" fillId="0" borderId="0" xfId="1" applyNumberFormat="1" applyFont="1"/>
    <xf numFmtId="43" fontId="2" fillId="10" borderId="5" xfId="1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1" applyNumberFormat="1" applyFont="1" applyFill="1" applyBorder="1"/>
    <xf numFmtId="43" fontId="2" fillId="12" borderId="1" xfId="1" applyFont="1" applyFill="1" applyBorder="1"/>
    <xf numFmtId="43" fontId="2" fillId="10" borderId="1" xfId="1" applyFont="1" applyFill="1" applyBorder="1"/>
    <xf numFmtId="164" fontId="2" fillId="0" borderId="5" xfId="1" applyNumberFormat="1" applyFont="1" applyFill="1" applyBorder="1"/>
    <xf numFmtId="164" fontId="2" fillId="4" borderId="5" xfId="1" applyNumberFormat="1" applyFont="1" applyFill="1" applyBorder="1"/>
    <xf numFmtId="0" fontId="10" fillId="0" borderId="0" xfId="0" applyFont="1"/>
    <xf numFmtId="0" fontId="2" fillId="0" borderId="0" xfId="0" applyFont="1" applyAlignment="1"/>
    <xf numFmtId="43" fontId="10" fillId="0" borderId="0" xfId="1" applyFont="1"/>
    <xf numFmtId="0" fontId="2" fillId="9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64" fontId="2" fillId="0" borderId="0" xfId="0" applyNumberFormat="1" applyFont="1"/>
    <xf numFmtId="164" fontId="2" fillId="4" borderId="1" xfId="1" applyNumberFormat="1" applyFont="1" applyFill="1" applyBorder="1"/>
    <xf numFmtId="164" fontId="2" fillId="12" borderId="1" xfId="1" applyNumberFormat="1" applyFont="1" applyFill="1" applyBorder="1"/>
    <xf numFmtId="164" fontId="2" fillId="17" borderId="1" xfId="1" applyNumberFormat="1" applyFont="1" applyFill="1" applyBorder="1"/>
    <xf numFmtId="43" fontId="2" fillId="4" borderId="1" xfId="1" applyFont="1" applyFill="1" applyBorder="1"/>
    <xf numFmtId="43" fontId="2" fillId="17" borderId="1" xfId="1" applyFont="1" applyFill="1" applyBorder="1"/>
    <xf numFmtId="43" fontId="2" fillId="12" borderId="1" xfId="1" applyFont="1" applyFill="1" applyBorder="1" applyAlignment="1">
      <alignment horizontal="center"/>
    </xf>
    <xf numFmtId="43" fontId="2" fillId="7" borderId="5" xfId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2" fillId="0" borderId="11" xfId="0" applyFont="1" applyFill="1" applyBorder="1" applyAlignment="1">
      <alignment horizontal="center" wrapText="1"/>
    </xf>
    <xf numFmtId="164" fontId="2" fillId="2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Border="1"/>
    <xf numFmtId="0" fontId="2" fillId="0" borderId="12" xfId="0" applyFont="1" applyBorder="1"/>
    <xf numFmtId="164" fontId="2" fillId="0" borderId="12" xfId="1" applyNumberFormat="1" applyFont="1" applyBorder="1"/>
    <xf numFmtId="43" fontId="2" fillId="0" borderId="12" xfId="1" applyFont="1" applyBorder="1"/>
    <xf numFmtId="43" fontId="10" fillId="0" borderId="12" xfId="0" applyNumberFormat="1" applyFont="1" applyBorder="1"/>
    <xf numFmtId="0" fontId="2" fillId="0" borderId="15" xfId="0" applyFont="1" applyBorder="1"/>
    <xf numFmtId="164" fontId="2" fillId="0" borderId="15" xfId="1" applyNumberFormat="1" applyFont="1" applyBorder="1"/>
    <xf numFmtId="43" fontId="2" fillId="0" borderId="15" xfId="1" applyFont="1" applyBorder="1"/>
    <xf numFmtId="0" fontId="2" fillId="4" borderId="0" xfId="0" applyFont="1" applyFill="1" applyBorder="1"/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43" fontId="2" fillId="0" borderId="7" xfId="1" applyFont="1" applyBorder="1"/>
    <xf numFmtId="43" fontId="2" fillId="0" borderId="1" xfId="0" applyNumberFormat="1" applyFont="1" applyFill="1" applyBorder="1"/>
    <xf numFmtId="164" fontId="2" fillId="0" borderId="1" xfId="0" applyNumberFormat="1" applyFont="1" applyFill="1" applyBorder="1"/>
    <xf numFmtId="164" fontId="10" fillId="2" borderId="1" xfId="1" applyNumberFormat="1" applyFont="1" applyFill="1" applyBorder="1"/>
    <xf numFmtId="0" fontId="2" fillId="0" borderId="0" xfId="0" applyFont="1" applyFill="1" applyBorder="1"/>
    <xf numFmtId="0" fontId="2" fillId="0" borderId="12" xfId="0" applyFont="1" applyFill="1" applyBorder="1"/>
    <xf numFmtId="164" fontId="2" fillId="0" borderId="0" xfId="1" applyNumberFormat="1" applyFont="1" applyFill="1" applyBorder="1"/>
    <xf numFmtId="164" fontId="2" fillId="0" borderId="12" xfId="1" applyNumberFormat="1" applyFont="1" applyFill="1" applyBorder="1"/>
    <xf numFmtId="0" fontId="2" fillId="0" borderId="15" xfId="0" applyFont="1" applyFill="1" applyBorder="1"/>
    <xf numFmtId="164" fontId="2" fillId="0" borderId="15" xfId="1" applyNumberFormat="1" applyFont="1" applyFill="1" applyBorder="1"/>
    <xf numFmtId="164" fontId="15" fillId="0" borderId="0" xfId="1" applyNumberFormat="1" applyFont="1" applyFill="1" applyBorder="1" applyAlignment="1">
      <alignment horizontal="center"/>
    </xf>
    <xf numFmtId="164" fontId="15" fillId="0" borderId="0" xfId="1" applyNumberFormat="1" applyFont="1" applyFill="1" applyBorder="1"/>
    <xf numFmtId="164" fontId="15" fillId="0" borderId="12" xfId="1" applyNumberFormat="1" applyFont="1" applyFill="1" applyBorder="1" applyAlignment="1">
      <alignment horizontal="center"/>
    </xf>
    <xf numFmtId="43" fontId="15" fillId="0" borderId="0" xfId="1" applyFont="1" applyFill="1" applyBorder="1"/>
    <xf numFmtId="43" fontId="15" fillId="0" borderId="12" xfId="1" applyFont="1" applyFill="1" applyBorder="1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43" fontId="2" fillId="2" borderId="0" xfId="1" applyFont="1" applyFill="1" applyBorder="1"/>
    <xf numFmtId="43" fontId="2" fillId="0" borderId="0" xfId="0" applyNumberFormat="1" applyFont="1" applyBorder="1"/>
    <xf numFmtId="0" fontId="2" fillId="2" borderId="12" xfId="0" applyFont="1" applyFill="1" applyBorder="1" applyAlignment="1">
      <alignment horizontal="center"/>
    </xf>
    <xf numFmtId="43" fontId="2" fillId="2" borderId="12" xfId="1" applyFont="1" applyFill="1" applyBorder="1"/>
    <xf numFmtId="43" fontId="2" fillId="0" borderId="12" xfId="0" applyNumberFormat="1" applyFont="1" applyBorder="1"/>
    <xf numFmtId="0" fontId="2" fillId="2" borderId="15" xfId="0" applyFont="1" applyFill="1" applyBorder="1" applyAlignment="1">
      <alignment horizontal="center"/>
    </xf>
    <xf numFmtId="43" fontId="2" fillId="2" borderId="15" xfId="1" applyFont="1" applyFill="1" applyBorder="1"/>
    <xf numFmtId="43" fontId="2" fillId="0" borderId="15" xfId="0" applyNumberFormat="1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/>
    <xf numFmtId="164" fontId="2" fillId="0" borderId="0" xfId="1" applyNumberFormat="1" applyFont="1" applyBorder="1" applyAlignment="1">
      <alignment horizontal="center"/>
    </xf>
    <xf numFmtId="164" fontId="15" fillId="4" borderId="0" xfId="1" applyNumberFormat="1" applyFont="1" applyFill="1" applyBorder="1"/>
    <xf numFmtId="164" fontId="15" fillId="0" borderId="15" xfId="1" applyNumberFormat="1" applyFont="1" applyFill="1" applyBorder="1" applyAlignment="1">
      <alignment horizontal="center"/>
    </xf>
    <xf numFmtId="0" fontId="2" fillId="10" borderId="16" xfId="0" applyFont="1" applyFill="1" applyBorder="1" applyAlignment="1"/>
    <xf numFmtId="0" fontId="2" fillId="0" borderId="16" xfId="0" applyFont="1" applyFill="1" applyBorder="1"/>
    <xf numFmtId="164" fontId="2" fillId="0" borderId="16" xfId="1" applyNumberFormat="1" applyFont="1" applyBorder="1"/>
    <xf numFmtId="164" fontId="2" fillId="0" borderId="16" xfId="1" applyNumberFormat="1" applyFont="1" applyFill="1" applyBorder="1"/>
    <xf numFmtId="0" fontId="2" fillId="4" borderId="16" xfId="0" applyFont="1" applyFill="1" applyBorder="1"/>
    <xf numFmtId="43" fontId="10" fillId="0" borderId="16" xfId="1" applyFont="1" applyFill="1" applyBorder="1"/>
    <xf numFmtId="0" fontId="2" fillId="10" borderId="12" xfId="0" applyFont="1" applyFill="1" applyBorder="1"/>
    <xf numFmtId="164" fontId="2" fillId="11" borderId="0" xfId="0" applyNumberFormat="1" applyFont="1" applyFill="1"/>
    <xf numFmtId="164" fontId="2" fillId="10" borderId="0" xfId="1" applyNumberFormat="1" applyFont="1" applyFill="1"/>
    <xf numFmtId="14" fontId="4" fillId="0" borderId="0" xfId="0" applyNumberFormat="1" applyFont="1" applyAlignment="1"/>
    <xf numFmtId="0" fontId="10" fillId="0" borderId="0" xfId="0" applyFont="1" applyAlignment="1">
      <alignment wrapText="1"/>
    </xf>
    <xf numFmtId="0" fontId="4" fillId="0" borderId="0" xfId="0" applyFont="1" applyFill="1" applyAlignment="1"/>
    <xf numFmtId="14" fontId="4" fillId="0" borderId="0" xfId="0" applyNumberFormat="1" applyFont="1" applyFill="1" applyAlignment="1"/>
    <xf numFmtId="0" fontId="24" fillId="0" borderId="0" xfId="0" applyFont="1"/>
    <xf numFmtId="43" fontId="2" fillId="18" borderId="1" xfId="1" applyFont="1" applyFill="1" applyBorder="1"/>
    <xf numFmtId="43" fontId="2" fillId="18" borderId="5" xfId="1" applyFont="1" applyFill="1" applyBorder="1"/>
    <xf numFmtId="43" fontId="10" fillId="0" borderId="0" xfId="0" applyNumberFormat="1" applyFont="1" applyBorder="1"/>
    <xf numFmtId="43" fontId="4" fillId="0" borderId="12" xfId="1" applyFont="1" applyBorder="1"/>
    <xf numFmtId="43" fontId="5" fillId="0" borderId="12" xfId="1" applyFont="1" applyBorder="1"/>
    <xf numFmtId="0" fontId="4" fillId="0" borderId="12" xfId="0" applyFont="1" applyBorder="1" applyAlignment="1"/>
    <xf numFmtId="0" fontId="4" fillId="0" borderId="12" xfId="0" applyFont="1" applyBorder="1"/>
    <xf numFmtId="43" fontId="4" fillId="0" borderId="12" xfId="1" applyFont="1" applyBorder="1" applyAlignment="1"/>
    <xf numFmtId="0" fontId="4" fillId="0" borderId="12" xfId="0" applyFont="1" applyFill="1" applyBorder="1"/>
    <xf numFmtId="0" fontId="2" fillId="0" borderId="9" xfId="0" applyFont="1" applyFill="1" applyBorder="1" applyAlignment="1">
      <alignment horizontal="center" wrapText="1"/>
    </xf>
    <xf numFmtId="0" fontId="2" fillId="8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Alignment="1"/>
    <xf numFmtId="0" fontId="7" fillId="3" borderId="0" xfId="0" applyFont="1" applyFill="1" applyAlignment="1">
      <alignment horizontal="left"/>
    </xf>
    <xf numFmtId="0" fontId="11" fillId="3" borderId="0" xfId="0" applyFont="1" applyFill="1" applyAlignment="1"/>
    <xf numFmtId="0" fontId="2" fillId="0" borderId="9" xfId="0" applyFont="1" applyFill="1" applyBorder="1" applyAlignment="1">
      <alignment wrapText="1"/>
    </xf>
    <xf numFmtId="43" fontId="4" fillId="0" borderId="16" xfId="1" applyFont="1" applyBorder="1"/>
    <xf numFmtId="43" fontId="5" fillId="0" borderId="12" xfId="0" applyNumberFormat="1" applyFont="1" applyBorder="1"/>
    <xf numFmtId="43" fontId="5" fillId="0" borderId="16" xfId="1" applyFont="1" applyBorder="1"/>
    <xf numFmtId="0" fontId="4" fillId="0" borderId="16" xfId="0" applyFont="1" applyFill="1" applyBorder="1"/>
    <xf numFmtId="43" fontId="17" fillId="0" borderId="12" xfId="1" applyFont="1" applyBorder="1"/>
    <xf numFmtId="43" fontId="4" fillId="0" borderId="0" xfId="1" applyFont="1" applyBorder="1" applyAlignment="1"/>
    <xf numFmtId="0" fontId="4" fillId="0" borderId="0" xfId="0" applyFont="1" applyBorder="1"/>
    <xf numFmtId="43" fontId="4" fillId="0" borderId="0" xfId="1" applyFont="1" applyBorder="1"/>
    <xf numFmtId="43" fontId="17" fillId="0" borderId="0" xfId="1" applyFont="1" applyBorder="1" applyAlignment="1"/>
    <xf numFmtId="0" fontId="2" fillId="8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2" fillId="5" borderId="5" xfId="1" applyNumberFormat="1" applyFont="1" applyFill="1" applyBorder="1"/>
    <xf numFmtId="0" fontId="25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center" wrapText="1"/>
    </xf>
    <xf numFmtId="0" fontId="2" fillId="6" borderId="0" xfId="0" applyFont="1" applyFill="1"/>
    <xf numFmtId="0" fontId="15" fillId="0" borderId="0" xfId="0" applyFont="1"/>
    <xf numFmtId="0" fontId="26" fillId="0" borderId="0" xfId="0" applyFont="1"/>
    <xf numFmtId="0" fontId="2" fillId="3" borderId="0" xfId="0" applyFont="1" applyFill="1" applyBorder="1"/>
    <xf numFmtId="0" fontId="15" fillId="0" borderId="12" xfId="0" applyFont="1" applyBorder="1"/>
    <xf numFmtId="164" fontId="15" fillId="0" borderId="12" xfId="1" applyNumberFormat="1" applyFont="1" applyBorder="1"/>
    <xf numFmtId="43" fontId="10" fillId="0" borderId="12" xfId="1" applyFont="1" applyBorder="1"/>
    <xf numFmtId="0" fontId="15" fillId="0" borderId="16" xfId="0" applyFont="1" applyBorder="1"/>
    <xf numFmtId="0" fontId="15" fillId="6" borderId="16" xfId="0" applyFont="1" applyFill="1" applyBorder="1"/>
    <xf numFmtId="164" fontId="15" fillId="0" borderId="16" xfId="1" applyNumberFormat="1" applyFont="1" applyBorder="1"/>
    <xf numFmtId="43" fontId="10" fillId="0" borderId="16" xfId="1" applyFont="1" applyBorder="1"/>
    <xf numFmtId="164" fontId="15" fillId="0" borderId="0" xfId="1" applyNumberFormat="1" applyFont="1"/>
    <xf numFmtId="0" fontId="15" fillId="6" borderId="12" xfId="0" applyFont="1" applyFill="1" applyBorder="1"/>
    <xf numFmtId="43" fontId="15" fillId="0" borderId="12" xfId="1" applyFont="1" applyBorder="1"/>
    <xf numFmtId="0" fontId="15" fillId="0" borderId="0" xfId="0" applyFont="1" applyBorder="1"/>
    <xf numFmtId="0" fontId="15" fillId="6" borderId="0" xfId="0" applyFont="1" applyFill="1" applyBorder="1"/>
    <xf numFmtId="164" fontId="15" fillId="0" borderId="0" xfId="1" applyNumberFormat="1" applyFont="1" applyBorder="1"/>
    <xf numFmtId="43" fontId="15" fillId="0" borderId="0" xfId="1" applyFont="1" applyBorder="1"/>
    <xf numFmtId="0" fontId="15" fillId="0" borderId="12" xfId="0" applyFont="1" applyFill="1" applyBorder="1"/>
    <xf numFmtId="164" fontId="15" fillId="0" borderId="12" xfId="1" applyNumberFormat="1" applyFont="1" applyFill="1" applyBorder="1"/>
    <xf numFmtId="0" fontId="2" fillId="4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4" fillId="0" borderId="16" xfId="0" applyFont="1" applyFill="1" applyBorder="1" applyAlignment="1"/>
    <xf numFmtId="0" fontId="27" fillId="0" borderId="7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 wrapText="1"/>
    </xf>
    <xf numFmtId="0" fontId="27" fillId="4" borderId="7" xfId="0" applyFont="1" applyFill="1" applyBorder="1" applyAlignment="1">
      <alignment horizontal="center" wrapText="1"/>
    </xf>
    <xf numFmtId="0" fontId="27" fillId="8" borderId="7" xfId="0" applyFont="1" applyFill="1" applyBorder="1" applyAlignment="1">
      <alignment horizontal="center" wrapText="1"/>
    </xf>
    <xf numFmtId="0" fontId="27" fillId="0" borderId="11" xfId="0" applyFont="1" applyFill="1" applyBorder="1" applyAlignment="1">
      <alignment horizontal="center" wrapText="1"/>
    </xf>
    <xf numFmtId="0" fontId="28" fillId="0" borderId="11" xfId="0" applyFont="1" applyFill="1" applyBorder="1" applyAlignment="1">
      <alignment horizontal="center" wrapText="1"/>
    </xf>
    <xf numFmtId="0" fontId="27" fillId="0" borderId="0" xfId="0" applyFont="1"/>
    <xf numFmtId="164" fontId="27" fillId="0" borderId="0" xfId="0" applyNumberFormat="1" applyFont="1"/>
    <xf numFmtId="0" fontId="27" fillId="0" borderId="5" xfId="0" applyFont="1" applyBorder="1"/>
    <xf numFmtId="43" fontId="27" fillId="0" borderId="5" xfId="1" applyFont="1" applyFill="1" applyBorder="1"/>
    <xf numFmtId="43" fontId="27" fillId="10" borderId="5" xfId="1" applyFont="1" applyFill="1" applyBorder="1"/>
    <xf numFmtId="164" fontId="27" fillId="0" borderId="0" xfId="1" applyNumberFormat="1" applyFont="1"/>
    <xf numFmtId="164" fontId="29" fillId="0" borderId="0" xfId="0" applyNumberFormat="1" applyFont="1"/>
    <xf numFmtId="0" fontId="27" fillId="0" borderId="1" xfId="0" applyFont="1" applyBorder="1"/>
    <xf numFmtId="43" fontId="27" fillId="0" borderId="1" xfId="1" applyFont="1" applyFill="1" applyBorder="1"/>
    <xf numFmtId="14" fontId="30" fillId="0" borderId="0" xfId="0" applyNumberFormat="1" applyFont="1"/>
    <xf numFmtId="43" fontId="27" fillId="2" borderId="1" xfId="1" applyFont="1" applyFill="1" applyBorder="1"/>
    <xf numFmtId="0" fontId="29" fillId="0" borderId="0" xfId="0" applyFont="1"/>
    <xf numFmtId="43" fontId="27" fillId="0" borderId="0" xfId="1" applyFont="1"/>
    <xf numFmtId="0" fontId="31" fillId="0" borderId="0" xfId="0" applyFont="1" applyAlignment="1">
      <alignment horizontal="center"/>
    </xf>
    <xf numFmtId="164" fontId="4" fillId="4" borderId="0" xfId="0" applyNumberFormat="1" applyFont="1" applyFill="1"/>
    <xf numFmtId="0" fontId="4" fillId="0" borderId="1" xfId="0" applyFont="1" applyFill="1" applyBorder="1"/>
    <xf numFmtId="0" fontId="4" fillId="0" borderId="0" xfId="0" applyFont="1" applyFill="1" applyBorder="1"/>
    <xf numFmtId="43" fontId="5" fillId="0" borderId="0" xfId="1" applyFont="1" applyFill="1" applyBorder="1"/>
    <xf numFmtId="43" fontId="5" fillId="0" borderId="0" xfId="1" applyFont="1" applyBorder="1"/>
    <xf numFmtId="0" fontId="4" fillId="0" borderId="0" xfId="0" applyFont="1" applyBorder="1" applyAlignment="1"/>
    <xf numFmtId="43" fontId="5" fillId="0" borderId="0" xfId="0" applyNumberFormat="1" applyFont="1" applyBorder="1" applyAlignment="1"/>
    <xf numFmtId="43" fontId="5" fillId="0" borderId="0" xfId="1" applyFont="1" applyBorder="1" applyAlignment="1"/>
    <xf numFmtId="43" fontId="5" fillId="0" borderId="0" xfId="0" applyNumberFormat="1" applyFont="1" applyBorder="1"/>
    <xf numFmtId="0" fontId="5" fillId="0" borderId="0" xfId="0" applyFont="1" applyBorder="1"/>
    <xf numFmtId="0" fontId="5" fillId="0" borderId="12" xfId="0" applyFont="1" applyBorder="1"/>
    <xf numFmtId="0" fontId="15" fillId="0" borderId="0" xfId="0" applyFont="1" applyFill="1" applyBorder="1"/>
    <xf numFmtId="43" fontId="10" fillId="0" borderId="0" xfId="1" applyFont="1" applyBorder="1"/>
    <xf numFmtId="0" fontId="15" fillId="0" borderId="15" xfId="0" applyFont="1" applyFill="1" applyBorder="1"/>
    <xf numFmtId="164" fontId="15" fillId="0" borderId="15" xfId="1" applyNumberFormat="1" applyFont="1" applyFill="1" applyBorder="1"/>
    <xf numFmtId="43" fontId="9" fillId="0" borderId="15" xfId="1" applyFont="1" applyBorder="1"/>
    <xf numFmtId="0" fontId="15" fillId="0" borderId="15" xfId="0" applyFont="1" applyBorder="1"/>
    <xf numFmtId="164" fontId="4" fillId="0" borderId="5" xfId="1" applyNumberFormat="1" applyFont="1" applyBorder="1"/>
    <xf numFmtId="164" fontId="4" fillId="18" borderId="0" xfId="0" applyNumberFormat="1" applyFont="1" applyFill="1"/>
    <xf numFmtId="43" fontId="4" fillId="18" borderId="0" xfId="0" applyNumberFormat="1" applyFont="1" applyFill="1"/>
    <xf numFmtId="0" fontId="4" fillId="18" borderId="0" xfId="0" applyFont="1" applyFill="1"/>
    <xf numFmtId="164" fontId="27" fillId="0" borderId="5" xfId="1" applyNumberFormat="1" applyFont="1" applyFill="1" applyBorder="1"/>
    <xf numFmtId="164" fontId="27" fillId="0" borderId="1" xfId="1" applyNumberFormat="1" applyFont="1" applyFill="1" applyBorder="1"/>
    <xf numFmtId="0" fontId="11" fillId="18" borderId="0" xfId="0" applyFont="1" applyFill="1" applyAlignment="1"/>
    <xf numFmtId="0" fontId="7" fillId="18" borderId="0" xfId="0" applyFont="1" applyFill="1"/>
    <xf numFmtId="0" fontId="0" fillId="18" borderId="0" xfId="0" applyFont="1" applyFill="1"/>
    <xf numFmtId="164" fontId="22" fillId="0" borderId="0" xfId="1" applyNumberFormat="1" applyFont="1" applyAlignment="1">
      <alignment horizontal="center"/>
    </xf>
    <xf numFmtId="164" fontId="0" fillId="5" borderId="5" xfId="1" applyNumberFormat="1" applyFont="1" applyFill="1" applyBorder="1"/>
    <xf numFmtId="0" fontId="2" fillId="0" borderId="5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wrapText="1"/>
    </xf>
    <xf numFmtId="0" fontId="2" fillId="19" borderId="9" xfId="0" applyFont="1" applyFill="1" applyBorder="1" applyAlignment="1">
      <alignment wrapText="1"/>
    </xf>
    <xf numFmtId="43" fontId="2" fillId="19" borderId="5" xfId="1" applyFont="1" applyFill="1" applyBorder="1"/>
    <xf numFmtId="43" fontId="2" fillId="19" borderId="1" xfId="1" applyFont="1" applyFill="1" applyBorder="1"/>
    <xf numFmtId="43" fontId="3" fillId="19" borderId="1" xfId="1" applyFont="1" applyFill="1" applyBorder="1"/>
    <xf numFmtId="0" fontId="0" fillId="19" borderId="0" xfId="0" applyFill="1"/>
    <xf numFmtId="0" fontId="11" fillId="19" borderId="0" xfId="0" applyFont="1" applyFill="1" applyAlignment="1"/>
    <xf numFmtId="164" fontId="3" fillId="0" borderId="1" xfId="1" applyNumberFormat="1" applyFont="1" applyFill="1" applyBorder="1"/>
    <xf numFmtId="0" fontId="3" fillId="0" borderId="0" xfId="0" applyFont="1"/>
    <xf numFmtId="164" fontId="3" fillId="0" borderId="0" xfId="0" applyNumberFormat="1" applyFont="1"/>
    <xf numFmtId="43" fontId="27" fillId="10" borderId="1" xfId="1" applyFont="1" applyFill="1" applyBorder="1"/>
    <xf numFmtId="0" fontId="4" fillId="0" borderId="0" xfId="0" applyFont="1" applyAlignment="1">
      <alignment horizontal="center"/>
    </xf>
    <xf numFmtId="0" fontId="4" fillId="3" borderId="16" xfId="0" applyFont="1" applyFill="1" applyBorder="1"/>
    <xf numFmtId="0" fontId="4" fillId="3" borderId="16" xfId="0" applyFont="1" applyFill="1" applyBorder="1" applyAlignment="1">
      <alignment horizontal="center"/>
    </xf>
    <xf numFmtId="0" fontId="4" fillId="0" borderId="16" xfId="0" applyFont="1" applyBorder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32" fillId="0" borderId="0" xfId="0" applyFont="1"/>
    <xf numFmtId="43" fontId="4" fillId="0" borderId="12" xfId="0" applyNumberFormat="1" applyFont="1" applyBorder="1"/>
    <xf numFmtId="43" fontId="4" fillId="0" borderId="12" xfId="1" applyFont="1" applyFill="1" applyBorder="1"/>
    <xf numFmtId="43" fontId="5" fillId="0" borderId="12" xfId="1" applyFont="1" applyFill="1" applyBorder="1"/>
    <xf numFmtId="14" fontId="4" fillId="0" borderId="16" xfId="0" applyNumberFormat="1" applyFont="1" applyFill="1" applyBorder="1"/>
    <xf numFmtId="43" fontId="5" fillId="0" borderId="16" xfId="1" applyFont="1" applyFill="1" applyBorder="1" applyAlignment="1"/>
    <xf numFmtId="164" fontId="2" fillId="4" borderId="0" xfId="1" applyNumberFormat="1" applyFont="1" applyFill="1"/>
    <xf numFmtId="9" fontId="4" fillId="0" borderId="0" xfId="0" applyNumberFormat="1" applyFont="1"/>
    <xf numFmtId="43" fontId="4" fillId="0" borderId="0" xfId="1" applyFont="1" applyFill="1" applyBorder="1"/>
    <xf numFmtId="0" fontId="4" fillId="12" borderId="0" xfId="0" applyFont="1" applyFill="1"/>
    <xf numFmtId="0" fontId="18" fillId="0" borderId="0" xfId="0" applyFont="1"/>
    <xf numFmtId="9" fontId="32" fillId="0" borderId="0" xfId="0" applyNumberFormat="1" applyFont="1"/>
    <xf numFmtId="9" fontId="4" fillId="0" borderId="0" xfId="0" applyNumberFormat="1" applyFont="1" applyFill="1"/>
    <xf numFmtId="43" fontId="4" fillId="4" borderId="0" xfId="1" applyFont="1" applyFill="1"/>
    <xf numFmtId="0" fontId="18" fillId="0" borderId="0" xfId="0" applyFont="1" applyAlignment="1">
      <alignment horizontal="right"/>
    </xf>
    <xf numFmtId="43" fontId="8" fillId="18" borderId="1" xfId="1" applyFont="1" applyFill="1" applyBorder="1"/>
    <xf numFmtId="0" fontId="2" fillId="0" borderId="1" xfId="0" applyFont="1" applyFill="1" applyBorder="1"/>
    <xf numFmtId="43" fontId="2" fillId="0" borderId="12" xfId="1" applyFont="1" applyFill="1" applyBorder="1"/>
    <xf numFmtId="43" fontId="10" fillId="0" borderId="12" xfId="1" applyFont="1" applyFill="1" applyBorder="1"/>
    <xf numFmtId="43" fontId="10" fillId="0" borderId="0" xfId="1" applyFont="1" applyFill="1" applyBorder="1"/>
    <xf numFmtId="0" fontId="2" fillId="3" borderId="16" xfId="0" applyFont="1" applyFill="1" applyBorder="1"/>
    <xf numFmtId="43" fontId="2" fillId="0" borderId="16" xfId="1" applyFont="1" applyBorder="1"/>
    <xf numFmtId="43" fontId="15" fillId="0" borderId="16" xfId="1" applyFont="1" applyBorder="1"/>
    <xf numFmtId="43" fontId="10" fillId="11" borderId="0" xfId="1" applyFont="1" applyFill="1"/>
    <xf numFmtId="0" fontId="16" fillId="4" borderId="0" xfId="0" applyFont="1" applyFill="1"/>
    <xf numFmtId="0" fontId="16" fillId="0" borderId="0" xfId="0" applyFont="1" applyFill="1"/>
    <xf numFmtId="0" fontId="9" fillId="0" borderId="0" xfId="0" applyFont="1" applyFill="1"/>
    <xf numFmtId="9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166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22" fillId="0" borderId="0" xfId="0" applyFont="1" applyAlignment="1">
      <alignment horizontal="right"/>
    </xf>
    <xf numFmtId="164" fontId="8" fillId="3" borderId="1" xfId="1" applyNumberFormat="1" applyFont="1" applyFill="1" applyBorder="1"/>
    <xf numFmtId="164" fontId="8" fillId="0" borderId="1" xfId="1" applyNumberFormat="1" applyFont="1" applyFill="1" applyBorder="1"/>
    <xf numFmtId="0" fontId="2" fillId="0" borderId="0" xfId="0" applyFont="1" applyAlignment="1">
      <alignment horizontal="center"/>
    </xf>
    <xf numFmtId="164" fontId="2" fillId="8" borderId="0" xfId="1" applyNumberFormat="1" applyFont="1" applyFill="1"/>
    <xf numFmtId="0" fontId="2" fillId="0" borderId="9" xfId="0" applyFont="1" applyBorder="1"/>
    <xf numFmtId="164" fontId="4" fillId="8" borderId="0" xfId="0" applyNumberFormat="1" applyFont="1" applyFill="1"/>
    <xf numFmtId="164" fontId="4" fillId="8" borderId="0" xfId="1" applyNumberFormat="1" applyFont="1" applyFill="1"/>
    <xf numFmtId="0" fontId="10" fillId="0" borderId="0" xfId="0" applyFont="1" applyFill="1"/>
    <xf numFmtId="164" fontId="15" fillId="0" borderId="5" xfId="1" applyNumberFormat="1" applyFont="1" applyBorder="1"/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3" fontId="15" fillId="0" borderId="15" xfId="0" applyNumberFormat="1" applyFont="1" applyBorder="1"/>
    <xf numFmtId="43" fontId="15" fillId="0" borderId="12" xfId="0" applyNumberFormat="1" applyFont="1" applyBorder="1"/>
    <xf numFmtId="164" fontId="2" fillId="10" borderId="5" xfId="1" applyNumberFormat="1" applyFont="1" applyFill="1" applyBorder="1"/>
    <xf numFmtId="0" fontId="4" fillId="3" borderId="16" xfId="0" applyFont="1" applyFill="1" applyBorder="1" applyAlignment="1"/>
    <xf numFmtId="0" fontId="4" fillId="4" borderId="16" xfId="0" applyFont="1" applyFill="1" applyBorder="1" applyAlignment="1"/>
    <xf numFmtId="43" fontId="4" fillId="0" borderId="16" xfId="1" applyFont="1" applyBorder="1" applyAlignment="1"/>
    <xf numFmtId="43" fontId="0" fillId="11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7" fillId="10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14" fontId="14" fillId="0" borderId="0" xfId="0" applyNumberFormat="1" applyFont="1"/>
    <xf numFmtId="0" fontId="0" fillId="0" borderId="0" xfId="0" applyFont="1" applyAlignment="1">
      <alignment horizontal="right"/>
    </xf>
    <xf numFmtId="0" fontId="5" fillId="0" borderId="0" xfId="0" applyFont="1" applyFill="1" applyAlignment="1"/>
    <xf numFmtId="0" fontId="27" fillId="0" borderId="7" xfId="0" applyFont="1" applyFill="1" applyBorder="1" applyAlignment="1">
      <alignment horizontal="center" wrapText="1"/>
    </xf>
    <xf numFmtId="0" fontId="27" fillId="8" borderId="10" xfId="0" applyFont="1" applyFill="1" applyBorder="1" applyAlignment="1">
      <alignment horizontal="center" wrapText="1"/>
    </xf>
    <xf numFmtId="0" fontId="27" fillId="3" borderId="10" xfId="0" applyFont="1" applyFill="1" applyBorder="1" applyAlignment="1">
      <alignment horizontal="center" wrapText="1"/>
    </xf>
    <xf numFmtId="0" fontId="27" fillId="0" borderId="7" xfId="0" applyFont="1" applyBorder="1"/>
    <xf numFmtId="0" fontId="2" fillId="10" borderId="0" xfId="0" applyFont="1" applyFill="1"/>
    <xf numFmtId="0" fontId="4" fillId="10" borderId="0" xfId="0" applyFont="1" applyFill="1"/>
    <xf numFmtId="0" fontId="27" fillId="3" borderId="0" xfId="0" applyFont="1" applyFill="1"/>
    <xf numFmtId="43" fontId="27" fillId="3" borderId="0" xfId="1" applyFont="1" applyFill="1"/>
    <xf numFmtId="0" fontId="27" fillId="4" borderId="0" xfId="0" applyFont="1" applyFill="1"/>
    <xf numFmtId="43" fontId="27" fillId="10" borderId="0" xfId="1" applyFont="1" applyFill="1"/>
    <xf numFmtId="0" fontId="4" fillId="4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2" fillId="1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164" fontId="27" fillId="0" borderId="0" xfId="1" applyNumberFormat="1" applyFont="1" applyFill="1"/>
    <xf numFmtId="43" fontId="27" fillId="0" borderId="0" xfId="1" applyFont="1" applyFill="1"/>
    <xf numFmtId="0" fontId="27" fillId="10" borderId="0" xfId="0" applyFont="1" applyFill="1"/>
    <xf numFmtId="0" fontId="27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8" borderId="0" xfId="0" applyFont="1" applyFill="1" applyAlignment="1">
      <alignment horizontal="center"/>
    </xf>
    <xf numFmtId="0" fontId="27" fillId="3" borderId="12" xfId="0" applyFont="1" applyFill="1" applyBorder="1"/>
    <xf numFmtId="164" fontId="27" fillId="3" borderId="12" xfId="1" applyNumberFormat="1" applyFont="1" applyFill="1" applyBorder="1"/>
    <xf numFmtId="43" fontId="27" fillId="3" borderId="12" xfId="1" applyFont="1" applyFill="1" applyBorder="1"/>
    <xf numFmtId="0" fontId="27" fillId="3" borderId="12" xfId="0" applyFont="1" applyFill="1" applyBorder="1" applyAlignment="1">
      <alignment horizontal="center"/>
    </xf>
    <xf numFmtId="43" fontId="27" fillId="0" borderId="12" xfId="1" applyFont="1" applyBorder="1"/>
    <xf numFmtId="43" fontId="27" fillId="12" borderId="12" xfId="1" applyFont="1" applyFill="1" applyBorder="1"/>
    <xf numFmtId="0" fontId="27" fillId="10" borderId="12" xfId="0" applyFont="1" applyFill="1" applyBorder="1"/>
    <xf numFmtId="164" fontId="27" fillId="10" borderId="12" xfId="1" applyNumberFormat="1" applyFont="1" applyFill="1" applyBorder="1"/>
    <xf numFmtId="0" fontId="27" fillId="10" borderId="12" xfId="0" applyFont="1" applyFill="1" applyBorder="1" applyAlignment="1">
      <alignment horizontal="center"/>
    </xf>
    <xf numFmtId="43" fontId="27" fillId="10" borderId="12" xfId="1" applyFont="1" applyFill="1" applyBorder="1"/>
    <xf numFmtId="0" fontId="27" fillId="12" borderId="12" xfId="0" applyFont="1" applyFill="1" applyBorder="1"/>
    <xf numFmtId="0" fontId="2" fillId="3" borderId="12" xfId="0" applyFont="1" applyFill="1" applyBorder="1"/>
    <xf numFmtId="164" fontId="2" fillId="3" borderId="12" xfId="1" applyNumberFormat="1" applyFont="1" applyFill="1" applyBorder="1"/>
    <xf numFmtId="43" fontId="2" fillId="3" borderId="12" xfId="1" applyFont="1" applyFill="1" applyBorder="1"/>
    <xf numFmtId="43" fontId="2" fillId="12" borderId="12" xfId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8" borderId="2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43" fontId="2" fillId="10" borderId="0" xfId="1" applyFont="1" applyFill="1"/>
    <xf numFmtId="164" fontId="2" fillId="10" borderId="12" xfId="1" applyNumberFormat="1" applyFont="1" applyFill="1" applyBorder="1"/>
    <xf numFmtId="43" fontId="2" fillId="10" borderId="12" xfId="1" applyFont="1" applyFill="1" applyBorder="1"/>
    <xf numFmtId="0" fontId="2" fillId="12" borderId="12" xfId="0" applyFont="1" applyFill="1" applyBorder="1"/>
    <xf numFmtId="43" fontId="2" fillId="0" borderId="0" xfId="1" applyFont="1" applyFill="1" applyAlignment="1">
      <alignment horizontal="center"/>
    </xf>
    <xf numFmtId="43" fontId="2" fillId="4" borderId="0" xfId="1" applyFont="1" applyFill="1"/>
    <xf numFmtId="43" fontId="2" fillId="8" borderId="0" xfId="1" applyFont="1" applyFill="1"/>
    <xf numFmtId="43" fontId="27" fillId="4" borderId="0" xfId="1" applyFont="1" applyFill="1"/>
    <xf numFmtId="0" fontId="2" fillId="4" borderId="12" xfId="0" applyFont="1" applyFill="1" applyBorder="1"/>
    <xf numFmtId="0" fontId="2" fillId="3" borderId="0" xfId="0" applyFont="1" applyFill="1" applyBorder="1" applyAlignment="1"/>
    <xf numFmtId="0" fontId="2" fillId="3" borderId="12" xfId="0" applyFont="1" applyFill="1" applyBorder="1" applyAlignment="1"/>
    <xf numFmtId="0" fontId="2" fillId="4" borderId="15" xfId="0" applyFont="1" applyFill="1" applyBorder="1" applyAlignment="1"/>
    <xf numFmtId="0" fontId="2" fillId="4" borderId="0" xfId="0" applyFont="1" applyFill="1" applyBorder="1" applyAlignment="1"/>
    <xf numFmtId="0" fontId="2" fillId="4" borderId="12" xfId="0" applyFont="1" applyFill="1" applyBorder="1" applyAlignment="1"/>
    <xf numFmtId="43" fontId="8" fillId="2" borderId="5" xfId="1" applyFont="1" applyFill="1" applyBorder="1"/>
    <xf numFmtId="43" fontId="8" fillId="0" borderId="5" xfId="1" applyFont="1" applyFill="1" applyBorder="1" applyAlignment="1">
      <alignment horizontal="center"/>
    </xf>
    <xf numFmtId="43" fontId="2" fillId="3" borderId="0" xfId="1" applyFont="1" applyFill="1"/>
    <xf numFmtId="0" fontId="4" fillId="0" borderId="1" xfId="0" applyFont="1" applyFill="1" applyBorder="1" applyAlignment="1">
      <alignment horizontal="center"/>
    </xf>
    <xf numFmtId="43" fontId="2" fillId="4" borderId="12" xfId="1" applyFont="1" applyFill="1" applyBorder="1"/>
    <xf numFmtId="0" fontId="0" fillId="3" borderId="1" xfId="0" applyFont="1" applyFill="1" applyBorder="1" applyAlignment="1">
      <alignment horizontal="center" wrapText="1"/>
    </xf>
    <xf numFmtId="0" fontId="27" fillId="0" borderId="0" xfId="0" applyFont="1" applyBorder="1"/>
    <xf numFmtId="164" fontId="33" fillId="0" borderId="0" xfId="1" applyNumberFormat="1" applyFont="1" applyBorder="1"/>
    <xf numFmtId="164" fontId="27" fillId="0" borderId="0" xfId="1" applyNumberFormat="1" applyFont="1" applyBorder="1"/>
    <xf numFmtId="43" fontId="29" fillId="0" borderId="0" xfId="1" applyFont="1" applyBorder="1"/>
    <xf numFmtId="164" fontId="27" fillId="0" borderId="0" xfId="1" applyNumberFormat="1" applyFont="1" applyFill="1" applyBorder="1"/>
    <xf numFmtId="0" fontId="27" fillId="0" borderId="12" xfId="0" applyFont="1" applyBorder="1"/>
    <xf numFmtId="164" fontId="27" fillId="0" borderId="12" xfId="1" applyNumberFormat="1" applyFont="1" applyFill="1" applyBorder="1"/>
    <xf numFmtId="164" fontId="31" fillId="0" borderId="12" xfId="1" applyNumberFormat="1" applyFont="1" applyBorder="1"/>
    <xf numFmtId="43" fontId="29" fillId="0" borderId="12" xfId="1" applyFont="1" applyBorder="1"/>
    <xf numFmtId="0" fontId="29" fillId="0" borderId="0" xfId="0" applyFont="1" applyBorder="1"/>
    <xf numFmtId="164" fontId="27" fillId="0" borderId="12" xfId="1" applyNumberFormat="1" applyFont="1" applyBorder="1"/>
    <xf numFmtId="0" fontId="4" fillId="18" borderId="0" xfId="0" applyFont="1" applyFill="1" applyAlignment="1">
      <alignment horizontal="center"/>
    </xf>
    <xf numFmtId="43" fontId="27" fillId="12" borderId="5" xfId="1" applyFont="1" applyFill="1" applyBorder="1"/>
    <xf numFmtId="43" fontId="27" fillId="0" borderId="0" xfId="0" applyNumberFormat="1" applyFont="1"/>
    <xf numFmtId="164" fontId="26" fillId="0" borderId="0" xfId="1" applyNumberFormat="1" applyFont="1"/>
    <xf numFmtId="0" fontId="0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29" fillId="0" borderId="0" xfId="0" applyFont="1" applyFill="1" applyAlignment="1"/>
    <xf numFmtId="9" fontId="27" fillId="0" borderId="0" xfId="0" applyNumberFormat="1" applyFont="1"/>
    <xf numFmtId="0" fontId="2" fillId="10" borderId="15" xfId="0" applyFont="1" applyFill="1" applyBorder="1" applyAlignment="1"/>
    <xf numFmtId="0" fontId="2" fillId="10" borderId="12" xfId="0" applyFont="1" applyFill="1" applyBorder="1" applyAlignment="1"/>
    <xf numFmtId="0" fontId="2" fillId="3" borderId="15" xfId="0" applyFont="1" applyFill="1" applyBorder="1" applyAlignment="1"/>
    <xf numFmtId="164" fontId="2" fillId="4" borderId="0" xfId="1" applyNumberFormat="1" applyFont="1" applyFill="1" applyAlignment="1"/>
    <xf numFmtId="43" fontId="15" fillId="4" borderId="0" xfId="1" applyFont="1" applyFill="1" applyBorder="1"/>
    <xf numFmtId="0" fontId="5" fillId="4" borderId="0" xfId="0" applyFont="1" applyFill="1"/>
    <xf numFmtId="0" fontId="2" fillId="0" borderId="12" xfId="0" applyFont="1" applyBorder="1" applyAlignment="1"/>
    <xf numFmtId="164" fontId="15" fillId="0" borderId="14" xfId="1" applyNumberFormat="1" applyFont="1" applyFill="1" applyBorder="1"/>
    <xf numFmtId="43" fontId="15" fillId="0" borderId="14" xfId="1" applyFont="1" applyBorder="1"/>
    <xf numFmtId="43" fontId="2" fillId="0" borderId="14" xfId="1" applyFont="1" applyBorder="1"/>
    <xf numFmtId="43" fontId="10" fillId="0" borderId="14" xfId="1" applyFont="1" applyBorder="1"/>
    <xf numFmtId="164" fontId="2" fillId="0" borderId="14" xfId="1" applyNumberFormat="1" applyFont="1" applyFill="1" applyBorder="1"/>
    <xf numFmtId="164" fontId="2" fillId="0" borderId="14" xfId="1" applyNumberFormat="1" applyFont="1" applyBorder="1"/>
    <xf numFmtId="43" fontId="2" fillId="0" borderId="20" xfId="1" applyFont="1" applyBorder="1"/>
    <xf numFmtId="43" fontId="15" fillId="0" borderId="20" xfId="1" applyFont="1" applyBorder="1"/>
    <xf numFmtId="43" fontId="10" fillId="0" borderId="20" xfId="1" applyFont="1" applyBorder="1"/>
    <xf numFmtId="164" fontId="2" fillId="0" borderId="6" xfId="1" applyNumberFormat="1" applyFont="1" applyFill="1" applyBorder="1"/>
    <xf numFmtId="43" fontId="2" fillId="0" borderId="6" xfId="1" applyFont="1" applyFill="1" applyBorder="1"/>
    <xf numFmtId="43" fontId="10" fillId="0" borderId="6" xfId="1" applyFont="1" applyBorder="1"/>
    <xf numFmtId="9" fontId="2" fillId="0" borderId="0" xfId="0" applyNumberFormat="1" applyFont="1"/>
    <xf numFmtId="0" fontId="2" fillId="0" borderId="0" xfId="0" applyFont="1" applyAlignment="1">
      <alignment horizontal="center"/>
    </xf>
    <xf numFmtId="164" fontId="8" fillId="0" borderId="0" xfId="1" applyNumberFormat="1" applyFont="1"/>
    <xf numFmtId="0" fontId="22" fillId="0" borderId="0" xfId="0" applyFont="1"/>
    <xf numFmtId="9" fontId="2" fillId="0" borderId="0" xfId="0" applyNumberFormat="1" applyFont="1" applyAlignment="1">
      <alignment horizontal="left"/>
    </xf>
    <xf numFmtId="164" fontId="10" fillId="0" borderId="0" xfId="1" applyNumberFormat="1" applyFont="1"/>
    <xf numFmtId="0" fontId="13" fillId="0" borderId="1" xfId="0" applyFont="1" applyBorder="1"/>
    <xf numFmtId="9" fontId="0" fillId="0" borderId="0" xfId="1" applyNumberFormat="1" applyFont="1"/>
    <xf numFmtId="0" fontId="0" fillId="0" borderId="13" xfId="0" applyFill="1" applyBorder="1" applyAlignment="1">
      <alignment wrapText="1"/>
    </xf>
    <xf numFmtId="0" fontId="20" fillId="0" borderId="1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 wrapText="1"/>
    </xf>
    <xf numFmtId="164" fontId="2" fillId="0" borderId="0" xfId="0" applyNumberFormat="1" applyFont="1" applyFill="1"/>
    <xf numFmtId="164" fontId="17" fillId="8" borderId="0" xfId="1" applyNumberFormat="1" applyFont="1" applyFill="1"/>
    <xf numFmtId="0" fontId="0" fillId="0" borderId="5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/>
    </xf>
    <xf numFmtId="0" fontId="19" fillId="0" borderId="3" xfId="0" applyFont="1" applyFill="1" applyBorder="1" applyAlignment="1">
      <alignment horizontal="center" wrapText="1"/>
    </xf>
    <xf numFmtId="164" fontId="10" fillId="8" borderId="0" xfId="1" applyNumberFormat="1" applyFont="1" applyFill="1" applyAlignment="1"/>
    <xf numFmtId="0" fontId="10" fillId="0" borderId="0" xfId="0" applyFont="1" applyAlignment="1">
      <alignment horizontal="center"/>
    </xf>
    <xf numFmtId="164" fontId="10" fillId="8" borderId="0" xfId="1" applyNumberFormat="1" applyFont="1" applyFill="1"/>
    <xf numFmtId="0" fontId="15" fillId="0" borderId="0" xfId="0" applyFont="1" applyFill="1"/>
    <xf numFmtId="0" fontId="15" fillId="10" borderId="0" xfId="0" applyFont="1" applyFill="1"/>
    <xf numFmtId="0" fontId="2" fillId="3" borderId="0" xfId="0" applyFont="1" applyFill="1" applyAlignment="1"/>
    <xf numFmtId="0" fontId="15" fillId="0" borderId="16" xfId="0" applyFont="1" applyFill="1" applyBorder="1"/>
    <xf numFmtId="164" fontId="4" fillId="0" borderId="1" xfId="1" applyNumberFormat="1" applyFont="1" applyBorder="1"/>
    <xf numFmtId="43" fontId="4" fillId="10" borderId="1" xfId="1" applyFont="1" applyFill="1" applyBorder="1" applyAlignment="1">
      <alignment horizontal="center"/>
    </xf>
    <xf numFmtId="0" fontId="6" fillId="0" borderId="1" xfId="0" applyFont="1" applyBorder="1"/>
    <xf numFmtId="43" fontId="14" fillId="0" borderId="0" xfId="0" applyNumberFormat="1" applyFont="1"/>
    <xf numFmtId="14" fontId="32" fillId="0" borderId="0" xfId="0" applyNumberFormat="1" applyFont="1"/>
    <xf numFmtId="164" fontId="4" fillId="10" borderId="1" xfId="1" applyNumberFormat="1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 wrapText="1"/>
    </xf>
    <xf numFmtId="0" fontId="0" fillId="8" borderId="1" xfId="0" applyFont="1" applyFill="1" applyBorder="1"/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/>
    <xf numFmtId="43" fontId="6" fillId="4" borderId="1" xfId="1" applyFont="1" applyFill="1" applyBorder="1"/>
    <xf numFmtId="164" fontId="6" fillId="4" borderId="1" xfId="1" applyNumberFormat="1" applyFont="1" applyFill="1" applyBorder="1"/>
    <xf numFmtId="43" fontId="6" fillId="8" borderId="1" xfId="1" applyFont="1" applyFill="1" applyBorder="1"/>
    <xf numFmtId="164" fontId="6" fillId="8" borderId="1" xfId="1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12" xfId="0" applyBorder="1"/>
    <xf numFmtId="0" fontId="0" fillId="4" borderId="1" xfId="0" applyFill="1" applyBorder="1" applyAlignment="1">
      <alignment horizontal="center" wrapText="1"/>
    </xf>
    <xf numFmtId="0" fontId="0" fillId="8" borderId="1" xfId="0" applyFill="1" applyBorder="1"/>
    <xf numFmtId="164" fontId="4" fillId="0" borderId="1" xfId="1" applyNumberFormat="1" applyFont="1" applyFill="1" applyBorder="1" applyAlignment="1">
      <alignment horizontal="center"/>
    </xf>
    <xf numFmtId="43" fontId="0" fillId="2" borderId="1" xfId="1" applyFont="1" applyFill="1" applyBorder="1"/>
    <xf numFmtId="43" fontId="0" fillId="2" borderId="1" xfId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20" borderId="0" xfId="0" applyFill="1"/>
    <xf numFmtId="43" fontId="0" fillId="20" borderId="0" xfId="1" applyFont="1" applyFill="1"/>
    <xf numFmtId="164" fontId="0" fillId="3" borderId="0" xfId="1" applyNumberFormat="1" applyFont="1" applyFill="1"/>
    <xf numFmtId="0" fontId="0" fillId="21" borderId="0" xfId="0" applyFill="1"/>
    <xf numFmtId="43" fontId="0" fillId="11" borderId="0" xfId="1" applyFont="1" applyFill="1"/>
    <xf numFmtId="43" fontId="0" fillId="21" borderId="0" xfId="1" applyFont="1" applyFill="1"/>
    <xf numFmtId="164" fontId="0" fillId="3" borderId="12" xfId="1" applyNumberFormat="1" applyFont="1" applyFill="1" applyBorder="1"/>
    <xf numFmtId="164" fontId="0" fillId="0" borderId="12" xfId="1" applyNumberFormat="1" applyFont="1" applyBorder="1"/>
    <xf numFmtId="43" fontId="0" fillId="20" borderId="12" xfId="1" applyFont="1" applyFill="1" applyBorder="1"/>
    <xf numFmtId="43" fontId="0" fillId="11" borderId="12" xfId="1" applyFont="1" applyFill="1" applyBorder="1"/>
    <xf numFmtId="164" fontId="0" fillId="10" borderId="12" xfId="1" applyNumberFormat="1" applyFont="1" applyFill="1" applyBorder="1"/>
    <xf numFmtId="43" fontId="0" fillId="0" borderId="12" xfId="1" applyFont="1" applyBorder="1"/>
    <xf numFmtId="0" fontId="0" fillId="0" borderId="12" xfId="0" applyFont="1" applyBorder="1"/>
    <xf numFmtId="0" fontId="0" fillId="21" borderId="12" xfId="0" applyFill="1" applyBorder="1"/>
    <xf numFmtId="43" fontId="0" fillId="21" borderId="12" xfId="1" applyFont="1" applyFill="1" applyBorder="1"/>
    <xf numFmtId="0" fontId="0" fillId="20" borderId="12" xfId="0" applyFill="1" applyBorder="1"/>
    <xf numFmtId="0" fontId="0" fillId="22" borderId="0" xfId="0" applyFont="1" applyFill="1"/>
    <xf numFmtId="43" fontId="0" fillId="22" borderId="0" xfId="1" applyFont="1" applyFill="1"/>
    <xf numFmtId="0" fontId="0" fillId="22" borderId="12" xfId="0" applyFont="1" applyFill="1" applyBorder="1"/>
    <xf numFmtId="43" fontId="0" fillId="22" borderId="12" xfId="1" applyFont="1" applyFill="1" applyBorder="1"/>
    <xf numFmtId="0" fontId="0" fillId="4" borderId="12" xfId="0" applyFill="1" applyBorder="1"/>
    <xf numFmtId="164" fontId="0" fillId="3" borderId="16" xfId="1" applyNumberFormat="1" applyFont="1" applyFill="1" applyBorder="1"/>
    <xf numFmtId="164" fontId="0" fillId="0" borderId="16" xfId="1" applyNumberFormat="1" applyFont="1" applyBorder="1"/>
    <xf numFmtId="43" fontId="0" fillId="0" borderId="16" xfId="1" applyFont="1" applyBorder="1"/>
    <xf numFmtId="0" fontId="0" fillId="0" borderId="16" xfId="0" applyFont="1" applyBorder="1"/>
    <xf numFmtId="43" fontId="0" fillId="0" borderId="7" xfId="1" applyFont="1" applyBorder="1"/>
    <xf numFmtId="43" fontId="0" fillId="0" borderId="1" xfId="0" applyNumberFormat="1" applyFont="1" applyBorder="1"/>
    <xf numFmtId="0" fontId="0" fillId="0" borderId="16" xfId="0" applyBorder="1"/>
    <xf numFmtId="0" fontId="0" fillId="22" borderId="16" xfId="0" applyFont="1" applyFill="1" applyBorder="1"/>
    <xf numFmtId="43" fontId="0" fillId="22" borderId="16" xfId="1" applyFont="1" applyFill="1" applyBorder="1"/>
    <xf numFmtId="0" fontId="0" fillId="4" borderId="0" xfId="0" applyFill="1" applyBorder="1"/>
    <xf numFmtId="0" fontId="0" fillId="0" borderId="0" xfId="0" applyFont="1" applyBorder="1"/>
    <xf numFmtId="43" fontId="0" fillId="0" borderId="5" xfId="0" applyNumberFormat="1" applyFont="1" applyBorder="1"/>
    <xf numFmtId="0" fontId="0" fillId="0" borderId="7" xfId="0" applyFont="1" applyBorder="1"/>
    <xf numFmtId="164" fontId="0" fillId="0" borderId="5" xfId="1" applyNumberFormat="1" applyFont="1" applyBorder="1"/>
    <xf numFmtId="0" fontId="0" fillId="3" borderId="10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wrapText="1"/>
    </xf>
    <xf numFmtId="0" fontId="0" fillId="8" borderId="10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164" fontId="0" fillId="7" borderId="1" xfId="1" applyNumberFormat="1" applyFont="1" applyFill="1" applyBorder="1"/>
    <xf numFmtId="43" fontId="0" fillId="7" borderId="1" xfId="1" applyFont="1" applyFill="1" applyBorder="1" applyAlignment="1">
      <alignment horizontal="center"/>
    </xf>
    <xf numFmtId="164" fontId="8" fillId="8" borderId="0" xfId="1" applyNumberFormat="1" applyFont="1" applyFill="1"/>
    <xf numFmtId="0" fontId="0" fillId="0" borderId="0" xfId="0"/>
    <xf numFmtId="0" fontId="27" fillId="0" borderId="0" xfId="0" applyFont="1" applyFill="1" applyAlignment="1">
      <alignment horizontal="center"/>
    </xf>
    <xf numFmtId="0" fontId="27" fillId="0" borderId="0" xfId="0" applyFont="1" applyFill="1"/>
    <xf numFmtId="43" fontId="2" fillId="0" borderId="0" xfId="1" applyFont="1" applyFill="1" applyBorder="1"/>
    <xf numFmtId="43" fontId="2" fillId="0" borderId="0" xfId="0" applyNumberFormat="1" applyFont="1" applyFill="1"/>
    <xf numFmtId="43" fontId="0" fillId="0" borderId="12" xfId="1" applyFont="1" applyFill="1" applyBorder="1"/>
    <xf numFmtId="0" fontId="3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14" xfId="0" applyFill="1" applyBorder="1" applyAlignment="1">
      <alignment wrapText="1"/>
    </xf>
    <xf numFmtId="43" fontId="4" fillId="8" borderId="1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19" borderId="2" xfId="0" applyFont="1" applyFill="1" applyBorder="1" applyAlignment="1">
      <alignment horizontal="center" wrapText="1"/>
    </xf>
    <xf numFmtId="0" fontId="2" fillId="19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8" borderId="9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19" borderId="17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7" fillId="0" borderId="18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7" fillId="8" borderId="2" xfId="0" applyFont="1" applyFill="1" applyBorder="1" applyAlignment="1">
      <alignment horizontal="center" wrapText="1"/>
    </xf>
    <xf numFmtId="0" fontId="27" fillId="8" borderId="6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wrapText="1"/>
    </xf>
    <xf numFmtId="0" fontId="27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12" xfId="0" applyFont="1" applyBorder="1" applyAlignment="1">
      <alignment horizontal="center"/>
    </xf>
    <xf numFmtId="0" fontId="2" fillId="8" borderId="0" xfId="0" applyFont="1" applyFill="1" applyAlignment="1">
      <alignment horizontal="center"/>
    </xf>
    <xf numFmtId="43" fontId="2" fillId="4" borderId="0" xfId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0" fontId="27" fillId="10" borderId="0" xfId="0" applyFont="1" applyFill="1" applyBorder="1" applyAlignment="1">
      <alignment horizontal="center"/>
    </xf>
    <xf numFmtId="0" fontId="27" fillId="10" borderId="12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0" fillId="0" borderId="0" xfId="0"/>
    <xf numFmtId="0" fontId="0" fillId="0" borderId="12" xfId="0" applyBorder="1"/>
    <xf numFmtId="0" fontId="22" fillId="0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10" fillId="0" borderId="0" xfId="0" applyFont="1" applyFill="1" applyAlignment="1">
      <alignment horizontal="center" wrapText="1"/>
    </xf>
    <xf numFmtId="0" fontId="0" fillId="8" borderId="2" xfId="0" applyFont="1" applyFill="1" applyBorder="1" applyAlignment="1">
      <alignment horizontal="center" wrapText="1"/>
    </xf>
    <xf numFmtId="0" fontId="0" fillId="8" borderId="6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5" borderId="0" xfId="0" applyFont="1" applyFill="1" applyAlignment="1">
      <alignment horizontal="center" textRotation="10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 wrapText="1"/>
    </xf>
    <xf numFmtId="0" fontId="0" fillId="8" borderId="9" xfId="0" applyFont="1" applyFill="1" applyBorder="1" applyAlignment="1">
      <alignment horizontal="center" wrapText="1"/>
    </xf>
    <xf numFmtId="0" fontId="0" fillId="4" borderId="4" xfId="0" applyFont="1" applyFill="1" applyBorder="1" applyAlignment="1">
      <alignment horizontal="center" wrapText="1"/>
    </xf>
    <xf numFmtId="0" fontId="0" fillId="4" borderId="9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4" fillId="8" borderId="9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0" fontId="2" fillId="17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3" borderId="0" xfId="0" applyFont="1" applyFill="1" applyAlignment="1">
      <alignment horizontal="center"/>
    </xf>
    <xf numFmtId="0" fontId="0" fillId="10" borderId="0" xfId="0" applyFont="1" applyFill="1" applyAlignment="1">
      <alignment horizontal="center"/>
    </xf>
    <xf numFmtId="43" fontId="0" fillId="12" borderId="0" xfId="1" applyFont="1" applyFill="1" applyAlignment="1">
      <alignment horizontal="center"/>
    </xf>
    <xf numFmtId="164" fontId="14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FF00FF"/>
      <color rgb="FF00FFFF"/>
      <color rgb="FF00FF99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6"/>
  <sheetViews>
    <sheetView workbookViewId="0">
      <pane ySplit="2" topLeftCell="A3" activePane="bottomLeft" state="frozen"/>
      <selection pane="bottomLeft" activeCell="B3" sqref="B3"/>
    </sheetView>
  </sheetViews>
  <sheetFormatPr defaultRowHeight="12.75"/>
  <cols>
    <col min="1" max="1" width="4.88671875" style="8" bestFit="1" customWidth="1"/>
    <col min="2" max="4" width="8" style="8" bestFit="1" customWidth="1"/>
    <col min="5" max="5" width="7.33203125" style="8" bestFit="1" customWidth="1"/>
    <col min="6" max="6" width="7.33203125" style="8" customWidth="1"/>
    <col min="7" max="8" width="7.33203125" style="8" bestFit="1" customWidth="1"/>
    <col min="9" max="9" width="6.33203125" style="8" bestFit="1" customWidth="1"/>
    <col min="10" max="10" width="4.44140625" style="8" bestFit="1" customWidth="1"/>
    <col min="11" max="11" width="6.33203125" style="8" bestFit="1" customWidth="1"/>
    <col min="12" max="13" width="7.109375" style="8" customWidth="1"/>
    <col min="14" max="14" width="7.21875" style="8" customWidth="1"/>
    <col min="15" max="15" width="7.33203125" style="8" bestFit="1" customWidth="1"/>
    <col min="16" max="16" width="8" style="8" bestFit="1" customWidth="1"/>
    <col min="17" max="17" width="6.33203125" style="8" bestFit="1" customWidth="1"/>
    <col min="18" max="18" width="6.33203125" style="8" customWidth="1"/>
    <col min="19" max="19" width="8" style="8" bestFit="1" customWidth="1"/>
    <col min="20" max="20" width="8" style="8" customWidth="1"/>
    <col min="21" max="28" width="7.33203125" style="8" customWidth="1"/>
    <col min="29" max="29" width="9.6640625" style="8" bestFit="1" customWidth="1"/>
    <col min="30" max="30" width="6.33203125" style="8" bestFit="1" customWidth="1"/>
    <col min="31" max="31" width="3.21875" style="8" bestFit="1" customWidth="1"/>
    <col min="32" max="32" width="8.88671875" style="8"/>
    <col min="33" max="33" width="8.6640625" style="8" bestFit="1" customWidth="1"/>
    <col min="34" max="16384" width="8.88671875" style="8"/>
  </cols>
  <sheetData>
    <row r="1" spans="1:29" s="1" customFormat="1" ht="11.25">
      <c r="A1" s="740" t="s">
        <v>0</v>
      </c>
      <c r="B1" s="743" t="s">
        <v>3</v>
      </c>
      <c r="C1" s="738" t="s">
        <v>4</v>
      </c>
      <c r="D1" s="727" t="s">
        <v>5</v>
      </c>
      <c r="E1" s="745" t="s">
        <v>6</v>
      </c>
      <c r="F1" s="745"/>
      <c r="G1" s="742" t="s">
        <v>7</v>
      </c>
      <c r="H1" s="742"/>
      <c r="I1" s="738" t="s">
        <v>8</v>
      </c>
      <c r="J1" s="727" t="s">
        <v>9</v>
      </c>
      <c r="K1" s="738" t="s">
        <v>10</v>
      </c>
      <c r="L1" s="729" t="s">
        <v>37</v>
      </c>
      <c r="M1" s="747"/>
      <c r="N1" s="730"/>
      <c r="O1" s="738" t="s">
        <v>13</v>
      </c>
      <c r="P1" s="727" t="s">
        <v>14</v>
      </c>
      <c r="Q1" s="734" t="s">
        <v>15</v>
      </c>
      <c r="R1" s="735"/>
      <c r="S1" s="729" t="s">
        <v>17</v>
      </c>
      <c r="T1" s="730"/>
      <c r="U1" s="738" t="s">
        <v>46</v>
      </c>
      <c r="V1" s="731" t="s">
        <v>49</v>
      </c>
      <c r="W1" s="732"/>
      <c r="X1" s="733"/>
      <c r="Y1" s="736" t="s">
        <v>336</v>
      </c>
      <c r="Z1" s="737"/>
      <c r="AA1" s="729" t="s">
        <v>50</v>
      </c>
      <c r="AB1" s="730"/>
      <c r="AC1" s="725" t="s">
        <v>16</v>
      </c>
    </row>
    <row r="2" spans="1:29" s="1" customFormat="1" ht="15.75" customHeight="1" thickBot="1">
      <c r="A2" s="741"/>
      <c r="B2" s="744"/>
      <c r="C2" s="739"/>
      <c r="D2" s="728"/>
      <c r="E2" s="342" t="s">
        <v>51</v>
      </c>
      <c r="F2" s="333" t="s">
        <v>52</v>
      </c>
      <c r="G2" s="342" t="s">
        <v>38</v>
      </c>
      <c r="H2" s="332" t="s">
        <v>39</v>
      </c>
      <c r="I2" s="739"/>
      <c r="J2" s="728"/>
      <c r="K2" s="739"/>
      <c r="L2" s="16" t="s">
        <v>11</v>
      </c>
      <c r="M2" s="16" t="s">
        <v>315</v>
      </c>
      <c r="N2" s="20" t="s">
        <v>12</v>
      </c>
      <c r="O2" s="739"/>
      <c r="P2" s="728"/>
      <c r="Q2" s="434" t="s">
        <v>335</v>
      </c>
      <c r="R2" s="434" t="s">
        <v>64</v>
      </c>
      <c r="S2" s="342" t="s">
        <v>318</v>
      </c>
      <c r="T2" s="332" t="s">
        <v>317</v>
      </c>
      <c r="U2" s="739"/>
      <c r="V2" s="331" t="s">
        <v>325</v>
      </c>
      <c r="W2" s="382" t="s">
        <v>326</v>
      </c>
      <c r="X2" s="381" t="s">
        <v>382</v>
      </c>
      <c r="Y2" s="331" t="s">
        <v>337</v>
      </c>
      <c r="Z2" s="333" t="s">
        <v>338</v>
      </c>
      <c r="AA2" s="331" t="s">
        <v>340</v>
      </c>
      <c r="AB2" s="332" t="s">
        <v>339</v>
      </c>
      <c r="AC2" s="726"/>
    </row>
    <row r="3" spans="1:29">
      <c r="A3" s="52">
        <v>1998</v>
      </c>
      <c r="B3" s="37" t="e">
        <f>#REF!</f>
        <v>#REF!</v>
      </c>
      <c r="C3" s="37" t="e">
        <f>#REF!</f>
        <v>#REF!</v>
      </c>
      <c r="D3" s="231" t="e">
        <f>#REF!</f>
        <v>#REF!</v>
      </c>
      <c r="E3" s="37">
        <f>'281δ1'!N2</f>
        <v>50.2</v>
      </c>
      <c r="F3" s="37">
        <f>'281δ2'!N3</f>
        <v>984.35</v>
      </c>
      <c r="G3" s="37">
        <f>'281ε1'!N2</f>
        <v>124.02</v>
      </c>
      <c r="H3" s="88">
        <f>'281ε2'!N2</f>
        <v>4193.5</v>
      </c>
      <c r="I3" s="46"/>
      <c r="J3" s="46">
        <f>'281η'!N2</f>
        <v>0</v>
      </c>
      <c r="K3" s="46">
        <f>'281θ'!N2</f>
        <v>0</v>
      </c>
      <c r="L3" s="37">
        <f>'281ι1α'!N2</f>
        <v>299.18999999999994</v>
      </c>
      <c r="M3" s="231">
        <f>'281ι1β'!N3</f>
        <v>199.45999999999995</v>
      </c>
      <c r="N3" s="37">
        <f>'281ι2'!N3</f>
        <v>162.81</v>
      </c>
      <c r="O3" s="37">
        <f>'281κ'!N2</f>
        <v>53.379999999999995</v>
      </c>
      <c r="P3" s="36"/>
      <c r="Q3" s="435">
        <v>17.829999999999998</v>
      </c>
      <c r="R3" s="435">
        <f>Q3*6/5</f>
        <v>21.395999999999997</v>
      </c>
      <c r="S3" s="37">
        <f>'281ξ(1-2)'!AD3</f>
        <v>26.808</v>
      </c>
      <c r="T3" s="37">
        <f>'281ξ(1-2)'!AG3</f>
        <v>35.457000000000001</v>
      </c>
      <c r="U3" s="37" t="e">
        <f>#REF!</f>
        <v>#REF!</v>
      </c>
      <c r="V3" s="37">
        <f>'281ρ1'!N2</f>
        <v>0</v>
      </c>
      <c r="W3" s="231">
        <f>'281ρ2'!N2</f>
        <v>3.17</v>
      </c>
      <c r="X3" s="231">
        <f>'281ρ3'!N2</f>
        <v>3.17</v>
      </c>
      <c r="Y3" s="231">
        <f>'281υ1'!N2</f>
        <v>31.310000000000002</v>
      </c>
      <c r="Z3" s="231">
        <f>'281υ2'!N2</f>
        <v>20.873333333333335</v>
      </c>
      <c r="AA3" s="231">
        <f>'281φ1'!N2</f>
        <v>17.559999999999999</v>
      </c>
      <c r="AB3" s="37">
        <f>'281φ2'!N2</f>
        <v>11.706666666666665</v>
      </c>
      <c r="AC3" s="231" t="e">
        <f t="shared" ref="AC3:AC18" si="0">SUM(B3:AB3)</f>
        <v>#REF!</v>
      </c>
    </row>
    <row r="4" spans="1:29">
      <c r="A4" s="53">
        <v>1999</v>
      </c>
      <c r="B4" s="38" t="e">
        <f>#REF!</f>
        <v>#REF!</v>
      </c>
      <c r="C4" s="37" t="e">
        <f>#REF!</f>
        <v>#REF!</v>
      </c>
      <c r="D4" s="46" t="e">
        <f>#REF!</f>
        <v>#REF!</v>
      </c>
      <c r="E4" s="231">
        <f>'281δ1'!N3</f>
        <v>190.45047688921497</v>
      </c>
      <c r="F4" s="37">
        <f>'281δ2'!N4</f>
        <v>65.61</v>
      </c>
      <c r="G4" s="231">
        <f>'281ε1'!N3</f>
        <v>843.19</v>
      </c>
      <c r="H4" s="37">
        <f>'281ε2'!N3</f>
        <v>138.16999999999999</v>
      </c>
      <c r="I4" s="5"/>
      <c r="J4" s="45">
        <f>'281η'!N3</f>
        <v>0</v>
      </c>
      <c r="K4" s="45">
        <f>'281θ'!N3</f>
        <v>0</v>
      </c>
      <c r="L4" s="231">
        <f>'281ι1α'!N3</f>
        <v>92.279999999999987</v>
      </c>
      <c r="M4" s="231">
        <f>'281ι1β'!N4</f>
        <v>61.519999999999996</v>
      </c>
      <c r="N4" s="231">
        <f>'281ι2'!N4</f>
        <v>23.47</v>
      </c>
      <c r="O4" s="231">
        <f>'281κ'!N3</f>
        <v>42.339999999999996</v>
      </c>
      <c r="P4" s="55"/>
      <c r="Q4" s="242">
        <v>33.33</v>
      </c>
      <c r="R4" s="238">
        <f t="shared" ref="R4:R18" si="1">Q4*6/5</f>
        <v>39.995999999999995</v>
      </c>
      <c r="S4" s="231">
        <f>'281ξ(1-2)'!AD4</f>
        <v>305.73600000000005</v>
      </c>
      <c r="T4" s="231">
        <f>'281ξ(1-2)'!AG4</f>
        <v>820.60399999999993</v>
      </c>
      <c r="U4" s="45" t="e">
        <f>#REF!</f>
        <v>#REF!</v>
      </c>
      <c r="V4" s="37">
        <f>'281ρ1'!N3</f>
        <v>348.16</v>
      </c>
      <c r="W4" s="231">
        <f>'281ρ2'!N3</f>
        <v>67.67</v>
      </c>
      <c r="X4" s="231">
        <f>'281ρ3'!N3</f>
        <v>391.97999999999996</v>
      </c>
      <c r="Y4" s="231">
        <f>'281υ1'!N3</f>
        <v>24.619999999999997</v>
      </c>
      <c r="Z4" s="231">
        <f>'281υ2'!N3</f>
        <v>16.41333333333333</v>
      </c>
      <c r="AA4" s="231">
        <f>'281φ1'!N3</f>
        <v>9.14</v>
      </c>
      <c r="AB4" s="231">
        <f>'281φ2'!N3</f>
        <v>6.0933333333333337</v>
      </c>
      <c r="AC4" s="231" t="e">
        <f t="shared" si="0"/>
        <v>#REF!</v>
      </c>
    </row>
    <row r="5" spans="1:29">
      <c r="A5" s="53">
        <v>2000</v>
      </c>
      <c r="B5" s="38" t="e">
        <f>#REF!</f>
        <v>#REF!</v>
      </c>
      <c r="C5" s="37" t="e">
        <f>#REF!</f>
        <v>#REF!</v>
      </c>
      <c r="D5" s="46" t="e">
        <f>#REF!</f>
        <v>#REF!</v>
      </c>
      <c r="E5" s="238">
        <f>'281δ1'!N4</f>
        <v>0</v>
      </c>
      <c r="F5" s="45"/>
      <c r="G5" s="238">
        <f>'281ε1'!N4</f>
        <v>0</v>
      </c>
      <c r="H5" s="45">
        <f>'281ε2'!N4</f>
        <v>0</v>
      </c>
      <c r="I5" s="5"/>
      <c r="J5" s="45">
        <f>'281η'!N4</f>
        <v>0</v>
      </c>
      <c r="K5" s="45">
        <f>'281θ'!N4</f>
        <v>0</v>
      </c>
      <c r="L5" s="231">
        <f>'281ι1α'!N4</f>
        <v>20.36</v>
      </c>
      <c r="M5" s="231">
        <f>'281ι1β'!N5</f>
        <v>13.573333333333332</v>
      </c>
      <c r="N5" s="231">
        <f>'281ι2'!N5</f>
        <v>129.65</v>
      </c>
      <c r="O5" s="231">
        <f>'281κ'!N4</f>
        <v>0.32</v>
      </c>
      <c r="P5" s="55"/>
      <c r="Q5" s="242">
        <v>33.33</v>
      </c>
      <c r="R5" s="238">
        <f t="shared" si="1"/>
        <v>39.995999999999995</v>
      </c>
      <c r="S5" s="231">
        <f>'281ξ(1-2)'!AD5</f>
        <v>992.56050000000005</v>
      </c>
      <c r="T5" s="231">
        <f>'281ξ(1-2)'!AG5</f>
        <v>480.49650000000003</v>
      </c>
      <c r="U5" s="45" t="e">
        <f>#REF!</f>
        <v>#REF!</v>
      </c>
      <c r="V5" s="238">
        <f>'281ρ1'!N4</f>
        <v>0</v>
      </c>
      <c r="W5" s="238">
        <f>'281ρ2'!N4</f>
        <v>0</v>
      </c>
      <c r="X5" s="238">
        <f>'281ρ3'!N4</f>
        <v>0</v>
      </c>
      <c r="Y5" s="231">
        <f>'281υ1'!N4</f>
        <v>7.9</v>
      </c>
      <c r="Z5" s="231">
        <f>'281υ2'!N4</f>
        <v>5.2666666666666675</v>
      </c>
      <c r="AA5" s="231">
        <f>'281φ1'!N4</f>
        <v>0</v>
      </c>
      <c r="AB5" s="231">
        <f>'281φ2'!N4</f>
        <v>0</v>
      </c>
      <c r="AC5" s="231" t="e">
        <f t="shared" si="0"/>
        <v>#REF!</v>
      </c>
    </row>
    <row r="6" spans="1:29">
      <c r="A6" s="53">
        <v>2001</v>
      </c>
      <c r="B6" s="232" t="e">
        <f>#REF!</f>
        <v>#REF!</v>
      </c>
      <c r="C6" s="231" t="e">
        <f>#REF!</f>
        <v>#REF!</v>
      </c>
      <c r="D6" s="46" t="e">
        <f>#REF!</f>
        <v>#REF!</v>
      </c>
      <c r="E6" s="238">
        <f>'281δ1'!N5</f>
        <v>0</v>
      </c>
      <c r="F6" s="45"/>
      <c r="G6" s="238">
        <f>'281ε1'!N5</f>
        <v>0</v>
      </c>
      <c r="H6" s="45">
        <f>'281ε2'!N5</f>
        <v>0</v>
      </c>
      <c r="I6" s="5"/>
      <c r="J6" s="45">
        <f>'281η'!N5</f>
        <v>0</v>
      </c>
      <c r="K6" s="45">
        <f>'281θ'!N5</f>
        <v>0</v>
      </c>
      <c r="L6" s="231">
        <f>'281ι1α'!N5</f>
        <v>0</v>
      </c>
      <c r="M6" s="231">
        <f>'281ι1β'!N6</f>
        <v>0</v>
      </c>
      <c r="N6" s="231">
        <f>'281ι2'!N6</f>
        <v>0</v>
      </c>
      <c r="O6" s="231">
        <f>'281κ'!N5</f>
        <v>18.880000000000003</v>
      </c>
      <c r="P6" s="55"/>
      <c r="Q6" s="242">
        <v>33.33</v>
      </c>
      <c r="R6" s="238">
        <f t="shared" si="1"/>
        <v>39.995999999999995</v>
      </c>
      <c r="S6" s="231">
        <f>'281ξ(1-2)'!AD6</f>
        <v>344.11200000000002</v>
      </c>
      <c r="T6" s="231">
        <f>'281ξ(1-2)'!AG6</f>
        <v>0</v>
      </c>
      <c r="U6" s="45" t="e">
        <f>#REF!</f>
        <v>#REF!</v>
      </c>
      <c r="V6" s="238">
        <f>'281ρ1'!N5</f>
        <v>0</v>
      </c>
      <c r="W6" s="238">
        <f>'281ρ2'!N5</f>
        <v>0</v>
      </c>
      <c r="X6" s="238">
        <f>'281ρ3'!N5</f>
        <v>0</v>
      </c>
      <c r="Y6" s="238">
        <f>'281υ1'!N5</f>
        <v>0</v>
      </c>
      <c r="Z6" s="238">
        <f>'281υ2'!N5</f>
        <v>0</v>
      </c>
      <c r="AA6" s="231">
        <f>'281φ1'!N5</f>
        <v>6.47</v>
      </c>
      <c r="AB6" s="231">
        <f>'281φ2'!N5</f>
        <v>4.3133333333333335</v>
      </c>
      <c r="AC6" s="231" t="e">
        <f t="shared" si="0"/>
        <v>#REF!</v>
      </c>
    </row>
    <row r="7" spans="1:29">
      <c r="A7" s="53">
        <v>2002</v>
      </c>
      <c r="B7" s="232" t="e">
        <f>#REF!</f>
        <v>#REF!</v>
      </c>
      <c r="C7" s="231" t="e">
        <f>#REF!</f>
        <v>#REF!</v>
      </c>
      <c r="D7" s="46" t="e">
        <f>#REF!</f>
        <v>#REF!</v>
      </c>
      <c r="E7" s="238"/>
      <c r="F7" s="45"/>
      <c r="G7" s="238">
        <f>'281ε1'!N6</f>
        <v>0</v>
      </c>
      <c r="H7" s="45">
        <f>'281ε2'!N6</f>
        <v>0</v>
      </c>
      <c r="I7" s="5"/>
      <c r="J7" s="45">
        <f>'281η'!N6</f>
        <v>0</v>
      </c>
      <c r="K7" s="45">
        <f>'281θ'!N6</f>
        <v>0</v>
      </c>
      <c r="L7" s="231">
        <f>'281ι1α'!N6</f>
        <v>10.54</v>
      </c>
      <c r="M7" s="231">
        <f>'281ι1β'!N7</f>
        <v>7.0266666666666664</v>
      </c>
      <c r="N7" s="231">
        <f>'281ι2'!N7</f>
        <v>0.03</v>
      </c>
      <c r="O7" s="231">
        <f>'281κ'!N6</f>
        <v>42.870000000000005</v>
      </c>
      <c r="P7" s="55"/>
      <c r="Q7" s="242">
        <v>33.33</v>
      </c>
      <c r="R7" s="238">
        <f t="shared" si="1"/>
        <v>39.995999999999995</v>
      </c>
      <c r="S7" s="231">
        <f>'281ξ(1-2)'!AD7</f>
        <v>387.53999999999996</v>
      </c>
      <c r="T7" s="231">
        <f>'281ξ(1-2)'!AG7</f>
        <v>258.98400000000004</v>
      </c>
      <c r="U7" s="45" t="e">
        <f>#REF!</f>
        <v>#REF!</v>
      </c>
      <c r="V7" s="238">
        <f>'281ρ1'!N6</f>
        <v>0</v>
      </c>
      <c r="W7" s="238">
        <f>'281ρ2'!N6</f>
        <v>0</v>
      </c>
      <c r="X7" s="238">
        <f>'281ρ3'!N6</f>
        <v>0</v>
      </c>
      <c r="Y7" s="238">
        <f>'281υ1'!N6</f>
        <v>0</v>
      </c>
      <c r="Z7" s="238">
        <f>'281υ2'!N6</f>
        <v>0</v>
      </c>
      <c r="AA7" s="231">
        <f>'281φ1'!N6</f>
        <v>2.08</v>
      </c>
      <c r="AB7" s="231">
        <f>'281φ2'!N6</f>
        <v>1.3866666666666667</v>
      </c>
      <c r="AC7" s="231" t="e">
        <f t="shared" si="0"/>
        <v>#REF!</v>
      </c>
    </row>
    <row r="8" spans="1:29">
      <c r="A8" s="53">
        <v>2003</v>
      </c>
      <c r="B8" s="232" t="e">
        <f>#REF!</f>
        <v>#REF!</v>
      </c>
      <c r="C8" s="231" t="e">
        <f>#REF!</f>
        <v>#REF!</v>
      </c>
      <c r="D8" s="46" t="e">
        <f>#REF!</f>
        <v>#REF!</v>
      </c>
      <c r="E8" s="238"/>
      <c r="F8" s="45"/>
      <c r="G8" s="238">
        <f>'281ε1'!N7</f>
        <v>0</v>
      </c>
      <c r="H8" s="45">
        <f>'281ε2'!N7</f>
        <v>0</v>
      </c>
      <c r="I8" s="5"/>
      <c r="J8" s="45">
        <f>'281η'!N7</f>
        <v>0</v>
      </c>
      <c r="K8" s="45">
        <f>'281θ'!N7</f>
        <v>0</v>
      </c>
      <c r="L8" s="231">
        <f>'281ι1α'!N7</f>
        <v>0</v>
      </c>
      <c r="M8" s="231">
        <f>'281ι1β'!N8</f>
        <v>0</v>
      </c>
      <c r="N8" s="231">
        <f>'281ι2'!N8</f>
        <v>0</v>
      </c>
      <c r="O8" s="231">
        <f>'281κ'!N7</f>
        <v>12.29</v>
      </c>
      <c r="P8" s="56"/>
      <c r="Q8" s="242">
        <v>33.33</v>
      </c>
      <c r="R8" s="238">
        <f t="shared" si="1"/>
        <v>39.995999999999995</v>
      </c>
      <c r="S8" s="231">
        <f>'281ξ(1-2)'!AD8</f>
        <v>0</v>
      </c>
      <c r="T8" s="231">
        <f>'281ξ(1-2)'!AG8</f>
        <v>200</v>
      </c>
      <c r="U8" s="45" t="e">
        <f>#REF!</f>
        <v>#REF!</v>
      </c>
      <c r="V8" s="238">
        <f>'281ρ1'!N7</f>
        <v>0</v>
      </c>
      <c r="W8" s="238">
        <f>'281ρ2'!N7</f>
        <v>0</v>
      </c>
      <c r="X8" s="238">
        <f>'281ρ3'!N7</f>
        <v>0</v>
      </c>
      <c r="Y8" s="238">
        <f>'281υ1'!N7</f>
        <v>0</v>
      </c>
      <c r="Z8" s="238">
        <f>'281υ2'!N7</f>
        <v>0</v>
      </c>
      <c r="AA8" s="231">
        <f>'281φ1'!N7</f>
        <v>0</v>
      </c>
      <c r="AB8" s="231">
        <f>'281φ2'!N7</f>
        <v>0</v>
      </c>
      <c r="AC8" s="231" t="e">
        <f t="shared" si="0"/>
        <v>#REF!</v>
      </c>
    </row>
    <row r="9" spans="1:29">
      <c r="A9" s="53">
        <v>2004</v>
      </c>
      <c r="B9" s="232" t="e">
        <f>#REF!</f>
        <v>#REF!</v>
      </c>
      <c r="C9" s="231" t="e">
        <f>#REF!</f>
        <v>#REF!</v>
      </c>
      <c r="D9" s="46" t="e">
        <f>#REF!</f>
        <v>#REF!</v>
      </c>
      <c r="E9" s="238"/>
      <c r="F9" s="45"/>
      <c r="G9" s="238">
        <f>'281ε1'!N8</f>
        <v>0</v>
      </c>
      <c r="H9" s="45">
        <f>'281ε2'!N8</f>
        <v>0</v>
      </c>
      <c r="I9" s="5"/>
      <c r="J9" s="45">
        <f>'281η'!N8</f>
        <v>0</v>
      </c>
      <c r="K9" s="45">
        <f>'281θ'!N8</f>
        <v>0</v>
      </c>
      <c r="L9" s="231">
        <f>'281ι1α'!N8</f>
        <v>0</v>
      </c>
      <c r="M9" s="231">
        <f>'281ι1β'!N9</f>
        <v>0</v>
      </c>
      <c r="N9" s="231">
        <f>'281ι2'!N9</f>
        <v>0</v>
      </c>
      <c r="O9" s="46"/>
      <c r="P9" s="56"/>
      <c r="Q9" s="242">
        <v>33.33</v>
      </c>
      <c r="R9" s="238">
        <f t="shared" si="1"/>
        <v>39.995999999999995</v>
      </c>
      <c r="S9" s="231">
        <f>'281ξ(1-2)'!AD9</f>
        <v>0</v>
      </c>
      <c r="T9" s="231">
        <f>'281ξ(1-2)'!AG9</f>
        <v>0</v>
      </c>
      <c r="U9" s="45" t="e">
        <f>#REF!</f>
        <v>#REF!</v>
      </c>
      <c r="V9" s="238">
        <f>'281ρ1'!N8</f>
        <v>167.5</v>
      </c>
      <c r="W9" s="238">
        <f>'281ρ2'!N8</f>
        <v>0</v>
      </c>
      <c r="X9" s="238">
        <f>'281ρ3'!N8</f>
        <v>167.5</v>
      </c>
      <c r="Y9" s="238">
        <f>'281υ1'!N8</f>
        <v>0</v>
      </c>
      <c r="Z9" s="238">
        <f>'281υ2'!N8</f>
        <v>0</v>
      </c>
      <c r="AA9" s="231">
        <f>'281φ1'!N8</f>
        <v>0</v>
      </c>
      <c r="AB9" s="231">
        <f>'281φ2'!N8</f>
        <v>0</v>
      </c>
      <c r="AC9" s="231" t="e">
        <f t="shared" si="0"/>
        <v>#REF!</v>
      </c>
    </row>
    <row r="10" spans="1:29">
      <c r="A10" s="53">
        <v>2005</v>
      </c>
      <c r="B10" s="232" t="e">
        <f>#REF!</f>
        <v>#REF!</v>
      </c>
      <c r="C10" s="231" t="e">
        <f>#REF!</f>
        <v>#REF!</v>
      </c>
      <c r="D10" s="46" t="e">
        <f>#REF!</f>
        <v>#REF!</v>
      </c>
      <c r="E10" s="36"/>
      <c r="F10" s="36"/>
      <c r="G10" s="36"/>
      <c r="H10" s="36"/>
      <c r="I10" s="5"/>
      <c r="J10" s="45">
        <f>'281η'!N9</f>
        <v>0</v>
      </c>
      <c r="K10" s="45">
        <f>'281θ'!N9</f>
        <v>0</v>
      </c>
      <c r="L10" s="231">
        <f>'281ι1α'!N9</f>
        <v>0</v>
      </c>
      <c r="M10" s="231">
        <f>'281ι1β'!N10</f>
        <v>0</v>
      </c>
      <c r="N10" s="231">
        <f>'281ι2'!N10</f>
        <v>0</v>
      </c>
      <c r="O10" s="46"/>
      <c r="P10" s="55"/>
      <c r="Q10" s="242">
        <v>33.33</v>
      </c>
      <c r="R10" s="238">
        <f t="shared" si="1"/>
        <v>39.995999999999995</v>
      </c>
      <c r="S10" s="231">
        <f>'281ξ(1-2)'!AD10</f>
        <v>0</v>
      </c>
      <c r="T10" s="231">
        <f>'281ξ(1-2)'!AG10</f>
        <v>0</v>
      </c>
      <c r="U10" s="45" t="e">
        <f>#REF!</f>
        <v>#REF!</v>
      </c>
      <c r="V10" s="238">
        <f>'281ρ1'!N9</f>
        <v>0</v>
      </c>
      <c r="W10" s="238">
        <f>'281ρ2'!N9</f>
        <v>0</v>
      </c>
      <c r="X10" s="238">
        <f>'281ρ3'!N9</f>
        <v>0</v>
      </c>
      <c r="Y10" s="238">
        <f>'281υ1'!N9</f>
        <v>0</v>
      </c>
      <c r="Z10" s="238">
        <f>'281υ2'!N9</f>
        <v>0</v>
      </c>
      <c r="AA10" s="231">
        <f>'281φ1'!N9</f>
        <v>0</v>
      </c>
      <c r="AB10" s="231">
        <f>'281φ2'!N9</f>
        <v>0</v>
      </c>
      <c r="AC10" s="231" t="e">
        <f t="shared" si="0"/>
        <v>#REF!</v>
      </c>
    </row>
    <row r="11" spans="1:29">
      <c r="A11" s="53">
        <v>2006</v>
      </c>
      <c r="B11" s="232" t="e">
        <f>#REF!</f>
        <v>#REF!</v>
      </c>
      <c r="C11" s="231" t="e">
        <f>#REF!</f>
        <v>#REF!</v>
      </c>
      <c r="D11" s="46" t="e">
        <f>#REF!</f>
        <v>#REF!</v>
      </c>
      <c r="E11" s="36"/>
      <c r="F11" s="36"/>
      <c r="G11" s="36"/>
      <c r="H11" s="36"/>
      <c r="I11" s="5"/>
      <c r="J11" s="45">
        <f>'281η'!N10</f>
        <v>0</v>
      </c>
      <c r="K11" s="45">
        <f>'281θ'!N10</f>
        <v>0</v>
      </c>
      <c r="L11" s="231">
        <f>'281ι1α'!N10</f>
        <v>0</v>
      </c>
      <c r="M11" s="231">
        <f>'281ι1β'!N11</f>
        <v>0</v>
      </c>
      <c r="N11" s="231">
        <f>'281ι2'!N11</f>
        <v>0</v>
      </c>
      <c r="O11" s="46"/>
      <c r="P11" s="55"/>
      <c r="Q11" s="242">
        <v>33.33</v>
      </c>
      <c r="R11" s="238">
        <f t="shared" si="1"/>
        <v>39.995999999999995</v>
      </c>
      <c r="S11" s="231">
        <f>'281ξ(1-2)'!AD11</f>
        <v>0</v>
      </c>
      <c r="T11" s="231">
        <f>'281ξ(1-2)'!AG11</f>
        <v>0</v>
      </c>
      <c r="U11" s="45" t="e">
        <f>#REF!</f>
        <v>#REF!</v>
      </c>
      <c r="V11" s="238">
        <f>'281ρ1'!N10</f>
        <v>0</v>
      </c>
      <c r="W11" s="238">
        <f>'281ρ2'!N10</f>
        <v>0</v>
      </c>
      <c r="X11" s="238">
        <f>'281ρ3'!N10</f>
        <v>0</v>
      </c>
      <c r="Y11" s="238">
        <f>'281υ1'!N10</f>
        <v>0</v>
      </c>
      <c r="Z11" s="238">
        <f>'281υ2'!N10</f>
        <v>0</v>
      </c>
      <c r="AA11" s="231">
        <f>'281φ1'!N10</f>
        <v>0</v>
      </c>
      <c r="AB11" s="231">
        <f>'281φ2'!N10</f>
        <v>0</v>
      </c>
      <c r="AC11" s="231" t="e">
        <f t="shared" si="0"/>
        <v>#REF!</v>
      </c>
    </row>
    <row r="12" spans="1:29">
      <c r="A12" s="53">
        <v>2007</v>
      </c>
      <c r="B12" s="232" t="e">
        <f>#REF!</f>
        <v>#REF!</v>
      </c>
      <c r="C12" s="231" t="e">
        <f>#REF!</f>
        <v>#REF!</v>
      </c>
      <c r="D12" s="231" t="e">
        <f>#REF!</f>
        <v>#REF!</v>
      </c>
      <c r="E12" s="36"/>
      <c r="F12" s="36"/>
      <c r="G12" s="36"/>
      <c r="H12" s="36"/>
      <c r="I12" s="47">
        <f>'281ζ'!O11</f>
        <v>0</v>
      </c>
      <c r="J12" s="45">
        <f>'281η'!N11</f>
        <v>0</v>
      </c>
      <c r="K12" s="45">
        <f>'281θ'!N11</f>
        <v>0</v>
      </c>
      <c r="L12" s="231">
        <f>'281ι1α'!N11</f>
        <v>121.32999999999998</v>
      </c>
      <c r="M12" s="231">
        <f>'281ι1β'!N12</f>
        <v>80.88666666666667</v>
      </c>
      <c r="N12" s="231">
        <f>'281ι2'!N12</f>
        <v>396.69</v>
      </c>
      <c r="O12" s="46"/>
      <c r="P12" s="55"/>
      <c r="Q12" s="242">
        <v>33.33</v>
      </c>
      <c r="R12" s="238">
        <f t="shared" si="1"/>
        <v>39.995999999999995</v>
      </c>
      <c r="S12" s="231">
        <f>'281ξ(1-2)'!AD12</f>
        <v>0</v>
      </c>
      <c r="T12" s="231">
        <f>'281ξ(1-2)'!AG12</f>
        <v>0</v>
      </c>
      <c r="U12" s="45" t="e">
        <f>#REF!</f>
        <v>#REF!</v>
      </c>
      <c r="V12" s="238">
        <f>'281ρ1'!N11</f>
        <v>0</v>
      </c>
      <c r="W12" s="238">
        <f>'281ρ2'!N11</f>
        <v>0</v>
      </c>
      <c r="X12" s="238">
        <f>'281ρ3'!N11</f>
        <v>0</v>
      </c>
      <c r="Y12" s="238">
        <f>'281υ1'!N11</f>
        <v>0</v>
      </c>
      <c r="Z12" s="238">
        <f>'281υ2'!N11</f>
        <v>0</v>
      </c>
      <c r="AA12" s="231">
        <f>'281φ1'!N11</f>
        <v>0</v>
      </c>
      <c r="AB12" s="231">
        <f>'281φ2'!N11</f>
        <v>0</v>
      </c>
      <c r="AC12" s="231" t="e">
        <f t="shared" si="0"/>
        <v>#REF!</v>
      </c>
    </row>
    <row r="13" spans="1:29">
      <c r="A13" s="53">
        <v>2008</v>
      </c>
      <c r="B13" s="232" t="e">
        <f>#REF!</f>
        <v>#REF!</v>
      </c>
      <c r="C13" s="231" t="e">
        <f>#REF!</f>
        <v>#REF!</v>
      </c>
      <c r="D13" s="231" t="e">
        <f>#REF!</f>
        <v>#REF!</v>
      </c>
      <c r="E13" s="36"/>
      <c r="F13" s="36"/>
      <c r="G13" s="36"/>
      <c r="H13" s="36"/>
      <c r="I13" s="47">
        <f>'281ζ'!O12</f>
        <v>354.8</v>
      </c>
      <c r="J13" s="45">
        <f>'281η'!N12</f>
        <v>0</v>
      </c>
      <c r="K13" s="231">
        <f>'281θ'!N12</f>
        <v>120.13</v>
      </c>
      <c r="L13" s="231">
        <f>'281ι1α'!N12</f>
        <v>3.75</v>
      </c>
      <c r="M13" s="231">
        <f>'281ι1β'!N13</f>
        <v>2.5</v>
      </c>
      <c r="N13" s="231">
        <f>'281ι2'!N13</f>
        <v>247.09</v>
      </c>
      <c r="O13" s="46"/>
      <c r="P13" s="55"/>
      <c r="Q13" s="436">
        <v>63.01</v>
      </c>
      <c r="R13" s="435">
        <f t="shared" si="1"/>
        <v>75.611999999999995</v>
      </c>
      <c r="S13" s="231">
        <f>'281ξ(1-2)'!AD13</f>
        <v>823.25599999999997</v>
      </c>
      <c r="T13" s="231">
        <f>'281ξ(1-2)'!AG13</f>
        <v>503.71600000000001</v>
      </c>
      <c r="U13" s="45" t="e">
        <f>#REF!</f>
        <v>#REF!</v>
      </c>
      <c r="V13" s="238">
        <f>'281ρ1'!N12</f>
        <v>0</v>
      </c>
      <c r="W13" s="238">
        <f>'281ρ2'!N12</f>
        <v>0</v>
      </c>
      <c r="X13" s="238">
        <f>'281ρ3'!N12</f>
        <v>0</v>
      </c>
      <c r="Y13" s="238">
        <f>'281υ1'!N12</f>
        <v>0</v>
      </c>
      <c r="Z13" s="238">
        <f>'281υ2'!N12</f>
        <v>0</v>
      </c>
      <c r="AA13" s="231">
        <f>'281φ1'!N12</f>
        <v>0</v>
      </c>
      <c r="AB13" s="231">
        <f>'281φ2'!N12</f>
        <v>0</v>
      </c>
      <c r="AC13" s="231" t="e">
        <f t="shared" si="0"/>
        <v>#REF!</v>
      </c>
    </row>
    <row r="14" spans="1:29">
      <c r="A14" s="53">
        <v>2009</v>
      </c>
      <c r="B14" s="232" t="e">
        <f>#REF!</f>
        <v>#REF!</v>
      </c>
      <c r="C14" s="231" t="e">
        <f>#REF!</f>
        <v>#REF!</v>
      </c>
      <c r="D14" s="231" t="e">
        <f>#REF!</f>
        <v>#REF!</v>
      </c>
      <c r="E14" s="36"/>
      <c r="F14" s="36"/>
      <c r="G14" s="36"/>
      <c r="H14" s="36"/>
      <c r="I14" s="47">
        <f>'281ζ'!O13</f>
        <v>0</v>
      </c>
      <c r="J14" s="45">
        <f>'281η'!N13</f>
        <v>0</v>
      </c>
      <c r="K14" s="45">
        <f>'281θ'!N13</f>
        <v>0</v>
      </c>
      <c r="L14" s="231">
        <f>'281ι1α'!N13</f>
        <v>48</v>
      </c>
      <c r="M14" s="231">
        <f>'281ι1β'!N14</f>
        <v>32</v>
      </c>
      <c r="N14" s="231">
        <f>'281ι2'!N14</f>
        <v>279.64</v>
      </c>
      <c r="O14" s="46"/>
      <c r="P14" s="55"/>
      <c r="Q14" s="436">
        <v>85.64</v>
      </c>
      <c r="R14" s="435">
        <f t="shared" si="1"/>
        <v>102.768</v>
      </c>
      <c r="S14" s="231">
        <f>'281ξ(1-2)'!AD14</f>
        <v>2160.6234999999997</v>
      </c>
      <c r="T14" s="231">
        <f>'281ξ(1-2)'!AG14</f>
        <v>2111.4554999999996</v>
      </c>
      <c r="U14" s="45" t="e">
        <f>#REF!</f>
        <v>#REF!</v>
      </c>
      <c r="V14" s="238">
        <f>'281ρ1'!N13</f>
        <v>0</v>
      </c>
      <c r="W14" s="238">
        <f>'281ρ2'!N13</f>
        <v>0</v>
      </c>
      <c r="X14" s="238">
        <f>'281ρ3'!N13</f>
        <v>0</v>
      </c>
      <c r="Y14" s="238">
        <f>'281υ1'!N13</f>
        <v>0</v>
      </c>
      <c r="Z14" s="238">
        <f>'281υ2'!N13</f>
        <v>0</v>
      </c>
      <c r="AA14" s="231">
        <f>'281φ1'!N13</f>
        <v>0</v>
      </c>
      <c r="AB14" s="231">
        <f>'281φ2'!N13</f>
        <v>0</v>
      </c>
      <c r="AC14" s="231" t="e">
        <f t="shared" si="0"/>
        <v>#REF!</v>
      </c>
    </row>
    <row r="15" spans="1:29">
      <c r="A15" s="53">
        <v>2010</v>
      </c>
      <c r="B15" s="232" t="e">
        <f>#REF!</f>
        <v>#REF!</v>
      </c>
      <c r="C15" s="231" t="e">
        <f>#REF!</f>
        <v>#REF!</v>
      </c>
      <c r="D15" s="231" t="e">
        <f>#REF!</f>
        <v>#REF!</v>
      </c>
      <c r="E15" s="36"/>
      <c r="F15" s="36"/>
      <c r="G15" s="36"/>
      <c r="H15" s="36"/>
      <c r="I15" s="47">
        <f>'281ζ'!O14</f>
        <v>96.9</v>
      </c>
      <c r="J15" s="45">
        <f>'281η'!N14</f>
        <v>0</v>
      </c>
      <c r="K15" s="45">
        <f>'281θ'!N14</f>
        <v>0</v>
      </c>
      <c r="L15" s="231">
        <f>'281ι1α'!N14</f>
        <v>692.81</v>
      </c>
      <c r="M15" s="231">
        <f>'281ι1β'!N15</f>
        <v>461.87333333333333</v>
      </c>
      <c r="N15" s="231">
        <f>'281ι2'!N15</f>
        <v>1140.6600000000001</v>
      </c>
      <c r="O15" s="46"/>
      <c r="P15" s="55"/>
      <c r="Q15" s="436">
        <v>66.739999999999995</v>
      </c>
      <c r="R15" s="435">
        <f t="shared" si="1"/>
        <v>80.087999999999994</v>
      </c>
      <c r="S15" s="231">
        <f>'281ξ(1-2)'!AD15</f>
        <v>2660.9040000000005</v>
      </c>
      <c r="T15" s="231">
        <f>'281ξ(1-2)'!AG15</f>
        <v>0</v>
      </c>
      <c r="U15" s="45" t="e">
        <f>#REF!</f>
        <v>#REF!</v>
      </c>
      <c r="V15" s="238">
        <f>'281ρ1'!N14</f>
        <v>0</v>
      </c>
      <c r="W15" s="238">
        <f>'281ρ2'!N14</f>
        <v>0</v>
      </c>
      <c r="X15" s="238">
        <f>'281ρ3'!N14</f>
        <v>0</v>
      </c>
      <c r="Y15" s="238">
        <f>'281υ1'!N14</f>
        <v>0</v>
      </c>
      <c r="Z15" s="238">
        <f>'281υ2'!N14</f>
        <v>0</v>
      </c>
      <c r="AA15" s="231">
        <f>'281φ1'!N14</f>
        <v>0</v>
      </c>
      <c r="AB15" s="231">
        <f>'281φ2'!N14</f>
        <v>0</v>
      </c>
      <c r="AC15" s="231" t="e">
        <f t="shared" si="0"/>
        <v>#REF!</v>
      </c>
    </row>
    <row r="16" spans="1:29">
      <c r="A16" s="53">
        <v>2011</v>
      </c>
      <c r="B16" s="232" t="e">
        <f>#REF!</f>
        <v>#REF!</v>
      </c>
      <c r="C16" s="231" t="e">
        <f>#REF!</f>
        <v>#REF!</v>
      </c>
      <c r="D16" s="231" t="e">
        <f>#REF!</f>
        <v>#REF!</v>
      </c>
      <c r="E16" s="36"/>
      <c r="F16" s="36"/>
      <c r="G16" s="36"/>
      <c r="H16" s="36"/>
      <c r="I16" s="47">
        <f>'281ζ'!O15</f>
        <v>229.72999999999996</v>
      </c>
      <c r="J16" s="45">
        <f>'281η'!N15</f>
        <v>0</v>
      </c>
      <c r="K16" s="45">
        <f>'281θ'!N15</f>
        <v>0</v>
      </c>
      <c r="L16" s="231">
        <f>'281ι1α'!N15</f>
        <v>263.41000000000003</v>
      </c>
      <c r="M16" s="231">
        <f>'281ι1β'!N16</f>
        <v>175.60666666666668</v>
      </c>
      <c r="N16" s="231">
        <f>'281ι2'!N16</f>
        <v>4.3400000000000007</v>
      </c>
      <c r="O16" s="46"/>
      <c r="P16" s="55"/>
      <c r="Q16" s="436">
        <v>75.88</v>
      </c>
      <c r="R16" s="435">
        <f t="shared" si="1"/>
        <v>91.055999999999997</v>
      </c>
      <c r="S16" s="231">
        <f>'281ξ(1-2)'!AD16</f>
        <v>2119.6279999999997</v>
      </c>
      <c r="T16" s="231">
        <f>'281ξ(1-2)'!AG16</f>
        <v>0</v>
      </c>
      <c r="U16" s="45" t="e">
        <f>#REF!</f>
        <v>#REF!</v>
      </c>
      <c r="V16" s="238">
        <f>'281ρ1'!N15</f>
        <v>0</v>
      </c>
      <c r="W16" s="238">
        <f>'281ρ2'!N15</f>
        <v>0</v>
      </c>
      <c r="X16" s="238">
        <f>'281ρ3'!N15</f>
        <v>0</v>
      </c>
      <c r="Y16" s="238">
        <f>'281υ1'!N15</f>
        <v>0</v>
      </c>
      <c r="Z16" s="238">
        <f>'281υ2'!N15</f>
        <v>0</v>
      </c>
      <c r="AA16" s="231">
        <f>'281φ1'!N15</f>
        <v>0</v>
      </c>
      <c r="AB16" s="231">
        <f>'281φ2'!N15</f>
        <v>0</v>
      </c>
      <c r="AC16" s="231" t="e">
        <f t="shared" si="0"/>
        <v>#REF!</v>
      </c>
    </row>
    <row r="17" spans="1:31">
      <c r="A17" s="53">
        <v>2012</v>
      </c>
      <c r="B17" s="232" t="e">
        <f>#REF!</f>
        <v>#REF!</v>
      </c>
      <c r="C17" s="231" t="e">
        <f>#REF!</f>
        <v>#REF!</v>
      </c>
      <c r="D17" s="231" t="e">
        <f>#REF!</f>
        <v>#REF!</v>
      </c>
      <c r="E17" s="36"/>
      <c r="F17" s="36"/>
      <c r="G17" s="36"/>
      <c r="H17" s="36"/>
      <c r="I17" s="47">
        <f>'281ζ'!O16</f>
        <v>0</v>
      </c>
      <c r="J17" s="45">
        <f>'281η'!N16</f>
        <v>0</v>
      </c>
      <c r="K17" s="45">
        <f>'281θ'!N16</f>
        <v>0</v>
      </c>
      <c r="L17" s="231">
        <f>'281ι1α'!N16</f>
        <v>215.85</v>
      </c>
      <c r="M17" s="231">
        <f>'281ι1β'!N17</f>
        <v>143.89999999999998</v>
      </c>
      <c r="N17" s="231">
        <f>'281ι2'!N17</f>
        <v>21.66</v>
      </c>
      <c r="O17" s="46"/>
      <c r="P17" s="55"/>
      <c r="Q17" s="436">
        <v>37.83</v>
      </c>
      <c r="R17" s="435">
        <f t="shared" si="1"/>
        <v>45.396000000000001</v>
      </c>
      <c r="S17" s="231">
        <f>'281ξ(1-2)'!AD17</f>
        <v>430.49879999999996</v>
      </c>
      <c r="T17" s="231">
        <f>'281ξ(1-2)'!AG17</f>
        <v>0</v>
      </c>
      <c r="U17" s="45" t="e">
        <f>#REF!</f>
        <v>#REF!</v>
      </c>
      <c r="V17" s="238">
        <f>'281ρ1'!N16</f>
        <v>0</v>
      </c>
      <c r="W17" s="238">
        <f>'281ρ2'!N16</f>
        <v>0</v>
      </c>
      <c r="X17" s="238">
        <f>'281ρ3'!N16</f>
        <v>0</v>
      </c>
      <c r="Y17" s="238">
        <f>'281υ1'!N16</f>
        <v>0</v>
      </c>
      <c r="Z17" s="238">
        <f>'281υ2'!N16</f>
        <v>0</v>
      </c>
      <c r="AA17" s="231">
        <f>'281φ1'!N16</f>
        <v>0</v>
      </c>
      <c r="AB17" s="231">
        <f>'281φ2'!N16</f>
        <v>0</v>
      </c>
      <c r="AC17" s="231" t="e">
        <f t="shared" si="0"/>
        <v>#REF!</v>
      </c>
    </row>
    <row r="18" spans="1:31">
      <c r="A18" s="53">
        <v>2013</v>
      </c>
      <c r="B18" s="232" t="e">
        <f>#REF!</f>
        <v>#REF!</v>
      </c>
      <c r="C18" s="231" t="e">
        <f>#REF!</f>
        <v>#REF!</v>
      </c>
      <c r="D18" s="231" t="e">
        <f>#REF!</f>
        <v>#REF!</v>
      </c>
      <c r="E18" s="36"/>
      <c r="F18" s="36"/>
      <c r="G18" s="36"/>
      <c r="H18" s="36"/>
      <c r="I18" s="47">
        <f>'281ζ'!O17</f>
        <v>0</v>
      </c>
      <c r="J18" s="45">
        <f>'281η'!N17</f>
        <v>0</v>
      </c>
      <c r="K18" s="45">
        <f>'281θ'!N17</f>
        <v>0</v>
      </c>
      <c r="L18" s="231">
        <f>'281ι1α'!N17</f>
        <v>100.22</v>
      </c>
      <c r="M18" s="231">
        <f>'281ι1β'!N18</f>
        <v>66.813333333333333</v>
      </c>
      <c r="N18" s="231">
        <f>'281ι2'!N18</f>
        <v>0</v>
      </c>
      <c r="O18" s="46"/>
      <c r="P18" s="38">
        <v>13536</v>
      </c>
      <c r="Q18" s="436">
        <v>12.45</v>
      </c>
      <c r="R18" s="435">
        <f t="shared" si="1"/>
        <v>14.939999999999998</v>
      </c>
      <c r="S18" s="231">
        <f>'281ξ(1-2)'!AD18</f>
        <v>5138.25</v>
      </c>
      <c r="T18" s="231">
        <f>'281ξ(1-2)'!AG18</f>
        <v>165.70840000000001</v>
      </c>
      <c r="U18" s="45" t="e">
        <f>#REF!</f>
        <v>#REF!</v>
      </c>
      <c r="V18" s="238">
        <f>'281ρ1'!N17</f>
        <v>0</v>
      </c>
      <c r="W18" s="238">
        <f>'281ρ2'!N17</f>
        <v>0</v>
      </c>
      <c r="X18" s="238">
        <f>'281ρ3'!N17</f>
        <v>0</v>
      </c>
      <c r="Y18" s="238">
        <f>'281υ1'!N17</f>
        <v>0</v>
      </c>
      <c r="Z18" s="238">
        <f>'281υ2'!N17</f>
        <v>0</v>
      </c>
      <c r="AA18" s="231">
        <f>'281φ1'!N17</f>
        <v>0</v>
      </c>
      <c r="AB18" s="231">
        <f>'281φ2'!N17</f>
        <v>0</v>
      </c>
      <c r="AC18" s="231" t="e">
        <f t="shared" si="0"/>
        <v>#REF!</v>
      </c>
      <c r="AD18" s="12" t="s">
        <v>1</v>
      </c>
      <c r="AE18" s="12" t="s">
        <v>2</v>
      </c>
    </row>
    <row r="19" spans="1:31" s="13" customFormat="1">
      <c r="A19" s="2" t="s">
        <v>35</v>
      </c>
      <c r="B19" s="48" t="e">
        <f t="shared" ref="B19:M19" si="2">SUM(B3:B18)</f>
        <v>#REF!</v>
      </c>
      <c r="C19" s="6" t="e">
        <f t="shared" si="2"/>
        <v>#REF!</v>
      </c>
      <c r="D19" s="6" t="e">
        <f t="shared" si="2"/>
        <v>#REF!</v>
      </c>
      <c r="E19" s="6">
        <f t="shared" si="2"/>
        <v>240.65047688921499</v>
      </c>
      <c r="F19" s="48">
        <f>SUM(F3:F18)</f>
        <v>1049.96</v>
      </c>
      <c r="G19" s="6">
        <f t="shared" si="2"/>
        <v>967.21</v>
      </c>
      <c r="H19" s="48">
        <f t="shared" si="2"/>
        <v>4331.67</v>
      </c>
      <c r="I19" s="6">
        <f t="shared" si="2"/>
        <v>681.43000000000006</v>
      </c>
      <c r="J19" s="48">
        <f t="shared" si="2"/>
        <v>0</v>
      </c>
      <c r="K19" s="6">
        <f t="shared" si="2"/>
        <v>120.13</v>
      </c>
      <c r="L19" s="48">
        <f t="shared" si="2"/>
        <v>1867.7399999999998</v>
      </c>
      <c r="M19" s="48">
        <f t="shared" si="2"/>
        <v>1245.1600000000001</v>
      </c>
      <c r="N19" s="6">
        <f t="shared" ref="N19" si="3">SUM(N3:N18)</f>
        <v>2406.04</v>
      </c>
      <c r="O19" s="48">
        <f t="shared" ref="O19" si="4">SUM(O3:O18)</f>
        <v>170.07999999999998</v>
      </c>
      <c r="P19" s="6">
        <f t="shared" ref="P19" si="5">SUM(P3:P18)</f>
        <v>13536</v>
      </c>
      <c r="Q19" s="437">
        <f>SUM(Q3:Q18)</f>
        <v>659.34999999999991</v>
      </c>
      <c r="R19" s="437">
        <f>SUM(R3:R18)</f>
        <v>791.2199999999998</v>
      </c>
      <c r="S19" s="6">
        <f t="shared" ref="S19:T19" si="6">SUM(S3:S18)</f>
        <v>15389.916800000001</v>
      </c>
      <c r="T19" s="6">
        <f t="shared" si="6"/>
        <v>4576.4214000000002</v>
      </c>
      <c r="U19" s="48" t="e">
        <f t="shared" ref="U19:AC19" si="7">SUM(U3:U18)</f>
        <v>#REF!</v>
      </c>
      <c r="V19" s="6">
        <f t="shared" si="7"/>
        <v>515.66000000000008</v>
      </c>
      <c r="W19" s="6"/>
      <c r="X19" s="6">
        <f t="shared" si="7"/>
        <v>562.65</v>
      </c>
      <c r="Y19" s="48">
        <f t="shared" si="7"/>
        <v>63.83</v>
      </c>
      <c r="Z19" s="48">
        <f t="shared" si="7"/>
        <v>42.553333333333327</v>
      </c>
      <c r="AA19" s="48">
        <f t="shared" si="7"/>
        <v>35.25</v>
      </c>
      <c r="AB19" s="48">
        <f t="shared" si="7"/>
        <v>23.499999999999996</v>
      </c>
      <c r="AC19" s="4" t="e">
        <f t="shared" si="7"/>
        <v>#REF!</v>
      </c>
    </row>
    <row r="20" spans="1:31">
      <c r="Q20" s="746" t="s">
        <v>207</v>
      </c>
      <c r="R20" s="746"/>
    </row>
    <row r="21" spans="1:31" ht="15.75">
      <c r="A21" s="339"/>
      <c r="B21" s="339"/>
      <c r="C21" s="339"/>
      <c r="D21" s="339"/>
      <c r="E21" s="339"/>
      <c r="F21" s="339"/>
      <c r="G21" s="339"/>
      <c r="H21" s="339" t="s">
        <v>42</v>
      </c>
      <c r="I21" s="339"/>
      <c r="J21" s="339"/>
      <c r="K21" s="339"/>
      <c r="L21" s="339"/>
      <c r="M21" s="339"/>
      <c r="N21" s="339"/>
      <c r="O21" s="339"/>
      <c r="P21" s="339"/>
    </row>
    <row r="22" spans="1:31" ht="15.75">
      <c r="A22" s="22" t="s">
        <v>319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ht="15.75">
      <c r="A23" s="22" t="s">
        <v>320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1:31" ht="15.75">
      <c r="A24" s="338"/>
      <c r="B24" s="339"/>
      <c r="C24" s="339"/>
      <c r="D24" s="339"/>
      <c r="E24" s="339"/>
      <c r="F24" s="339"/>
      <c r="G24" s="339"/>
      <c r="H24" s="339" t="s">
        <v>327</v>
      </c>
      <c r="I24" s="339"/>
      <c r="J24" s="339"/>
      <c r="K24" s="339"/>
      <c r="L24" s="339"/>
      <c r="M24" s="339"/>
      <c r="N24" s="339"/>
      <c r="O24" s="339"/>
    </row>
    <row r="25" spans="1:31" ht="15.75">
      <c r="A25" s="338"/>
      <c r="B25" s="336"/>
      <c r="C25" s="336"/>
      <c r="D25" s="336"/>
      <c r="E25" s="336"/>
      <c r="F25" s="336"/>
      <c r="G25" s="336"/>
      <c r="H25" s="336"/>
      <c r="I25" s="336"/>
      <c r="J25" s="336"/>
      <c r="K25" s="341" t="s">
        <v>328</v>
      </c>
      <c r="L25" s="336"/>
      <c r="M25" s="336"/>
      <c r="N25" s="336"/>
      <c r="O25" s="336"/>
    </row>
    <row r="26" spans="1:31" ht="15.75">
      <c r="A26" s="334" t="s">
        <v>290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</row>
    <row r="27" spans="1:31" ht="15.75">
      <c r="A27" s="335"/>
      <c r="B27" s="336"/>
      <c r="C27" s="340" t="s">
        <v>310</v>
      </c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</row>
    <row r="28" spans="1:31" ht="15.75">
      <c r="A28" s="334" t="s">
        <v>322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</row>
    <row r="29" spans="1:31" ht="15.75">
      <c r="A29" s="336"/>
      <c r="B29" s="336"/>
      <c r="C29" s="336"/>
      <c r="D29" s="336"/>
      <c r="E29" s="336"/>
      <c r="F29" s="336"/>
      <c r="G29" s="336"/>
      <c r="H29" s="336" t="s">
        <v>321</v>
      </c>
      <c r="I29" s="336"/>
      <c r="J29" s="336"/>
      <c r="K29" s="336"/>
      <c r="L29" s="336"/>
      <c r="M29" s="336"/>
      <c r="N29" s="336"/>
      <c r="O29" s="336"/>
    </row>
    <row r="30" spans="1:31" ht="15.75">
      <c r="A30" s="334" t="s">
        <v>323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</row>
    <row r="31" spans="1:31" ht="15.75">
      <c r="A31" s="336"/>
      <c r="B31" s="336"/>
      <c r="C31" s="336"/>
      <c r="D31" s="336"/>
      <c r="E31" s="336"/>
      <c r="F31" s="336"/>
      <c r="G31" s="336"/>
      <c r="H31" s="336" t="s">
        <v>329</v>
      </c>
      <c r="J31" s="336"/>
      <c r="K31" s="336"/>
      <c r="L31" s="336"/>
      <c r="M31" s="336"/>
      <c r="N31" s="336"/>
      <c r="O31" s="336"/>
    </row>
    <row r="32" spans="1:31" ht="15.75">
      <c r="A32" s="336"/>
      <c r="B32" s="336"/>
      <c r="C32" s="336"/>
      <c r="D32" s="336"/>
      <c r="E32" s="336"/>
      <c r="F32" s="336"/>
      <c r="G32" s="336"/>
      <c r="H32" s="336"/>
      <c r="J32" s="336"/>
      <c r="K32" s="336"/>
      <c r="L32" s="336"/>
      <c r="M32" s="336"/>
      <c r="N32" s="336"/>
      <c r="O32" s="336" t="s">
        <v>63</v>
      </c>
    </row>
    <row r="33" spans="1:24" ht="15.75">
      <c r="A33" s="334" t="s">
        <v>330</v>
      </c>
      <c r="B33" s="336"/>
      <c r="C33" s="336"/>
      <c r="D33" s="336"/>
      <c r="E33" s="336"/>
      <c r="F33" s="336"/>
      <c r="G33" s="336"/>
      <c r="H33" s="336"/>
      <c r="J33" s="336"/>
      <c r="K33" s="336"/>
      <c r="L33" s="336"/>
      <c r="M33" s="336"/>
      <c r="N33" s="336"/>
      <c r="O33" s="336"/>
    </row>
    <row r="34" spans="1:24" s="21" customFormat="1" ht="15.75">
      <c r="A34" s="336"/>
      <c r="B34" s="336"/>
      <c r="C34" s="336"/>
      <c r="D34" s="336"/>
      <c r="E34" s="336"/>
      <c r="F34" s="336"/>
      <c r="G34" s="336"/>
      <c r="H34" s="336" t="s">
        <v>324</v>
      </c>
      <c r="I34" s="336"/>
      <c r="J34" s="336"/>
      <c r="K34" s="336"/>
      <c r="L34" s="336"/>
      <c r="M34" s="336"/>
      <c r="N34" s="336"/>
      <c r="O34" s="336"/>
      <c r="P34" s="8"/>
      <c r="Q34" s="8"/>
    </row>
    <row r="35" spans="1:24" s="21" customFormat="1" ht="15.75">
      <c r="A35" s="337" t="s">
        <v>316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8"/>
      <c r="N35" s="8"/>
      <c r="O35" s="337"/>
      <c r="P35" s="8"/>
      <c r="Q35" s="8"/>
    </row>
    <row r="36" spans="1:24" s="21" customFormat="1" ht="15.75">
      <c r="A36" s="338"/>
      <c r="B36" s="338"/>
      <c r="C36" s="338"/>
      <c r="D36" s="338"/>
      <c r="E36" s="338"/>
      <c r="F36" s="338"/>
      <c r="G36" s="338"/>
      <c r="H36" s="439" t="s">
        <v>334</v>
      </c>
      <c r="I36" s="427"/>
      <c r="J36" s="427"/>
      <c r="K36" s="427"/>
      <c r="L36" s="427"/>
      <c r="M36" s="424"/>
      <c r="N36" s="424"/>
      <c r="O36" s="428" t="s">
        <v>387</v>
      </c>
      <c r="P36" s="8"/>
      <c r="Q36" s="8"/>
      <c r="R36" s="438" t="s">
        <v>207</v>
      </c>
    </row>
    <row r="37" spans="1:24" s="21" customFormat="1" ht="15.75">
      <c r="A37" s="338"/>
      <c r="B37" s="338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8"/>
      <c r="N37" s="8"/>
      <c r="O37" s="439" t="s">
        <v>67</v>
      </c>
      <c r="P37" s="424"/>
      <c r="Q37" s="424"/>
      <c r="R37" s="429"/>
      <c r="S37" s="429"/>
      <c r="T37" s="429"/>
      <c r="U37" s="428" t="s">
        <v>387</v>
      </c>
      <c r="X37" s="438" t="s">
        <v>207</v>
      </c>
    </row>
    <row r="38" spans="1:24" s="21" customFormat="1" ht="15.75">
      <c r="A38" s="335" t="s">
        <v>65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8"/>
      <c r="P38" s="8"/>
      <c r="Q38" s="8"/>
    </row>
    <row r="39" spans="1:24" s="21" customFormat="1" ht="15.75">
      <c r="A39" s="337" t="s">
        <v>66</v>
      </c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8"/>
      <c r="P39" s="8"/>
      <c r="Q39" s="8"/>
    </row>
    <row r="40" spans="1:24" s="21" customFormat="1" ht="15.75">
      <c r="A40" s="338"/>
      <c r="B40" s="338"/>
      <c r="C40" s="338"/>
      <c r="D40" s="338"/>
      <c r="E40" s="338"/>
      <c r="F40" s="338"/>
      <c r="G40" s="338"/>
      <c r="H40" s="338" t="s">
        <v>47</v>
      </c>
      <c r="I40" s="338"/>
      <c r="J40" s="338"/>
      <c r="K40" s="338"/>
      <c r="L40" s="338"/>
      <c r="M40" s="338"/>
      <c r="N40" s="338"/>
      <c r="P40" s="8"/>
      <c r="Q40" s="8"/>
    </row>
    <row r="41" spans="1:24" s="21" customFormat="1" ht="15.75">
      <c r="A41" s="334" t="s">
        <v>60</v>
      </c>
      <c r="B41" s="336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8"/>
      <c r="Q41" s="8"/>
    </row>
    <row r="42" spans="1:24" s="21" customFormat="1" ht="15.75">
      <c r="A42" s="337" t="s">
        <v>331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8"/>
    </row>
    <row r="43" spans="1:24" s="21" customFormat="1" ht="15.75">
      <c r="A43" s="338"/>
      <c r="B43" s="336"/>
      <c r="C43" s="336"/>
      <c r="D43" s="336"/>
      <c r="E43" s="336"/>
      <c r="F43" s="336"/>
      <c r="G43" s="336"/>
      <c r="H43" s="338" t="s">
        <v>332</v>
      </c>
      <c r="I43" s="336"/>
      <c r="J43" s="336"/>
      <c r="K43" s="336"/>
      <c r="L43" s="336"/>
      <c r="M43" s="336"/>
      <c r="N43" s="336"/>
      <c r="O43" s="338"/>
      <c r="P43" s="336"/>
    </row>
    <row r="44" spans="1:24" s="21" customFormat="1" ht="15.75">
      <c r="A44" s="338"/>
      <c r="B44" s="336"/>
      <c r="C44" s="336"/>
      <c r="D44" s="336"/>
      <c r="E44" s="336"/>
      <c r="F44" s="336"/>
      <c r="G44" s="336"/>
      <c r="H44" s="338"/>
      <c r="I44" s="336"/>
      <c r="J44" s="336"/>
      <c r="K44" s="336"/>
      <c r="L44" s="336"/>
      <c r="M44" s="336"/>
      <c r="N44" s="336"/>
      <c r="O44" s="338" t="s">
        <v>333</v>
      </c>
      <c r="P44" s="336"/>
    </row>
    <row r="45" spans="1:24" s="21" customFormat="1" ht="15.75">
      <c r="A45" s="338"/>
      <c r="B45" s="336"/>
      <c r="C45" s="336"/>
      <c r="D45" s="336"/>
      <c r="E45" s="336"/>
      <c r="F45" s="336"/>
      <c r="G45" s="336"/>
      <c r="H45" s="338" t="s">
        <v>213</v>
      </c>
      <c r="I45" s="336"/>
      <c r="J45" s="336"/>
      <c r="K45" s="336"/>
      <c r="L45" s="336"/>
      <c r="M45" s="336"/>
      <c r="N45" s="336"/>
      <c r="O45" s="338"/>
      <c r="P45" s="336"/>
    </row>
    <row r="46" spans="1:24" s="21" customFormat="1" ht="15.75">
      <c r="A46" s="338"/>
      <c r="H46" s="338"/>
      <c r="O46" s="338" t="s">
        <v>211</v>
      </c>
    </row>
  </sheetData>
  <mergeCells count="20">
    <mergeCell ref="Q20:R20"/>
    <mergeCell ref="I1:I2"/>
    <mergeCell ref="J1:J2"/>
    <mergeCell ref="K1:K2"/>
    <mergeCell ref="L1:N1"/>
    <mergeCell ref="O1:O2"/>
    <mergeCell ref="A1:A2"/>
    <mergeCell ref="G1:H1"/>
    <mergeCell ref="B1:B2"/>
    <mergeCell ref="C1:C2"/>
    <mergeCell ref="D1:D2"/>
    <mergeCell ref="E1:F1"/>
    <mergeCell ref="AC1:AC2"/>
    <mergeCell ref="P1:P2"/>
    <mergeCell ref="S1:T1"/>
    <mergeCell ref="V1:X1"/>
    <mergeCell ref="Q1:R1"/>
    <mergeCell ref="Y1:Z1"/>
    <mergeCell ref="AA1:AB1"/>
    <mergeCell ref="U1:U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F90"/>
  <sheetViews>
    <sheetView workbookViewId="0">
      <pane ySplit="1" topLeftCell="A2" activePane="bottomLeft" state="frozen"/>
      <selection pane="bottomLeft" activeCell="U3" sqref="U3"/>
    </sheetView>
  </sheetViews>
  <sheetFormatPr defaultRowHeight="11.25"/>
  <cols>
    <col min="1" max="1" width="5" style="225" bestFit="1" customWidth="1"/>
    <col min="2" max="2" width="6.44140625" style="225" bestFit="1" customWidth="1"/>
    <col min="3" max="3" width="8" style="225" bestFit="1" customWidth="1"/>
    <col min="4" max="7" width="7.21875" style="225" bestFit="1" customWidth="1"/>
    <col min="8" max="8" width="5" style="225" bestFit="1" customWidth="1"/>
    <col min="9" max="10" width="9" style="225" bestFit="1" customWidth="1"/>
    <col min="11" max="11" width="8.44140625" style="225" customWidth="1"/>
    <col min="12" max="12" width="6.33203125" style="225" bestFit="1" customWidth="1"/>
    <col min="13" max="14" width="7.33203125" style="225" bestFit="1" customWidth="1"/>
    <col min="15" max="15" width="6.88671875" style="225" customWidth="1"/>
    <col min="16" max="16" width="9.88671875" style="225" bestFit="1" customWidth="1"/>
    <col min="17" max="17" width="8" style="225" bestFit="1" customWidth="1"/>
    <col min="18" max="18" width="4.77734375" style="225" customWidth="1"/>
    <col min="19" max="19" width="6.33203125" style="225" bestFit="1" customWidth="1"/>
    <col min="20" max="20" width="5.6640625" style="225" bestFit="1" customWidth="1"/>
    <col min="21" max="25" width="3.33203125" style="225" bestFit="1" customWidth="1"/>
    <col min="26" max="26" width="5.6640625" style="225" bestFit="1" customWidth="1"/>
    <col min="27" max="30" width="6.33203125" style="225" bestFit="1" customWidth="1"/>
    <col min="31" max="31" width="7" style="225" bestFit="1" customWidth="1"/>
    <col min="32" max="16384" width="8.88671875" style="225"/>
  </cols>
  <sheetData>
    <row r="1" spans="1:32" ht="12" thickBot="1">
      <c r="A1" s="259"/>
      <c r="B1" s="49" t="s">
        <v>18</v>
      </c>
      <c r="C1" s="260" t="s">
        <v>19</v>
      </c>
      <c r="D1" s="49" t="s">
        <v>20</v>
      </c>
      <c r="E1" s="20" t="s">
        <v>21</v>
      </c>
      <c r="F1" s="49" t="s">
        <v>2</v>
      </c>
      <c r="G1" s="260" t="s">
        <v>22</v>
      </c>
      <c r="H1" s="49" t="s">
        <v>23</v>
      </c>
      <c r="I1" s="20" t="s">
        <v>24</v>
      </c>
      <c r="J1" s="49" t="s">
        <v>25</v>
      </c>
      <c r="K1" s="260" t="s">
        <v>26</v>
      </c>
      <c r="L1" s="49" t="s">
        <v>27</v>
      </c>
      <c r="M1" s="20" t="s">
        <v>28</v>
      </c>
      <c r="N1" s="261"/>
      <c r="O1" s="35" t="s">
        <v>54</v>
      </c>
      <c r="P1" s="262" t="s">
        <v>210</v>
      </c>
      <c r="Q1" s="261" t="s">
        <v>54</v>
      </c>
      <c r="S1" s="225">
        <v>1</v>
      </c>
      <c r="T1" s="225">
        <v>2</v>
      </c>
      <c r="U1" s="225">
        <v>3</v>
      </c>
      <c r="V1" s="225">
        <v>4</v>
      </c>
      <c r="W1" s="225">
        <v>5</v>
      </c>
      <c r="X1" s="225">
        <v>6</v>
      </c>
      <c r="Y1" s="225">
        <v>7</v>
      </c>
      <c r="Z1" s="225">
        <v>8</v>
      </c>
      <c r="AA1" s="225">
        <v>9</v>
      </c>
      <c r="AB1" s="225">
        <v>10</v>
      </c>
      <c r="AC1" s="225">
        <v>11</v>
      </c>
      <c r="AD1" s="225">
        <v>12</v>
      </c>
    </row>
    <row r="2" spans="1:32">
      <c r="A2" s="229">
        <v>1998</v>
      </c>
      <c r="B2" s="227"/>
      <c r="C2" s="227"/>
      <c r="D2" s="227"/>
      <c r="E2" s="227"/>
      <c r="F2" s="227"/>
      <c r="G2" s="227"/>
      <c r="H2" s="227"/>
      <c r="I2" s="227"/>
      <c r="J2" s="227"/>
      <c r="K2" s="238">
        <v>2183.71</v>
      </c>
      <c r="L2" s="238">
        <v>419.19</v>
      </c>
      <c r="M2" s="238">
        <v>1590.6</v>
      </c>
      <c r="N2" s="231">
        <f>SUM(B2:M2)</f>
        <v>4193.5</v>
      </c>
      <c r="O2" s="243">
        <f>AE2</f>
        <v>120887</v>
      </c>
      <c r="P2" s="231">
        <f>N2*R2</f>
        <v>1258.05</v>
      </c>
      <c r="Q2" s="243">
        <f>O2*R2</f>
        <v>36266.1</v>
      </c>
      <c r="R2" s="626">
        <v>0.3</v>
      </c>
      <c r="S2" s="237"/>
      <c r="T2" s="237"/>
      <c r="U2" s="237"/>
      <c r="V2" s="237"/>
      <c r="W2" s="237"/>
      <c r="X2" s="237"/>
      <c r="Y2" s="237"/>
      <c r="Z2" s="237"/>
      <c r="AA2" s="237"/>
      <c r="AB2" s="237">
        <v>63975</v>
      </c>
      <c r="AC2" s="237">
        <v>12050</v>
      </c>
      <c r="AD2" s="237">
        <v>44862</v>
      </c>
      <c r="AE2" s="109">
        <f>SUM(S2:AD2)</f>
        <v>120887</v>
      </c>
    </row>
    <row r="3" spans="1:32">
      <c r="A3" s="226">
        <v>1999</v>
      </c>
      <c r="B3" s="242">
        <v>67.569999999999993</v>
      </c>
      <c r="C3" s="242">
        <v>70.599999999999994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31">
        <f t="shared" ref="N3:N17" si="0">SUM(B3:M3)</f>
        <v>138.16999999999999</v>
      </c>
      <c r="O3" s="243">
        <f t="shared" ref="O3:O17" si="1">AE3</f>
        <v>3790</v>
      </c>
      <c r="P3" s="231">
        <f t="shared" ref="P3:P17" si="2">N3*R3</f>
        <v>55.268000000000001</v>
      </c>
      <c r="Q3" s="243">
        <f t="shared" ref="Q3:Q17" si="3">O3*R3</f>
        <v>1516</v>
      </c>
      <c r="R3" s="626">
        <v>0.4</v>
      </c>
      <c r="S3" s="237">
        <v>1870</v>
      </c>
      <c r="T3" s="237">
        <v>1920</v>
      </c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109">
        <f>SUM(S3:AD3)</f>
        <v>3790</v>
      </c>
      <c r="AF3" s="245"/>
    </row>
    <row r="4" spans="1:32">
      <c r="A4" s="226">
        <v>2000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31">
        <f t="shared" si="0"/>
        <v>0</v>
      </c>
      <c r="O4" s="243">
        <f t="shared" si="1"/>
        <v>0</v>
      </c>
      <c r="P4" s="231">
        <f t="shared" si="2"/>
        <v>0</v>
      </c>
      <c r="Q4" s="243">
        <f t="shared" si="3"/>
        <v>0</v>
      </c>
      <c r="R4" s="626">
        <v>0.45</v>
      </c>
      <c r="AE4" s="109">
        <f t="shared" ref="AE4:AE17" si="4">SUM(S4:AD4)</f>
        <v>0</v>
      </c>
      <c r="AF4" s="111"/>
    </row>
    <row r="5" spans="1:32">
      <c r="A5" s="226">
        <v>2001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31">
        <f t="shared" si="0"/>
        <v>0</v>
      </c>
      <c r="O5" s="243">
        <f t="shared" si="1"/>
        <v>0</v>
      </c>
      <c r="P5" s="231">
        <f t="shared" si="2"/>
        <v>0</v>
      </c>
      <c r="Q5" s="243">
        <f t="shared" si="3"/>
        <v>0</v>
      </c>
      <c r="R5" s="626">
        <v>0.4</v>
      </c>
      <c r="AE5" s="109">
        <f t="shared" si="4"/>
        <v>0</v>
      </c>
    </row>
    <row r="6" spans="1:32">
      <c r="A6" s="226">
        <v>2002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31">
        <f t="shared" si="0"/>
        <v>0</v>
      </c>
      <c r="O6" s="243">
        <f t="shared" si="1"/>
        <v>0</v>
      </c>
      <c r="P6" s="231">
        <f t="shared" si="2"/>
        <v>0</v>
      </c>
      <c r="Q6" s="243">
        <f t="shared" si="3"/>
        <v>0</v>
      </c>
      <c r="R6" s="626">
        <v>0.4</v>
      </c>
      <c r="AE6" s="109">
        <f t="shared" si="4"/>
        <v>0</v>
      </c>
    </row>
    <row r="7" spans="1:32">
      <c r="A7" s="226">
        <v>2003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231">
        <f t="shared" si="0"/>
        <v>0</v>
      </c>
      <c r="O7" s="243">
        <f t="shared" si="1"/>
        <v>0</v>
      </c>
      <c r="P7" s="231">
        <f t="shared" si="2"/>
        <v>0</v>
      </c>
      <c r="Q7" s="243">
        <f t="shared" si="3"/>
        <v>0</v>
      </c>
      <c r="R7" s="626">
        <v>0.4</v>
      </c>
      <c r="AE7" s="109">
        <f t="shared" si="4"/>
        <v>0</v>
      </c>
    </row>
    <row r="8" spans="1:32">
      <c r="A8" s="226">
        <v>2004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231">
        <f t="shared" si="0"/>
        <v>0</v>
      </c>
      <c r="O8" s="243">
        <f t="shared" si="1"/>
        <v>0</v>
      </c>
      <c r="P8" s="231">
        <f t="shared" si="2"/>
        <v>0</v>
      </c>
      <c r="Q8" s="243">
        <f t="shared" si="3"/>
        <v>0</v>
      </c>
      <c r="R8" s="626">
        <v>0.4</v>
      </c>
      <c r="AE8" s="109">
        <f t="shared" si="4"/>
        <v>0</v>
      </c>
    </row>
    <row r="9" spans="1:32">
      <c r="A9" s="226">
        <v>2005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31">
        <f t="shared" si="0"/>
        <v>0</v>
      </c>
      <c r="O9" s="243">
        <f t="shared" si="1"/>
        <v>0</v>
      </c>
      <c r="P9" s="231">
        <f t="shared" si="2"/>
        <v>0</v>
      </c>
      <c r="Q9" s="243">
        <f t="shared" si="3"/>
        <v>0</v>
      </c>
      <c r="R9" s="626">
        <v>0.4</v>
      </c>
      <c r="AE9" s="109">
        <f t="shared" si="4"/>
        <v>0</v>
      </c>
    </row>
    <row r="10" spans="1:32">
      <c r="A10" s="226">
        <v>2006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31">
        <f t="shared" si="0"/>
        <v>0</v>
      </c>
      <c r="O10" s="243">
        <f t="shared" si="1"/>
        <v>0</v>
      </c>
      <c r="P10" s="231">
        <f t="shared" si="2"/>
        <v>0</v>
      </c>
      <c r="Q10" s="243">
        <f t="shared" si="3"/>
        <v>0</v>
      </c>
      <c r="R10" s="626">
        <v>0.4</v>
      </c>
      <c r="AE10" s="109">
        <f t="shared" si="4"/>
        <v>0</v>
      </c>
    </row>
    <row r="11" spans="1:32">
      <c r="A11" s="226">
        <v>2007</v>
      </c>
      <c r="B11" s="242"/>
      <c r="C11" s="242"/>
      <c r="D11" s="242"/>
      <c r="E11" s="242"/>
      <c r="F11" s="242"/>
      <c r="G11" s="242"/>
      <c r="H11" s="236"/>
      <c r="I11" s="236"/>
      <c r="J11" s="236"/>
      <c r="K11" s="236"/>
      <c r="L11" s="236"/>
      <c r="M11" s="236"/>
      <c r="N11" s="231">
        <f t="shared" si="0"/>
        <v>0</v>
      </c>
      <c r="O11" s="243">
        <f t="shared" si="1"/>
        <v>0</v>
      </c>
      <c r="P11" s="231">
        <f t="shared" si="2"/>
        <v>0</v>
      </c>
      <c r="Q11" s="243">
        <f t="shared" si="3"/>
        <v>0</v>
      </c>
      <c r="R11" s="626">
        <v>0.4</v>
      </c>
      <c r="AE11" s="109">
        <f t="shared" si="4"/>
        <v>0</v>
      </c>
    </row>
    <row r="12" spans="1:32">
      <c r="A12" s="226">
        <v>2008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1">
        <f t="shared" si="0"/>
        <v>0</v>
      </c>
      <c r="O12" s="243">
        <f t="shared" si="1"/>
        <v>0</v>
      </c>
      <c r="P12" s="231">
        <f t="shared" si="2"/>
        <v>0</v>
      </c>
      <c r="Q12" s="243">
        <f t="shared" si="3"/>
        <v>0</v>
      </c>
      <c r="R12" s="626">
        <v>0.4</v>
      </c>
      <c r="AE12" s="109">
        <f t="shared" si="4"/>
        <v>0</v>
      </c>
    </row>
    <row r="13" spans="1:32">
      <c r="A13" s="226">
        <v>2009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1">
        <f t="shared" si="0"/>
        <v>0</v>
      </c>
      <c r="O13" s="243">
        <f t="shared" si="1"/>
        <v>0</v>
      </c>
      <c r="P13" s="231">
        <f t="shared" si="2"/>
        <v>0</v>
      </c>
      <c r="Q13" s="243">
        <f t="shared" si="3"/>
        <v>0</v>
      </c>
      <c r="R13" s="626">
        <v>0.35</v>
      </c>
      <c r="AE13" s="109">
        <f t="shared" si="4"/>
        <v>0</v>
      </c>
    </row>
    <row r="14" spans="1:32">
      <c r="A14" s="226">
        <v>2010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1">
        <f t="shared" si="0"/>
        <v>0</v>
      </c>
      <c r="O14" s="243">
        <f t="shared" si="1"/>
        <v>0</v>
      </c>
      <c r="P14" s="231">
        <f t="shared" si="2"/>
        <v>0</v>
      </c>
      <c r="Q14" s="243">
        <f t="shared" si="3"/>
        <v>0</v>
      </c>
      <c r="R14" s="626">
        <v>0.45</v>
      </c>
      <c r="AE14" s="109">
        <f t="shared" si="4"/>
        <v>0</v>
      </c>
    </row>
    <row r="15" spans="1:32">
      <c r="A15" s="226">
        <v>2011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1">
        <f t="shared" si="0"/>
        <v>0</v>
      </c>
      <c r="O15" s="243">
        <f t="shared" si="1"/>
        <v>0</v>
      </c>
      <c r="P15" s="231">
        <f t="shared" si="2"/>
        <v>0</v>
      </c>
      <c r="Q15" s="243">
        <f t="shared" si="3"/>
        <v>0</v>
      </c>
      <c r="R15" s="626">
        <v>0.35</v>
      </c>
      <c r="AE15" s="109">
        <f t="shared" si="4"/>
        <v>0</v>
      </c>
    </row>
    <row r="16" spans="1:32">
      <c r="A16" s="226">
        <v>2012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1">
        <f t="shared" si="0"/>
        <v>0</v>
      </c>
      <c r="O16" s="243">
        <f t="shared" si="1"/>
        <v>0</v>
      </c>
      <c r="P16" s="231">
        <f t="shared" si="2"/>
        <v>0</v>
      </c>
      <c r="Q16" s="243">
        <f t="shared" si="3"/>
        <v>0</v>
      </c>
      <c r="R16" s="626">
        <v>0.18</v>
      </c>
      <c r="AE16" s="109">
        <f t="shared" si="4"/>
        <v>0</v>
      </c>
    </row>
    <row r="17" spans="1:31">
      <c r="A17" s="226">
        <v>2013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1">
        <f t="shared" si="0"/>
        <v>0</v>
      </c>
      <c r="O17" s="243">
        <f t="shared" si="1"/>
        <v>0</v>
      </c>
      <c r="P17" s="231">
        <f t="shared" si="2"/>
        <v>0</v>
      </c>
      <c r="Q17" s="243">
        <f t="shared" si="3"/>
        <v>0</v>
      </c>
      <c r="R17" s="626">
        <v>0.26</v>
      </c>
      <c r="AE17" s="109">
        <f t="shared" si="4"/>
        <v>0</v>
      </c>
    </row>
    <row r="18" spans="1:31"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2">
        <f>SUM(N2:N17)</f>
        <v>4331.67</v>
      </c>
      <c r="O18" s="240">
        <f>SUM(O2:O17)</f>
        <v>124677</v>
      </c>
      <c r="P18" s="232">
        <f t="shared" ref="P18:Q18" si="5">SUM(P2:P17)</f>
        <v>1313.318</v>
      </c>
      <c r="Q18" s="240">
        <f t="shared" si="5"/>
        <v>37782.1</v>
      </c>
    </row>
    <row r="20" spans="1:31">
      <c r="O20" s="245" t="s">
        <v>386</v>
      </c>
      <c r="Q20" s="111">
        <v>46062</v>
      </c>
    </row>
    <row r="21" spans="1:31">
      <c r="A21" s="799" t="s">
        <v>560</v>
      </c>
      <c r="B21" s="799"/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799"/>
      <c r="P21" s="799"/>
      <c r="Q21" s="799"/>
    </row>
    <row r="22" spans="1:31">
      <c r="A22" s="318"/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</row>
    <row r="24" spans="1:31">
      <c r="C24" s="276" t="s">
        <v>44</v>
      </c>
      <c r="D24" s="276"/>
      <c r="E24" s="276"/>
      <c r="F24" s="276" t="s">
        <v>45</v>
      </c>
      <c r="I24" s="795" t="s">
        <v>287</v>
      </c>
      <c r="J24" s="795"/>
      <c r="K24" s="795"/>
      <c r="S24" s="304"/>
      <c r="T24" s="304"/>
    </row>
    <row r="25" spans="1:31" ht="12" thickBot="1">
      <c r="B25" s="293" t="s">
        <v>286</v>
      </c>
      <c r="C25" s="293" t="s">
        <v>289</v>
      </c>
      <c r="D25" s="293" t="s">
        <v>58</v>
      </c>
      <c r="E25" s="293"/>
      <c r="F25" s="293" t="s">
        <v>289</v>
      </c>
      <c r="G25" s="293" t="s">
        <v>58</v>
      </c>
      <c r="H25" s="293"/>
      <c r="I25" s="293" t="s">
        <v>68</v>
      </c>
    </row>
    <row r="26" spans="1:31">
      <c r="A26" s="788" t="s">
        <v>284</v>
      </c>
      <c r="B26" s="270">
        <v>73</v>
      </c>
      <c r="C26" s="271">
        <v>179191</v>
      </c>
      <c r="D26" s="271">
        <v>29089</v>
      </c>
      <c r="E26" s="272">
        <f t="shared" ref="E26:E60" si="6">D26/340.75</f>
        <v>85.367571533382247</v>
      </c>
      <c r="F26" s="300" t="s">
        <v>301</v>
      </c>
      <c r="G26" s="301"/>
      <c r="H26" s="301">
        <f t="shared" ref="H26:H61" si="7">G26/340.75</f>
        <v>0</v>
      </c>
      <c r="I26" s="302">
        <f t="shared" ref="I26:I60" si="8">E26+H26</f>
        <v>85.367571533382247</v>
      </c>
      <c r="J26" s="270"/>
    </row>
    <row r="27" spans="1:31">
      <c r="A27" s="789"/>
      <c r="B27" s="264">
        <v>74</v>
      </c>
      <c r="C27" s="265">
        <v>179189</v>
      </c>
      <c r="D27" s="265">
        <v>10138</v>
      </c>
      <c r="E27" s="170">
        <f t="shared" si="6"/>
        <v>29.752017608217169</v>
      </c>
      <c r="F27" s="294" t="s">
        <v>301</v>
      </c>
      <c r="G27" s="295"/>
      <c r="H27" s="295">
        <f t="shared" si="7"/>
        <v>0</v>
      </c>
      <c r="I27" s="296">
        <f t="shared" si="8"/>
        <v>29.752017608217169</v>
      </c>
      <c r="J27" s="264"/>
      <c r="K27" s="107" t="s">
        <v>302</v>
      </c>
    </row>
    <row r="28" spans="1:31">
      <c r="A28" s="789"/>
      <c r="B28" s="264">
        <v>76</v>
      </c>
      <c r="C28" s="265">
        <v>179508</v>
      </c>
      <c r="D28" s="265">
        <v>17719</v>
      </c>
      <c r="E28" s="170">
        <f t="shared" si="6"/>
        <v>52</v>
      </c>
      <c r="F28" s="294" t="s">
        <v>301</v>
      </c>
      <c r="G28" s="295"/>
      <c r="H28" s="295">
        <f t="shared" si="7"/>
        <v>0</v>
      </c>
      <c r="I28" s="296">
        <f t="shared" si="8"/>
        <v>52</v>
      </c>
      <c r="J28" s="264"/>
      <c r="K28" s="107" t="s">
        <v>303</v>
      </c>
    </row>
    <row r="29" spans="1:31">
      <c r="A29" s="789"/>
      <c r="B29" s="264">
        <v>77</v>
      </c>
      <c r="C29" s="265">
        <v>179184</v>
      </c>
      <c r="D29" s="265">
        <v>13170</v>
      </c>
      <c r="E29" s="170">
        <f t="shared" si="6"/>
        <v>38.650036683785764</v>
      </c>
      <c r="F29" s="294" t="s">
        <v>301</v>
      </c>
      <c r="G29" s="295"/>
      <c r="H29" s="295">
        <f t="shared" si="7"/>
        <v>0</v>
      </c>
      <c r="I29" s="296">
        <f t="shared" si="8"/>
        <v>38.650036683785764</v>
      </c>
      <c r="J29" s="264"/>
    </row>
    <row r="30" spans="1:31">
      <c r="A30" s="789"/>
      <c r="B30" s="264">
        <v>78</v>
      </c>
      <c r="C30" s="305" t="s">
        <v>304</v>
      </c>
      <c r="D30" s="265">
        <v>111696</v>
      </c>
      <c r="E30" s="170">
        <f t="shared" si="6"/>
        <v>327.79457079970655</v>
      </c>
      <c r="F30" s="294" t="s">
        <v>301</v>
      </c>
      <c r="G30" s="295"/>
      <c r="H30" s="295">
        <f t="shared" si="7"/>
        <v>0</v>
      </c>
      <c r="I30" s="296">
        <f t="shared" si="8"/>
        <v>327.79457079970655</v>
      </c>
      <c r="J30" s="264"/>
    </row>
    <row r="31" spans="1:31">
      <c r="A31" s="789"/>
      <c r="B31" s="264">
        <v>86</v>
      </c>
      <c r="C31" s="265">
        <v>179178</v>
      </c>
      <c r="D31" s="265">
        <v>32211</v>
      </c>
      <c r="E31" s="170">
        <f t="shared" si="6"/>
        <v>94.529713866471013</v>
      </c>
      <c r="F31" s="294" t="s">
        <v>301</v>
      </c>
      <c r="G31" s="295"/>
      <c r="H31" s="295">
        <f t="shared" si="7"/>
        <v>0</v>
      </c>
      <c r="I31" s="296">
        <f t="shared" si="8"/>
        <v>94.529713866471013</v>
      </c>
      <c r="J31" s="264"/>
    </row>
    <row r="32" spans="1:31">
      <c r="A32" s="789"/>
      <c r="B32" s="264">
        <v>87</v>
      </c>
      <c r="C32" s="265">
        <v>179176</v>
      </c>
      <c r="D32" s="265">
        <v>245345</v>
      </c>
      <c r="E32" s="170">
        <f t="shared" si="6"/>
        <v>720.01467351430665</v>
      </c>
      <c r="F32" s="294" t="s">
        <v>301</v>
      </c>
      <c r="G32" s="295"/>
      <c r="H32" s="295">
        <f t="shared" si="7"/>
        <v>0</v>
      </c>
      <c r="I32" s="296">
        <f t="shared" si="8"/>
        <v>720.01467351430665</v>
      </c>
      <c r="J32" s="264"/>
    </row>
    <row r="33" spans="1:11">
      <c r="A33" s="789"/>
      <c r="B33" s="264">
        <v>88</v>
      </c>
      <c r="C33" s="265">
        <v>179173</v>
      </c>
      <c r="D33" s="265">
        <v>196354</v>
      </c>
      <c r="E33" s="170">
        <f t="shared" si="6"/>
        <v>576.24064563462946</v>
      </c>
      <c r="F33" s="294" t="s">
        <v>301</v>
      </c>
      <c r="G33" s="295"/>
      <c r="H33" s="295">
        <f t="shared" si="7"/>
        <v>0</v>
      </c>
      <c r="I33" s="296">
        <f t="shared" si="8"/>
        <v>576.24064563462946</v>
      </c>
      <c r="J33" s="264"/>
    </row>
    <row r="34" spans="1:11">
      <c r="A34" s="789"/>
      <c r="B34" s="264">
        <v>91</v>
      </c>
      <c r="C34" s="265">
        <v>179171</v>
      </c>
      <c r="D34" s="265">
        <v>79041</v>
      </c>
      <c r="E34" s="170">
        <f t="shared" si="6"/>
        <v>231.96184886280264</v>
      </c>
      <c r="F34" s="294" t="s">
        <v>301</v>
      </c>
      <c r="G34" s="295"/>
      <c r="H34" s="295">
        <f t="shared" si="7"/>
        <v>0</v>
      </c>
      <c r="I34" s="296">
        <f t="shared" si="8"/>
        <v>231.96184886280264</v>
      </c>
      <c r="J34" s="264"/>
    </row>
    <row r="35" spans="1:11">
      <c r="A35" s="789"/>
      <c r="B35" s="264">
        <v>104</v>
      </c>
      <c r="C35" s="265">
        <v>179166</v>
      </c>
      <c r="D35" s="265">
        <v>3745</v>
      </c>
      <c r="E35" s="170">
        <f t="shared" si="6"/>
        <v>10.99046221570066</v>
      </c>
      <c r="F35" s="294" t="s">
        <v>301</v>
      </c>
      <c r="G35" s="295"/>
      <c r="H35" s="295">
        <f t="shared" si="7"/>
        <v>0</v>
      </c>
      <c r="I35" s="296">
        <f t="shared" si="8"/>
        <v>10.99046221570066</v>
      </c>
      <c r="J35" s="264"/>
    </row>
    <row r="36" spans="1:11" ht="12" thickBot="1">
      <c r="A36" s="790"/>
      <c r="B36" s="266">
        <v>108</v>
      </c>
      <c r="C36" s="267">
        <v>179162</v>
      </c>
      <c r="D36" s="267">
        <v>5591</v>
      </c>
      <c r="E36" s="268">
        <f t="shared" si="6"/>
        <v>16.407923697725604</v>
      </c>
      <c r="F36" s="297" t="s">
        <v>301</v>
      </c>
      <c r="G36" s="298"/>
      <c r="H36" s="298">
        <f t="shared" si="7"/>
        <v>0</v>
      </c>
      <c r="I36" s="299">
        <f t="shared" si="8"/>
        <v>16.407923697725604</v>
      </c>
      <c r="J36" s="269">
        <f>SUM(I26:I36)</f>
        <v>2183.7094644167273</v>
      </c>
    </row>
    <row r="37" spans="1:11">
      <c r="A37" s="784" t="s">
        <v>296</v>
      </c>
      <c r="B37" s="270">
        <v>110</v>
      </c>
      <c r="C37" s="307">
        <v>179161</v>
      </c>
      <c r="D37" s="271">
        <v>3089</v>
      </c>
      <c r="E37" s="272">
        <f t="shared" si="6"/>
        <v>9.065297138664711</v>
      </c>
      <c r="F37" s="300" t="s">
        <v>301</v>
      </c>
      <c r="G37" s="301"/>
      <c r="H37" s="301">
        <f t="shared" si="7"/>
        <v>0</v>
      </c>
      <c r="I37" s="302">
        <f t="shared" si="8"/>
        <v>9.065297138664711</v>
      </c>
      <c r="J37" s="270"/>
    </row>
    <row r="38" spans="1:11">
      <c r="A38" s="792"/>
      <c r="B38" s="264">
        <v>113</v>
      </c>
      <c r="C38" s="288">
        <v>179159</v>
      </c>
      <c r="D38" s="265">
        <v>18476</v>
      </c>
      <c r="E38" s="170">
        <f t="shared" si="6"/>
        <v>54.221570066030814</v>
      </c>
      <c r="F38" s="294" t="s">
        <v>301</v>
      </c>
      <c r="G38" s="295"/>
      <c r="H38" s="295">
        <f t="shared" si="7"/>
        <v>0</v>
      </c>
      <c r="I38" s="296">
        <f t="shared" si="8"/>
        <v>54.221570066030814</v>
      </c>
      <c r="J38" s="264"/>
    </row>
    <row r="39" spans="1:11">
      <c r="A39" s="792"/>
      <c r="B39" s="264">
        <v>122</v>
      </c>
      <c r="C39" s="288">
        <v>179154</v>
      </c>
      <c r="D39" s="265">
        <v>10139</v>
      </c>
      <c r="E39" s="170">
        <f t="shared" si="6"/>
        <v>29.754952311078505</v>
      </c>
      <c r="F39" s="294" t="s">
        <v>301</v>
      </c>
      <c r="G39" s="295"/>
      <c r="H39" s="295">
        <f t="shared" si="7"/>
        <v>0</v>
      </c>
      <c r="I39" s="296">
        <f t="shared" si="8"/>
        <v>29.754952311078505</v>
      </c>
      <c r="J39" s="264"/>
    </row>
    <row r="40" spans="1:11">
      <c r="A40" s="792"/>
      <c r="B40" s="264">
        <v>123</v>
      </c>
      <c r="C40" s="288">
        <v>179156</v>
      </c>
      <c r="D40" s="265">
        <v>27193</v>
      </c>
      <c r="E40" s="170">
        <f t="shared" si="6"/>
        <v>79.803374908290536</v>
      </c>
      <c r="F40" s="294" t="s">
        <v>301</v>
      </c>
      <c r="G40" s="295"/>
      <c r="H40" s="295">
        <f t="shared" si="7"/>
        <v>0</v>
      </c>
      <c r="I40" s="296">
        <f t="shared" si="8"/>
        <v>79.803374908290536</v>
      </c>
      <c r="J40" s="264"/>
    </row>
    <row r="41" spans="1:11">
      <c r="A41" s="792"/>
      <c r="B41" s="264">
        <v>124</v>
      </c>
      <c r="C41" s="288">
        <v>179152</v>
      </c>
      <c r="D41" s="265">
        <v>10139</v>
      </c>
      <c r="E41" s="170">
        <f t="shared" si="6"/>
        <v>29.754952311078505</v>
      </c>
      <c r="F41" s="294" t="s">
        <v>301</v>
      </c>
      <c r="G41" s="295"/>
      <c r="H41" s="295">
        <f t="shared" si="7"/>
        <v>0</v>
      </c>
      <c r="I41" s="296">
        <f t="shared" si="8"/>
        <v>29.754952311078505</v>
      </c>
      <c r="J41" s="264"/>
    </row>
    <row r="42" spans="1:11">
      <c r="A42" s="792"/>
      <c r="B42" s="264">
        <v>126</v>
      </c>
      <c r="C42" s="288">
        <v>179186</v>
      </c>
      <c r="D42" s="265">
        <v>42733</v>
      </c>
      <c r="E42" s="170">
        <f t="shared" si="6"/>
        <v>125.40865737344095</v>
      </c>
      <c r="F42" s="294" t="s">
        <v>301</v>
      </c>
      <c r="G42" s="295"/>
      <c r="H42" s="295">
        <f t="shared" si="7"/>
        <v>0</v>
      </c>
      <c r="I42" s="296">
        <f t="shared" si="8"/>
        <v>125.40865737344095</v>
      </c>
      <c r="J42" s="264"/>
    </row>
    <row r="43" spans="1:11">
      <c r="A43" s="792"/>
      <c r="B43" s="264">
        <v>133</v>
      </c>
      <c r="C43" s="288">
        <v>147391</v>
      </c>
      <c r="D43" s="265">
        <v>23586</v>
      </c>
      <c r="E43" s="170">
        <f t="shared" si="6"/>
        <v>69.217901687454145</v>
      </c>
      <c r="F43" s="294" t="s">
        <v>301</v>
      </c>
      <c r="G43" s="295"/>
      <c r="H43" s="295">
        <f t="shared" si="7"/>
        <v>0</v>
      </c>
      <c r="I43" s="296">
        <f t="shared" si="8"/>
        <v>69.217901687454145</v>
      </c>
      <c r="J43" s="264"/>
      <c r="K43" s="306" t="s">
        <v>305</v>
      </c>
    </row>
    <row r="44" spans="1:11" ht="12" thickBot="1">
      <c r="A44" s="793"/>
      <c r="B44" s="266">
        <v>141</v>
      </c>
      <c r="C44" s="290">
        <v>147387</v>
      </c>
      <c r="D44" s="267">
        <v>7485</v>
      </c>
      <c r="E44" s="268">
        <f t="shared" si="6"/>
        <v>21.966250917094644</v>
      </c>
      <c r="F44" s="297" t="s">
        <v>301</v>
      </c>
      <c r="G44" s="298"/>
      <c r="H44" s="298">
        <f t="shared" si="7"/>
        <v>0</v>
      </c>
      <c r="I44" s="299">
        <f t="shared" si="8"/>
        <v>21.966250917094644</v>
      </c>
      <c r="J44" s="269">
        <f>SUM(I37:I44)</f>
        <v>419.1929567131329</v>
      </c>
    </row>
    <row r="45" spans="1:11">
      <c r="A45" s="788" t="s">
        <v>298</v>
      </c>
      <c r="B45" s="270">
        <v>154</v>
      </c>
      <c r="C45" s="307">
        <v>277636</v>
      </c>
      <c r="D45" s="271">
        <v>6587</v>
      </c>
      <c r="E45" s="272">
        <f t="shared" si="6"/>
        <v>19.330887747615552</v>
      </c>
      <c r="F45" s="300" t="s">
        <v>301</v>
      </c>
      <c r="G45" s="301"/>
      <c r="H45" s="301">
        <f t="shared" si="7"/>
        <v>0</v>
      </c>
      <c r="I45" s="302">
        <f t="shared" si="8"/>
        <v>19.330887747615552</v>
      </c>
      <c r="J45" s="270"/>
    </row>
    <row r="46" spans="1:11">
      <c r="A46" s="789"/>
      <c r="B46" s="264">
        <v>161</v>
      </c>
      <c r="C46" s="288">
        <v>277645</v>
      </c>
      <c r="D46" s="265">
        <v>19613</v>
      </c>
      <c r="E46" s="170">
        <f t="shared" si="6"/>
        <v>57.558327219369041</v>
      </c>
      <c r="F46" s="294" t="s">
        <v>301</v>
      </c>
      <c r="G46" s="295"/>
      <c r="H46" s="295">
        <f t="shared" si="7"/>
        <v>0</v>
      </c>
      <c r="I46" s="296">
        <f t="shared" si="8"/>
        <v>57.558327219369041</v>
      </c>
      <c r="J46" s="264"/>
    </row>
    <row r="47" spans="1:11">
      <c r="A47" s="789"/>
      <c r="B47" s="264">
        <v>162</v>
      </c>
      <c r="C47" s="288">
        <v>277643</v>
      </c>
      <c r="D47" s="265">
        <v>8264</v>
      </c>
      <c r="E47" s="170">
        <f t="shared" si="6"/>
        <v>24.252384446074835</v>
      </c>
      <c r="F47" s="294" t="s">
        <v>301</v>
      </c>
      <c r="G47" s="295"/>
      <c r="H47" s="295">
        <f t="shared" si="7"/>
        <v>0</v>
      </c>
      <c r="I47" s="296">
        <f t="shared" si="8"/>
        <v>24.252384446074835</v>
      </c>
      <c r="J47" s="264"/>
    </row>
    <row r="48" spans="1:11">
      <c r="A48" s="789"/>
      <c r="B48" s="264">
        <v>163</v>
      </c>
      <c r="C48" s="288">
        <v>277641</v>
      </c>
      <c r="D48" s="265">
        <v>25374</v>
      </c>
      <c r="E48" s="170">
        <f t="shared" si="6"/>
        <v>74.465150403521648</v>
      </c>
      <c r="F48" s="294" t="s">
        <v>301</v>
      </c>
      <c r="G48" s="295"/>
      <c r="H48" s="295">
        <f t="shared" si="7"/>
        <v>0</v>
      </c>
      <c r="I48" s="296">
        <f t="shared" si="8"/>
        <v>74.465150403521648</v>
      </c>
      <c r="J48" s="264"/>
    </row>
    <row r="49" spans="1:10">
      <c r="A49" s="789"/>
      <c r="B49" s="264">
        <v>169</v>
      </c>
      <c r="C49" s="288">
        <v>147794</v>
      </c>
      <c r="D49" s="265">
        <v>34170</v>
      </c>
      <c r="E49" s="170">
        <f t="shared" si="6"/>
        <v>100.27879677182685</v>
      </c>
      <c r="F49" s="294" t="s">
        <v>301</v>
      </c>
      <c r="G49" s="295"/>
      <c r="H49" s="295">
        <f t="shared" si="7"/>
        <v>0</v>
      </c>
      <c r="I49" s="296">
        <f t="shared" si="8"/>
        <v>100.27879677182685</v>
      </c>
      <c r="J49" s="264"/>
    </row>
    <row r="50" spans="1:10">
      <c r="A50" s="789"/>
      <c r="B50" s="264">
        <v>172</v>
      </c>
      <c r="C50" s="288">
        <v>147789</v>
      </c>
      <c r="D50" s="265">
        <v>20330</v>
      </c>
      <c r="E50" s="170">
        <f t="shared" si="6"/>
        <v>59.662509170946443</v>
      </c>
      <c r="F50" s="294" t="s">
        <v>301</v>
      </c>
      <c r="G50" s="295"/>
      <c r="H50" s="295">
        <f t="shared" si="7"/>
        <v>0</v>
      </c>
      <c r="I50" s="296">
        <f t="shared" si="8"/>
        <v>59.662509170946443</v>
      </c>
      <c r="J50" s="264"/>
    </row>
    <row r="51" spans="1:10">
      <c r="A51" s="789"/>
      <c r="B51" s="264">
        <v>177</v>
      </c>
      <c r="C51" s="288">
        <v>147445</v>
      </c>
      <c r="D51" s="265">
        <v>6655</v>
      </c>
      <c r="E51" s="170">
        <f t="shared" si="6"/>
        <v>19.530447542186355</v>
      </c>
      <c r="F51" s="294" t="s">
        <v>301</v>
      </c>
      <c r="G51" s="295"/>
      <c r="H51" s="295">
        <f t="shared" si="7"/>
        <v>0</v>
      </c>
      <c r="I51" s="296">
        <f t="shared" si="8"/>
        <v>19.530447542186355</v>
      </c>
      <c r="J51" s="264"/>
    </row>
    <row r="52" spans="1:10">
      <c r="A52" s="789"/>
      <c r="B52" s="264">
        <v>203</v>
      </c>
      <c r="C52" s="288">
        <v>179533</v>
      </c>
      <c r="D52" s="265">
        <v>29596</v>
      </c>
      <c r="E52" s="170">
        <f t="shared" si="6"/>
        <v>86.855465884079237</v>
      </c>
      <c r="F52" s="294" t="s">
        <v>301</v>
      </c>
      <c r="G52" s="295"/>
      <c r="H52" s="295">
        <f t="shared" si="7"/>
        <v>0</v>
      </c>
      <c r="I52" s="296">
        <f t="shared" si="8"/>
        <v>86.855465884079237</v>
      </c>
      <c r="J52" s="264"/>
    </row>
    <row r="53" spans="1:10">
      <c r="A53" s="789"/>
      <c r="B53" s="264">
        <v>204</v>
      </c>
      <c r="C53" s="288">
        <v>179535</v>
      </c>
      <c r="D53" s="265">
        <v>3696</v>
      </c>
      <c r="E53" s="170">
        <f t="shared" si="6"/>
        <v>10.846661775495232</v>
      </c>
      <c r="F53" s="294" t="s">
        <v>301</v>
      </c>
      <c r="G53" s="295"/>
      <c r="H53" s="295">
        <f t="shared" si="7"/>
        <v>0</v>
      </c>
      <c r="I53" s="296">
        <f t="shared" si="8"/>
        <v>10.846661775495232</v>
      </c>
      <c r="J53" s="264"/>
    </row>
    <row r="54" spans="1:10">
      <c r="A54" s="789"/>
      <c r="B54" s="264">
        <v>205</v>
      </c>
      <c r="C54" s="288">
        <v>179536</v>
      </c>
      <c r="D54" s="265">
        <v>20750</v>
      </c>
      <c r="E54" s="170">
        <f t="shared" si="6"/>
        <v>60.895084372707267</v>
      </c>
      <c r="F54" s="294" t="s">
        <v>301</v>
      </c>
      <c r="G54" s="295"/>
      <c r="H54" s="295">
        <f t="shared" si="7"/>
        <v>0</v>
      </c>
      <c r="I54" s="296">
        <f t="shared" si="8"/>
        <v>60.895084372707267</v>
      </c>
      <c r="J54" s="264"/>
    </row>
    <row r="55" spans="1:10">
      <c r="A55" s="789"/>
      <c r="B55" s="264">
        <v>206</v>
      </c>
      <c r="C55" s="288">
        <v>179526</v>
      </c>
      <c r="D55" s="265">
        <v>16088</v>
      </c>
      <c r="E55" s="170">
        <f t="shared" si="6"/>
        <v>47.213499633162144</v>
      </c>
      <c r="F55" s="294" t="s">
        <v>301</v>
      </c>
      <c r="G55" s="295"/>
      <c r="H55" s="295">
        <f t="shared" si="7"/>
        <v>0</v>
      </c>
      <c r="I55" s="296">
        <f t="shared" si="8"/>
        <v>47.213499633162144</v>
      </c>
      <c r="J55" s="264"/>
    </row>
    <row r="56" spans="1:10">
      <c r="A56" s="789"/>
      <c r="B56" s="264">
        <v>209</v>
      </c>
      <c r="C56" s="288">
        <v>179521</v>
      </c>
      <c r="D56" s="265">
        <v>15445</v>
      </c>
      <c r="E56" s="170">
        <f t="shared" si="6"/>
        <v>45.326485693323548</v>
      </c>
      <c r="F56" s="294" t="s">
        <v>301</v>
      </c>
      <c r="G56" s="295"/>
      <c r="H56" s="295">
        <f t="shared" si="7"/>
        <v>0</v>
      </c>
      <c r="I56" s="296">
        <f t="shared" si="8"/>
        <v>45.326485693323548</v>
      </c>
      <c r="J56" s="264"/>
    </row>
    <row r="57" spans="1:10">
      <c r="A57" s="789"/>
      <c r="B57" s="264">
        <v>210</v>
      </c>
      <c r="C57" s="288">
        <v>179547</v>
      </c>
      <c r="D57" s="265">
        <v>10139</v>
      </c>
      <c r="E57" s="170">
        <f t="shared" si="6"/>
        <v>29.754952311078505</v>
      </c>
      <c r="F57" s="294" t="s">
        <v>301</v>
      </c>
      <c r="G57" s="295"/>
      <c r="H57" s="295">
        <f t="shared" si="7"/>
        <v>0</v>
      </c>
      <c r="I57" s="296">
        <f t="shared" si="8"/>
        <v>29.754952311078505</v>
      </c>
      <c r="J57" s="264"/>
    </row>
    <row r="58" spans="1:10">
      <c r="A58" s="789"/>
      <c r="B58" s="264">
        <v>214</v>
      </c>
      <c r="C58" s="288">
        <v>179548</v>
      </c>
      <c r="D58" s="265">
        <v>3316</v>
      </c>
      <c r="E58" s="170">
        <f t="shared" si="6"/>
        <v>9.7314746881878218</v>
      </c>
      <c r="F58" s="294" t="s">
        <v>301</v>
      </c>
      <c r="G58" s="295"/>
      <c r="H58" s="295">
        <f t="shared" si="7"/>
        <v>0</v>
      </c>
      <c r="I58" s="296">
        <f t="shared" si="8"/>
        <v>9.7314746881878218</v>
      </c>
      <c r="J58" s="264"/>
    </row>
    <row r="59" spans="1:10">
      <c r="A59" s="789"/>
      <c r="B59" s="264">
        <v>215</v>
      </c>
      <c r="C59" s="288">
        <v>179550</v>
      </c>
      <c r="D59" s="265">
        <v>3316</v>
      </c>
      <c r="E59" s="170">
        <f t="shared" si="6"/>
        <v>9.7314746881878218</v>
      </c>
      <c r="F59" s="294" t="s">
        <v>301</v>
      </c>
      <c r="G59" s="295"/>
      <c r="H59" s="295">
        <f t="shared" si="7"/>
        <v>0</v>
      </c>
      <c r="I59" s="296">
        <f t="shared" si="8"/>
        <v>9.7314746881878218</v>
      </c>
      <c r="J59" s="264"/>
    </row>
    <row r="60" spans="1:10">
      <c r="A60" s="789"/>
      <c r="B60" s="264">
        <v>216</v>
      </c>
      <c r="C60" s="288">
        <v>179649</v>
      </c>
      <c r="D60" s="265">
        <v>1990</v>
      </c>
      <c r="E60" s="170">
        <f t="shared" si="6"/>
        <v>5.8400586940572268</v>
      </c>
      <c r="F60" s="294" t="s">
        <v>301</v>
      </c>
      <c r="G60" s="295"/>
      <c r="H60" s="295">
        <f t="shared" si="7"/>
        <v>0</v>
      </c>
      <c r="I60" s="296">
        <f t="shared" si="8"/>
        <v>5.8400586940572268</v>
      </c>
      <c r="J60" s="264"/>
    </row>
    <row r="61" spans="1:10">
      <c r="A61" s="789"/>
      <c r="B61" s="264">
        <v>217</v>
      </c>
      <c r="C61" s="289">
        <v>179517</v>
      </c>
      <c r="D61" s="265">
        <v>52966</v>
      </c>
      <c r="E61" s="170">
        <f t="shared" ref="E61:E72" si="9">D61/340.75</f>
        <v>155.43947175348495</v>
      </c>
      <c r="F61" s="294" t="s">
        <v>301</v>
      </c>
      <c r="G61" s="295"/>
      <c r="H61" s="295">
        <f t="shared" si="7"/>
        <v>0</v>
      </c>
      <c r="I61" s="296">
        <f t="shared" ref="I61:I72" si="10">E61+H61</f>
        <v>155.43947175348495</v>
      </c>
      <c r="J61" s="264"/>
    </row>
    <row r="62" spans="1:10">
      <c r="A62" s="789"/>
      <c r="B62" s="264">
        <v>220</v>
      </c>
      <c r="C62" s="288">
        <v>219198</v>
      </c>
      <c r="D62" s="265">
        <v>38081</v>
      </c>
      <c r="E62" s="170">
        <f t="shared" si="9"/>
        <v>111.75641966250917</v>
      </c>
      <c r="F62" s="294" t="s">
        <v>301</v>
      </c>
      <c r="G62" s="295"/>
      <c r="H62" s="295">
        <f t="shared" ref="H62:H72" si="11">G62/340.75</f>
        <v>0</v>
      </c>
      <c r="I62" s="296">
        <f t="shared" si="10"/>
        <v>111.75641966250917</v>
      </c>
      <c r="J62" s="264"/>
    </row>
    <row r="63" spans="1:10">
      <c r="A63" s="789"/>
      <c r="B63" s="264">
        <v>222</v>
      </c>
      <c r="C63" s="289">
        <v>179513</v>
      </c>
      <c r="D63" s="265">
        <v>148336</v>
      </c>
      <c r="E63" s="170">
        <f t="shared" si="9"/>
        <v>435.32208363903158</v>
      </c>
      <c r="F63" s="294" t="s">
        <v>301</v>
      </c>
      <c r="G63" s="295"/>
      <c r="H63" s="295">
        <f t="shared" si="11"/>
        <v>0</v>
      </c>
      <c r="I63" s="296">
        <f t="shared" si="10"/>
        <v>435.32208363903158</v>
      </c>
      <c r="J63" s="264"/>
    </row>
    <row r="64" spans="1:10">
      <c r="A64" s="789"/>
      <c r="B64" s="264">
        <v>224</v>
      </c>
      <c r="C64" s="288">
        <v>179511</v>
      </c>
      <c r="D64" s="265">
        <v>6349</v>
      </c>
      <c r="E64" s="170">
        <f t="shared" si="9"/>
        <v>18.632428466617753</v>
      </c>
      <c r="F64" s="294" t="s">
        <v>301</v>
      </c>
      <c r="G64" s="295"/>
      <c r="H64" s="295">
        <f t="shared" si="11"/>
        <v>0</v>
      </c>
      <c r="I64" s="296">
        <f t="shared" si="10"/>
        <v>18.632428466617753</v>
      </c>
      <c r="J64" s="264"/>
    </row>
    <row r="65" spans="1:12">
      <c r="A65" s="789"/>
      <c r="B65" s="264">
        <v>231</v>
      </c>
      <c r="C65" s="288">
        <v>219199</v>
      </c>
      <c r="D65" s="265">
        <v>19123</v>
      </c>
      <c r="E65" s="170">
        <f t="shared" si="9"/>
        <v>56.120322817314744</v>
      </c>
      <c r="F65" s="294" t="s">
        <v>301</v>
      </c>
      <c r="G65" s="295"/>
      <c r="H65" s="295">
        <f t="shared" si="11"/>
        <v>0</v>
      </c>
      <c r="I65" s="296">
        <f t="shared" si="10"/>
        <v>56.120322817314744</v>
      </c>
      <c r="J65" s="264"/>
    </row>
    <row r="66" spans="1:12">
      <c r="A66" s="789"/>
      <c r="B66" s="264">
        <v>238</v>
      </c>
      <c r="C66" s="288">
        <v>179506</v>
      </c>
      <c r="D66" s="265">
        <v>18477</v>
      </c>
      <c r="E66" s="170">
        <f t="shared" si="9"/>
        <v>54.224504768892153</v>
      </c>
      <c r="F66" s="294" t="s">
        <v>301</v>
      </c>
      <c r="G66" s="295"/>
      <c r="H66" s="295">
        <f t="shared" si="11"/>
        <v>0</v>
      </c>
      <c r="I66" s="296">
        <f t="shared" si="10"/>
        <v>54.224504768892153</v>
      </c>
      <c r="J66" s="264"/>
    </row>
    <row r="67" spans="1:12">
      <c r="A67" s="789"/>
      <c r="B67" s="264">
        <v>239</v>
      </c>
      <c r="C67" s="288">
        <v>179504</v>
      </c>
      <c r="D67" s="265">
        <v>15824</v>
      </c>
      <c r="E67" s="170">
        <f t="shared" si="9"/>
        <v>46.438738077769628</v>
      </c>
      <c r="F67" s="294" t="s">
        <v>301</v>
      </c>
      <c r="G67" s="295"/>
      <c r="H67" s="295">
        <f t="shared" si="11"/>
        <v>0</v>
      </c>
      <c r="I67" s="296">
        <f t="shared" si="10"/>
        <v>46.438738077769628</v>
      </c>
      <c r="J67" s="264"/>
    </row>
    <row r="68" spans="1:12" ht="12" thickBot="1">
      <c r="A68" s="790"/>
      <c r="B68" s="266">
        <v>240</v>
      </c>
      <c r="C68" s="290">
        <v>179502</v>
      </c>
      <c r="D68" s="267">
        <v>17511</v>
      </c>
      <c r="E68" s="268">
        <f t="shared" si="9"/>
        <v>51.389581804842258</v>
      </c>
      <c r="F68" s="297" t="s">
        <v>301</v>
      </c>
      <c r="G68" s="298"/>
      <c r="H68" s="298">
        <f t="shared" si="11"/>
        <v>0</v>
      </c>
      <c r="I68" s="299">
        <f t="shared" si="10"/>
        <v>51.389581804842258</v>
      </c>
      <c r="J68" s="269">
        <f>SUM(I45:I68)</f>
        <v>1590.5972120322815</v>
      </c>
    </row>
    <row r="69" spans="1:12" ht="12" thickBot="1">
      <c r="A69" s="314" t="s">
        <v>285</v>
      </c>
      <c r="B69" s="266">
        <v>259</v>
      </c>
      <c r="C69" s="267">
        <v>179530</v>
      </c>
      <c r="D69" s="267">
        <v>23025</v>
      </c>
      <c r="E69" s="268">
        <f t="shared" si="9"/>
        <v>67.57153338224505</v>
      </c>
      <c r="F69" s="297" t="s">
        <v>301</v>
      </c>
      <c r="G69" s="298"/>
      <c r="H69" s="298">
        <f t="shared" si="11"/>
        <v>0</v>
      </c>
      <c r="I69" s="269">
        <f t="shared" si="10"/>
        <v>67.57153338224505</v>
      </c>
      <c r="K69" s="306" t="s">
        <v>306</v>
      </c>
    </row>
    <row r="70" spans="1:12">
      <c r="A70" s="788" t="s">
        <v>307</v>
      </c>
      <c r="B70" s="282">
        <v>269</v>
      </c>
      <c r="C70" s="265">
        <v>179528</v>
      </c>
      <c r="D70" s="265">
        <v>3696</v>
      </c>
      <c r="E70" s="170">
        <f t="shared" si="9"/>
        <v>10.846661775495232</v>
      </c>
      <c r="F70" s="294" t="s">
        <v>301</v>
      </c>
      <c r="G70" s="295"/>
      <c r="H70" s="295">
        <f t="shared" si="11"/>
        <v>0</v>
      </c>
      <c r="I70" s="296">
        <f t="shared" si="10"/>
        <v>10.846661775495232</v>
      </c>
      <c r="J70" s="264"/>
      <c r="L70" s="321" t="s">
        <v>341</v>
      </c>
    </row>
    <row r="71" spans="1:12">
      <c r="A71" s="789"/>
      <c r="B71" s="282">
        <v>277</v>
      </c>
      <c r="C71" s="265">
        <v>147366</v>
      </c>
      <c r="D71" s="265">
        <v>11845</v>
      </c>
      <c r="E71" s="170">
        <f t="shared" si="9"/>
        <v>34.761555392516506</v>
      </c>
      <c r="F71" s="294" t="s">
        <v>301</v>
      </c>
      <c r="G71" s="295"/>
      <c r="H71" s="295">
        <f t="shared" si="11"/>
        <v>0</v>
      </c>
      <c r="I71" s="296">
        <f t="shared" si="10"/>
        <v>34.761555392516506</v>
      </c>
      <c r="J71" s="264"/>
    </row>
    <row r="72" spans="1:12" ht="12" thickBot="1">
      <c r="A72" s="790"/>
      <c r="B72" s="283">
        <v>280</v>
      </c>
      <c r="C72" s="267">
        <v>179534</v>
      </c>
      <c r="D72" s="267">
        <v>8515</v>
      </c>
      <c r="E72" s="268">
        <f t="shared" si="9"/>
        <v>24.988994864269994</v>
      </c>
      <c r="F72" s="297" t="s">
        <v>301</v>
      </c>
      <c r="G72" s="298"/>
      <c r="H72" s="298">
        <f t="shared" si="11"/>
        <v>0</v>
      </c>
      <c r="I72" s="299">
        <f t="shared" si="10"/>
        <v>24.988994864269994</v>
      </c>
      <c r="J72" s="269">
        <f>SUM(I70:I72)</f>
        <v>70.597212032281732</v>
      </c>
      <c r="L72" s="321" t="s">
        <v>341</v>
      </c>
    </row>
    <row r="73" spans="1:12">
      <c r="B73" s="282"/>
      <c r="C73" s="265"/>
      <c r="D73" s="265"/>
      <c r="E73" s="265"/>
      <c r="F73" s="265"/>
      <c r="G73" s="265"/>
      <c r="H73" s="265"/>
      <c r="I73" s="265"/>
      <c r="J73" s="265"/>
      <c r="K73" s="265"/>
    </row>
    <row r="74" spans="1:12">
      <c r="B74" s="282"/>
      <c r="C74" s="265"/>
      <c r="D74" s="265"/>
      <c r="E74" s="265"/>
      <c r="F74" s="265"/>
      <c r="G74" s="265"/>
      <c r="H74" s="265"/>
      <c r="I74" s="265"/>
    </row>
    <row r="75" spans="1:12">
      <c r="B75" s="282"/>
      <c r="C75" s="265"/>
      <c r="D75" s="265"/>
      <c r="E75" s="265"/>
      <c r="F75" s="265"/>
      <c r="G75" s="265"/>
      <c r="H75" s="265"/>
      <c r="I75" s="265"/>
    </row>
    <row r="76" spans="1:12">
      <c r="B76" s="282"/>
      <c r="C76" s="265"/>
      <c r="D76" s="265"/>
      <c r="E76" s="265"/>
      <c r="F76" s="265"/>
      <c r="G76" s="265"/>
      <c r="H76" s="265"/>
      <c r="I76" s="265"/>
    </row>
    <row r="77" spans="1:12">
      <c r="B77" s="282"/>
      <c r="C77" s="265"/>
      <c r="D77" s="265"/>
      <c r="E77" s="265"/>
      <c r="F77" s="265"/>
      <c r="G77" s="265"/>
      <c r="H77" s="265"/>
      <c r="I77" s="265"/>
    </row>
    <row r="78" spans="1:12">
      <c r="B78" s="282"/>
      <c r="C78" s="265"/>
      <c r="D78" s="265"/>
      <c r="E78" s="265"/>
      <c r="F78" s="265"/>
      <c r="G78" s="265"/>
      <c r="H78" s="265"/>
      <c r="I78" s="265"/>
    </row>
    <row r="79" spans="1:12">
      <c r="B79" s="282"/>
      <c r="C79" s="265"/>
      <c r="D79" s="265"/>
      <c r="E79" s="265"/>
      <c r="F79" s="265"/>
      <c r="G79" s="265"/>
      <c r="H79" s="265"/>
      <c r="I79" s="265"/>
    </row>
    <row r="80" spans="1:12">
      <c r="B80" s="282"/>
      <c r="C80" s="265"/>
      <c r="D80" s="265"/>
      <c r="E80" s="265"/>
      <c r="F80" s="265"/>
      <c r="G80" s="265"/>
      <c r="H80" s="265"/>
      <c r="I80" s="265"/>
    </row>
    <row r="81" spans="2:9">
      <c r="B81" s="282"/>
      <c r="C81" s="265"/>
      <c r="D81" s="265"/>
      <c r="E81" s="265"/>
      <c r="F81" s="265"/>
      <c r="G81" s="265"/>
      <c r="H81" s="265"/>
      <c r="I81" s="265"/>
    </row>
    <row r="82" spans="2:9">
      <c r="B82" s="282"/>
      <c r="C82" s="265"/>
      <c r="D82" s="265"/>
      <c r="E82" s="265"/>
      <c r="F82" s="265"/>
      <c r="G82" s="265"/>
      <c r="H82" s="265"/>
      <c r="I82" s="265"/>
    </row>
    <row r="83" spans="2:9">
      <c r="B83" s="282"/>
      <c r="C83" s="265"/>
      <c r="D83" s="265"/>
      <c r="E83" s="265"/>
      <c r="F83" s="265"/>
      <c r="G83" s="265"/>
      <c r="H83" s="265"/>
      <c r="I83" s="265"/>
    </row>
    <row r="84" spans="2:9">
      <c r="B84" s="264"/>
      <c r="C84" s="265"/>
      <c r="D84" s="265"/>
      <c r="E84" s="265"/>
      <c r="F84" s="265"/>
      <c r="G84" s="265"/>
      <c r="H84" s="265"/>
      <c r="I84" s="265"/>
    </row>
    <row r="85" spans="2:9">
      <c r="B85" s="264"/>
      <c r="C85" s="265"/>
      <c r="D85" s="265"/>
      <c r="E85" s="265"/>
      <c r="F85" s="265"/>
      <c r="G85" s="265"/>
      <c r="H85" s="265"/>
      <c r="I85" s="265"/>
    </row>
    <row r="86" spans="2:9">
      <c r="B86" s="264"/>
      <c r="C86" s="265"/>
      <c r="D86" s="265"/>
      <c r="E86" s="265"/>
      <c r="F86" s="265"/>
      <c r="G86" s="265"/>
      <c r="H86" s="265"/>
      <c r="I86" s="265"/>
    </row>
    <row r="87" spans="2:9">
      <c r="B87" s="264"/>
      <c r="C87" s="265"/>
      <c r="E87" s="265"/>
      <c r="F87" s="265"/>
      <c r="G87" s="265"/>
      <c r="H87" s="265"/>
      <c r="I87" s="265"/>
    </row>
    <row r="88" spans="2:9">
      <c r="E88" s="265"/>
      <c r="F88" s="265"/>
      <c r="G88" s="265"/>
      <c r="H88" s="265"/>
      <c r="I88" s="265"/>
    </row>
    <row r="89" spans="2:9">
      <c r="E89" s="265"/>
      <c r="F89" s="265"/>
      <c r="G89" s="265"/>
      <c r="H89" s="265"/>
      <c r="I89" s="265"/>
    </row>
    <row r="90" spans="2:9">
      <c r="E90" s="265"/>
      <c r="F90" s="265"/>
      <c r="G90" s="265"/>
      <c r="H90" s="265"/>
      <c r="I90" s="265"/>
    </row>
  </sheetData>
  <mergeCells count="6">
    <mergeCell ref="A21:Q21"/>
    <mergeCell ref="A70:A72"/>
    <mergeCell ref="I24:K24"/>
    <mergeCell ref="A26:A36"/>
    <mergeCell ref="A37:A44"/>
    <mergeCell ref="A45:A6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E32" sqref="E32"/>
    </sheetView>
  </sheetViews>
  <sheetFormatPr defaultRowHeight="15"/>
  <cols>
    <col min="1" max="1" width="8.44140625" style="21" bestFit="1" customWidth="1"/>
    <col min="2" max="3" width="9" style="21" bestFit="1" customWidth="1"/>
    <col min="4" max="4" width="9.6640625" style="21" bestFit="1" customWidth="1"/>
    <col min="5" max="5" width="9" style="21" bestFit="1" customWidth="1"/>
    <col min="6" max="6" width="10.44140625" style="21" bestFit="1" customWidth="1"/>
    <col min="7" max="7" width="9" style="21" bestFit="1" customWidth="1"/>
    <col min="8" max="10" width="8" style="21" bestFit="1" customWidth="1"/>
    <col min="11" max="16384" width="8.88671875" style="21"/>
  </cols>
  <sheetData>
    <row r="1" spans="1:12">
      <c r="A1" s="561"/>
      <c r="B1" s="560" t="s">
        <v>24</v>
      </c>
      <c r="C1" s="581" t="s">
        <v>25</v>
      </c>
      <c r="D1" s="723" t="s">
        <v>68</v>
      </c>
      <c r="E1" s="26" t="s">
        <v>54</v>
      </c>
      <c r="F1" s="628">
        <v>299</v>
      </c>
      <c r="G1" s="26" t="s">
        <v>54</v>
      </c>
      <c r="H1" s="559"/>
      <c r="I1" s="559"/>
      <c r="J1" s="597"/>
      <c r="K1" s="597"/>
      <c r="L1" s="598"/>
    </row>
    <row r="2" spans="1:12">
      <c r="A2" s="23">
        <v>1998</v>
      </c>
      <c r="B2" s="25">
        <f>H12</f>
        <v>337.75</v>
      </c>
      <c r="C2" s="25">
        <f>H13</f>
        <v>619.42000000000007</v>
      </c>
      <c r="D2" s="25">
        <f>SUM(B2:C2)</f>
        <v>957.17000000000007</v>
      </c>
      <c r="E2" s="33">
        <f>D14+G14</f>
        <v>28773</v>
      </c>
      <c r="F2" s="25">
        <f>D2*H2</f>
        <v>287.15100000000001</v>
      </c>
      <c r="G2" s="33">
        <f>E2*H2</f>
        <v>8631.9</v>
      </c>
      <c r="H2" s="629">
        <v>0.3</v>
      </c>
      <c r="I2" s="179"/>
      <c r="J2" s="179"/>
      <c r="K2" s="58"/>
      <c r="L2" s="58"/>
    </row>
    <row r="3" spans="1:12" ht="15.75">
      <c r="F3" s="28" t="s">
        <v>389</v>
      </c>
      <c r="G3" s="514"/>
    </row>
    <row r="4" spans="1:12" ht="15.75" customHeight="1">
      <c r="A4" s="513"/>
      <c r="B4" s="513"/>
      <c r="C4" s="513"/>
      <c r="D4" s="515"/>
      <c r="F4" s="514">
        <v>46062</v>
      </c>
    </row>
    <row r="5" spans="1:12" ht="12.75" customHeight="1">
      <c r="A5" s="513"/>
      <c r="B5" s="513"/>
      <c r="C5" s="513"/>
      <c r="D5" s="515"/>
    </row>
    <row r="7" spans="1:12">
      <c r="A7" s="796" t="s">
        <v>586</v>
      </c>
      <c r="B7" s="796"/>
      <c r="C7" s="796"/>
      <c r="D7" s="796"/>
      <c r="E7" s="796"/>
      <c r="F7" s="796"/>
      <c r="G7" s="796"/>
      <c r="H7" s="796"/>
      <c r="I7" s="796"/>
      <c r="J7" s="796"/>
      <c r="K7" s="796"/>
      <c r="L7" s="796"/>
    </row>
    <row r="9" spans="1:12">
      <c r="A9" s="225"/>
      <c r="B9" s="225"/>
      <c r="C9" s="557" t="s">
        <v>44</v>
      </c>
      <c r="D9" s="557"/>
      <c r="E9" s="557"/>
      <c r="F9" s="557" t="s">
        <v>45</v>
      </c>
      <c r="G9" s="225"/>
      <c r="H9" s="225"/>
      <c r="I9" s="225"/>
    </row>
    <row r="10" spans="1:12">
      <c r="A10" s="558" t="s">
        <v>283</v>
      </c>
      <c r="B10" s="264">
        <v>32</v>
      </c>
      <c r="C10" s="265">
        <v>219153</v>
      </c>
      <c r="D10" s="265">
        <v>69750</v>
      </c>
      <c r="E10" s="170">
        <f t="shared" ref="E10" si="0">D10/340.75</f>
        <v>204.69552457813646</v>
      </c>
      <c r="F10" s="294" t="s">
        <v>301</v>
      </c>
      <c r="G10" s="295"/>
      <c r="H10" s="295">
        <f t="shared" ref="H10" si="1">G10/340.75</f>
        <v>0</v>
      </c>
      <c r="I10" s="324">
        <f t="shared" ref="I10" si="2">E10+H10</f>
        <v>204.69552457813646</v>
      </c>
    </row>
    <row r="12" spans="1:12">
      <c r="A12" s="722" t="s">
        <v>620</v>
      </c>
      <c r="C12" s="21">
        <v>283.27</v>
      </c>
      <c r="D12" s="58">
        <v>8620</v>
      </c>
      <c r="F12" s="188">
        <v>54.48</v>
      </c>
      <c r="G12" s="58">
        <v>1658</v>
      </c>
      <c r="H12" s="21">
        <f>C12+F12</f>
        <v>337.75</v>
      </c>
    </row>
    <row r="13" spans="1:12">
      <c r="A13" s="722" t="s">
        <v>621</v>
      </c>
      <c r="B13" s="722"/>
      <c r="C13" s="21">
        <v>501.23</v>
      </c>
      <c r="D13" s="58">
        <v>14966</v>
      </c>
      <c r="F13" s="21">
        <v>118.19</v>
      </c>
      <c r="G13" s="58">
        <v>3529</v>
      </c>
      <c r="H13" s="21">
        <f>C13+F13</f>
        <v>619.42000000000007</v>
      </c>
    </row>
    <row r="14" spans="1:12">
      <c r="D14" s="70">
        <f>SUM(D12:D13)</f>
        <v>23586</v>
      </c>
      <c r="G14" s="70">
        <f>SUM(G12:G13)</f>
        <v>5187</v>
      </c>
    </row>
  </sheetData>
  <mergeCells count="1">
    <mergeCell ref="A7:L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activeCell="D16" sqref="D16"/>
    </sheetView>
  </sheetViews>
  <sheetFormatPr defaultRowHeight="15"/>
  <cols>
    <col min="1" max="1" width="5" style="21" bestFit="1" customWidth="1"/>
    <col min="2" max="3" width="9" style="21" bestFit="1" customWidth="1"/>
    <col min="4" max="4" width="10.109375" style="21" customWidth="1"/>
    <col min="5" max="5" width="9.77734375" style="21" customWidth="1"/>
    <col min="6" max="6" width="9" style="21" bestFit="1" customWidth="1"/>
    <col min="7" max="7" width="8.6640625" style="21" bestFit="1" customWidth="1"/>
    <col min="8" max="8" width="9" style="21" bestFit="1" customWidth="1"/>
    <col min="9" max="9" width="10.44140625" style="21" bestFit="1" customWidth="1"/>
    <col min="10" max="10" width="6.6640625" style="21" customWidth="1"/>
    <col min="11" max="11" width="8" style="21" bestFit="1" customWidth="1"/>
    <col min="12" max="12" width="6.5546875" style="21" customWidth="1"/>
    <col min="13" max="13" width="8" style="21" bestFit="1" customWidth="1"/>
    <col min="14" max="14" width="10.44140625" style="21" bestFit="1" customWidth="1"/>
    <col min="15" max="16384" width="8.88671875" style="21"/>
  </cols>
  <sheetData>
    <row r="1" spans="1:16" ht="15.75">
      <c r="A1" s="600"/>
      <c r="B1" s="800" t="s">
        <v>24</v>
      </c>
      <c r="C1" s="801"/>
      <c r="D1" s="802" t="s">
        <v>25</v>
      </c>
      <c r="E1" s="803"/>
      <c r="F1" s="630" t="s">
        <v>68</v>
      </c>
      <c r="G1" s="26" t="s">
        <v>54</v>
      </c>
      <c r="H1" s="631">
        <v>299</v>
      </c>
      <c r="I1" s="26" t="s">
        <v>54</v>
      </c>
      <c r="N1" s="597">
        <v>8</v>
      </c>
      <c r="O1" s="597">
        <v>9</v>
      </c>
      <c r="P1" s="598" t="s">
        <v>68</v>
      </c>
    </row>
    <row r="2" spans="1:16">
      <c r="A2" s="23">
        <v>1998</v>
      </c>
      <c r="B2" s="25"/>
      <c r="C2" s="25"/>
      <c r="D2" s="25"/>
      <c r="E2" s="25"/>
      <c r="F2" s="25">
        <f>SUM(B2:D2)</f>
        <v>0</v>
      </c>
      <c r="G2" s="33"/>
      <c r="H2" s="25">
        <f>F2*J2</f>
        <v>0</v>
      </c>
      <c r="I2" s="33">
        <f>G2*J2</f>
        <v>0</v>
      </c>
      <c r="J2" s="629">
        <v>0.3</v>
      </c>
      <c r="K2" s="179"/>
      <c r="L2" s="179"/>
      <c r="M2" s="179"/>
      <c r="N2" s="58"/>
      <c r="O2" s="58"/>
      <c r="P2" s="58">
        <f>SUM(N2:O2)</f>
        <v>0</v>
      </c>
    </row>
    <row r="3" spans="1:16" ht="15.75">
      <c r="I3" s="28" t="s">
        <v>389</v>
      </c>
      <c r="J3" s="514"/>
    </row>
    <row r="4" spans="1:16" ht="15.75" customHeight="1">
      <c r="A4" s="513"/>
      <c r="B4" s="513"/>
      <c r="C4" s="513"/>
      <c r="D4" s="513"/>
      <c r="E4" s="513"/>
      <c r="F4" s="22"/>
      <c r="G4" s="515"/>
      <c r="I4" s="514">
        <v>45670</v>
      </c>
    </row>
    <row r="5" spans="1:16" ht="11.25" customHeight="1">
      <c r="A5" s="513"/>
      <c r="B5" s="513"/>
      <c r="C5" s="513"/>
      <c r="D5" s="513"/>
      <c r="E5" s="513"/>
    </row>
    <row r="6" spans="1:16" ht="15.75" customHeight="1">
      <c r="A6" s="804" t="s">
        <v>587</v>
      </c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804"/>
      <c r="P6" s="804"/>
    </row>
    <row r="7" spans="1:16" ht="15" customHeight="1">
      <c r="A7" s="513"/>
      <c r="B7" s="513"/>
      <c r="C7" s="513"/>
      <c r="D7" s="513"/>
      <c r="E7" s="513"/>
      <c r="F7" s="513"/>
      <c r="G7" s="513"/>
      <c r="H7" s="513"/>
    </row>
    <row r="8" spans="1:16" ht="15" customHeight="1">
      <c r="A8" s="513"/>
      <c r="B8" s="513"/>
      <c r="C8" s="513"/>
      <c r="D8" s="513"/>
      <c r="E8" s="513"/>
      <c r="F8" s="513"/>
      <c r="G8" s="513"/>
      <c r="H8" s="513"/>
    </row>
  </sheetData>
  <mergeCells count="3">
    <mergeCell ref="B1:C1"/>
    <mergeCell ref="D1:E1"/>
    <mergeCell ref="A6:P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93"/>
  <sheetViews>
    <sheetView workbookViewId="0">
      <pane ySplit="1" topLeftCell="A8" activePane="bottomLeft" state="frozen"/>
      <selection pane="bottomLeft" activeCell="P16" sqref="P16"/>
    </sheetView>
  </sheetViews>
  <sheetFormatPr defaultRowHeight="15"/>
  <cols>
    <col min="1" max="1" width="8" style="21" bestFit="1" customWidth="1"/>
    <col min="2" max="4" width="9" style="21" bestFit="1" customWidth="1"/>
    <col min="5" max="5" width="8" style="21" bestFit="1" customWidth="1"/>
    <col min="6" max="7" width="9" style="21" bestFit="1" customWidth="1"/>
    <col min="8" max="8" width="15.6640625" style="21" bestFit="1" customWidth="1"/>
    <col min="9" max="10" width="9" style="21" bestFit="1" customWidth="1"/>
    <col min="11" max="11" width="8" style="21" bestFit="1" customWidth="1"/>
    <col min="12" max="12" width="9" style="21" bestFit="1" customWidth="1"/>
    <col min="13" max="13" width="7.21875" style="21" bestFit="1" customWidth="1"/>
    <col min="14" max="14" width="11.77734375" style="21" customWidth="1"/>
    <col min="15" max="16" width="10.44140625" style="21" bestFit="1" customWidth="1"/>
    <col min="17" max="17" width="12.21875" style="21" bestFit="1" customWidth="1"/>
    <col min="18" max="18" width="10.44140625" style="21" bestFit="1" customWidth="1"/>
    <col min="19" max="16384" width="8.88671875" style="21"/>
  </cols>
  <sheetData>
    <row r="1" spans="1:21" ht="15.75" thickBot="1">
      <c r="A1" s="669"/>
      <c r="B1" s="60" t="s">
        <v>18</v>
      </c>
      <c r="C1" s="61" t="s">
        <v>19</v>
      </c>
      <c r="D1" s="60" t="s">
        <v>20</v>
      </c>
      <c r="E1" s="62" t="s">
        <v>21</v>
      </c>
      <c r="F1" s="60" t="s">
        <v>2</v>
      </c>
      <c r="G1" s="61" t="s">
        <v>22</v>
      </c>
      <c r="H1" s="60" t="s">
        <v>23</v>
      </c>
      <c r="I1" s="62" t="s">
        <v>24</v>
      </c>
      <c r="J1" s="60" t="s">
        <v>25</v>
      </c>
      <c r="K1" s="61" t="s">
        <v>26</v>
      </c>
      <c r="L1" s="60" t="s">
        <v>27</v>
      </c>
      <c r="M1" s="62" t="s">
        <v>28</v>
      </c>
      <c r="N1" s="670" t="s">
        <v>208</v>
      </c>
      <c r="O1" s="696" t="s">
        <v>68</v>
      </c>
      <c r="P1" s="704" t="s">
        <v>54</v>
      </c>
      <c r="Q1" s="110" t="s">
        <v>606</v>
      </c>
      <c r="R1" s="704" t="s">
        <v>54</v>
      </c>
    </row>
    <row r="2" spans="1:21">
      <c r="A2" s="23">
        <v>1998</v>
      </c>
      <c r="B2" s="67"/>
      <c r="C2" s="67"/>
      <c r="D2" s="67"/>
      <c r="E2" s="67"/>
      <c r="F2" s="67"/>
      <c r="G2" s="67"/>
      <c r="H2" s="67"/>
      <c r="I2" s="25">
        <f>G26+G27+G28</f>
        <v>337.75</v>
      </c>
      <c r="J2" s="25">
        <f>G29+G32+G34+G36</f>
        <v>279.17</v>
      </c>
      <c r="K2" s="67"/>
      <c r="L2" s="67"/>
      <c r="M2" s="67"/>
      <c r="N2" s="67"/>
      <c r="O2" s="54">
        <f>I2+J2</f>
        <v>616.92000000000007</v>
      </c>
      <c r="P2" s="705">
        <f>T2+U2</f>
        <v>9566</v>
      </c>
      <c r="Q2" s="703"/>
      <c r="R2" s="705"/>
      <c r="T2" s="21">
        <v>5237</v>
      </c>
      <c r="U2" s="21">
        <v>4329</v>
      </c>
    </row>
    <row r="3" spans="1:21">
      <c r="A3" s="26">
        <v>1999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54">
        <f t="shared" ref="O3:O11" si="0">I3+J3</f>
        <v>0</v>
      </c>
      <c r="P3" s="82"/>
      <c r="Q3" s="26"/>
      <c r="R3" s="82"/>
    </row>
    <row r="4" spans="1:21">
      <c r="A4" s="26">
        <v>2000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54">
        <f t="shared" si="0"/>
        <v>0</v>
      </c>
      <c r="P4" s="82"/>
      <c r="Q4" s="26"/>
      <c r="R4" s="82"/>
    </row>
    <row r="5" spans="1:21">
      <c r="A5" s="26">
        <v>2001</v>
      </c>
      <c r="B5" s="667"/>
      <c r="C5" s="667"/>
      <c r="D5" s="667"/>
      <c r="E5" s="667"/>
      <c r="F5" s="667"/>
      <c r="G5" s="667"/>
      <c r="H5" s="667"/>
      <c r="I5" s="667"/>
      <c r="J5" s="667"/>
      <c r="K5" s="667"/>
      <c r="L5" s="667"/>
      <c r="M5" s="667"/>
      <c r="N5" s="667"/>
      <c r="O5" s="54">
        <f t="shared" si="0"/>
        <v>0</v>
      </c>
      <c r="P5" s="82"/>
      <c r="Q5" s="26"/>
      <c r="R5" s="82"/>
    </row>
    <row r="6" spans="1:21">
      <c r="A6" s="26">
        <v>2002</v>
      </c>
      <c r="B6" s="667"/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54">
        <f t="shared" si="0"/>
        <v>0</v>
      </c>
      <c r="P6" s="82"/>
      <c r="Q6" s="26"/>
      <c r="R6" s="82"/>
    </row>
    <row r="7" spans="1:21">
      <c r="A7" s="26">
        <v>2003</v>
      </c>
      <c r="B7" s="668"/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54">
        <f t="shared" si="0"/>
        <v>0</v>
      </c>
      <c r="P7" s="82"/>
      <c r="Q7" s="26"/>
      <c r="R7" s="82"/>
    </row>
    <row r="8" spans="1:21">
      <c r="A8" s="26">
        <v>2004</v>
      </c>
      <c r="B8" s="668"/>
      <c r="C8" s="668"/>
      <c r="D8" s="668"/>
      <c r="E8" s="668"/>
      <c r="F8" s="668"/>
      <c r="G8" s="668"/>
      <c r="H8" s="668"/>
      <c r="I8" s="668"/>
      <c r="J8" s="668"/>
      <c r="K8" s="668"/>
      <c r="L8" s="668"/>
      <c r="M8" s="668"/>
      <c r="N8" s="668"/>
      <c r="O8" s="54">
        <f t="shared" si="0"/>
        <v>0</v>
      </c>
      <c r="P8" s="82"/>
      <c r="Q8" s="26"/>
      <c r="R8" s="82"/>
    </row>
    <row r="9" spans="1:21">
      <c r="A9" s="26">
        <v>2005</v>
      </c>
      <c r="B9" s="667"/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54">
        <f t="shared" si="0"/>
        <v>0</v>
      </c>
      <c r="P9" s="82"/>
      <c r="Q9" s="26"/>
      <c r="R9" s="82"/>
    </row>
    <row r="10" spans="1:21">
      <c r="A10" s="26">
        <v>2006</v>
      </c>
      <c r="B10" s="667"/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54">
        <f t="shared" si="0"/>
        <v>0</v>
      </c>
      <c r="P10" s="82"/>
      <c r="Q10" s="26"/>
      <c r="R10" s="82"/>
    </row>
    <row r="11" spans="1:21">
      <c r="A11" s="26">
        <v>2007</v>
      </c>
      <c r="B11" s="667"/>
      <c r="C11" s="667"/>
      <c r="D11" s="667"/>
      <c r="E11" s="667"/>
      <c r="F11" s="667"/>
      <c r="G11" s="59"/>
      <c r="H11" s="59"/>
      <c r="I11" s="59"/>
      <c r="J11" s="59"/>
      <c r="K11" s="59"/>
      <c r="L11" s="59"/>
      <c r="M11" s="59"/>
      <c r="N11" s="59"/>
      <c r="O11" s="54">
        <f t="shared" si="0"/>
        <v>0</v>
      </c>
      <c r="P11" s="82"/>
      <c r="Q11" s="26"/>
      <c r="R11" s="82"/>
    </row>
    <row r="12" spans="1:21">
      <c r="A12" s="26">
        <v>2008</v>
      </c>
      <c r="B12" s="59"/>
      <c r="C12" s="59">
        <v>354.8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4">
        <f t="shared" ref="O12:O17" si="1">SUM(B12:N12)</f>
        <v>354.8</v>
      </c>
      <c r="P12" s="82">
        <v>3172</v>
      </c>
      <c r="Q12" s="697"/>
      <c r="R12" s="82"/>
    </row>
    <row r="13" spans="1:21">
      <c r="A13" s="26">
        <v>2009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4">
        <f t="shared" si="1"/>
        <v>0</v>
      </c>
      <c r="P13" s="82"/>
      <c r="Q13" s="26"/>
      <c r="R13" s="82"/>
    </row>
    <row r="14" spans="1:21">
      <c r="A14" s="26">
        <v>2010</v>
      </c>
      <c r="B14" s="59"/>
      <c r="C14" s="59"/>
      <c r="D14" s="59"/>
      <c r="E14" s="59"/>
      <c r="F14" s="59"/>
      <c r="G14" s="59"/>
      <c r="H14" s="59"/>
      <c r="I14" s="59"/>
      <c r="J14" s="59"/>
      <c r="K14" s="59">
        <v>96.9</v>
      </c>
      <c r="L14" s="59"/>
      <c r="M14" s="59"/>
      <c r="N14" s="59"/>
      <c r="O14" s="54">
        <f t="shared" si="1"/>
        <v>96.9</v>
      </c>
      <c r="P14" s="82">
        <v>684</v>
      </c>
      <c r="Q14" s="697"/>
      <c r="R14" s="82"/>
    </row>
    <row r="15" spans="1:21">
      <c r="A15" s="26">
        <v>2011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>
        <f>SUM(F42:F44)</f>
        <v>229.72999999999996</v>
      </c>
      <c r="M15" s="59"/>
      <c r="N15" s="59"/>
      <c r="O15" s="54">
        <f t="shared" si="1"/>
        <v>229.72999999999996</v>
      </c>
      <c r="P15" s="82">
        <v>1441</v>
      </c>
      <c r="Q15" s="697"/>
      <c r="R15" s="82"/>
    </row>
    <row r="16" spans="1:21">
      <c r="A16" s="26">
        <v>2012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4">
        <f t="shared" si="1"/>
        <v>0</v>
      </c>
      <c r="P16" s="82"/>
      <c r="Q16" s="26"/>
      <c r="R16" s="82"/>
    </row>
    <row r="17" spans="1:20">
      <c r="A17" s="26">
        <v>2013</v>
      </c>
      <c r="B17" s="59"/>
      <c r="C17" s="59"/>
      <c r="D17" s="59"/>
      <c r="E17" s="59"/>
      <c r="F17" s="59"/>
      <c r="G17" s="27"/>
      <c r="H17" s="27"/>
      <c r="I17" s="27"/>
      <c r="J17" s="27"/>
      <c r="K17" s="27"/>
      <c r="L17" s="27"/>
      <c r="M17" s="27"/>
      <c r="N17" s="27"/>
      <c r="O17" s="54">
        <f t="shared" si="1"/>
        <v>0</v>
      </c>
      <c r="P17" s="82"/>
      <c r="Q17" s="26"/>
      <c r="R17" s="82"/>
    </row>
    <row r="18" spans="1:20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59">
        <f>SUM(O2:O17)</f>
        <v>1298.3500000000001</v>
      </c>
      <c r="P18" s="83">
        <f t="shared" ref="P18:R18" si="2">SUM(P2:P17)</f>
        <v>14863</v>
      </c>
      <c r="Q18" s="59">
        <f t="shared" si="2"/>
        <v>0</v>
      </c>
      <c r="R18" s="83">
        <f t="shared" si="2"/>
        <v>0</v>
      </c>
      <c r="T18" s="111"/>
    </row>
    <row r="19" spans="1:20">
      <c r="Q19" s="50"/>
      <c r="R19" s="70"/>
      <c r="S19" s="111">
        <v>46062</v>
      </c>
      <c r="T19" s="245" t="s">
        <v>386</v>
      </c>
    </row>
    <row r="22" spans="1:20">
      <c r="A22" s="804" t="s">
        <v>163</v>
      </c>
      <c r="B22" s="804"/>
      <c r="C22" s="804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4"/>
    </row>
    <row r="23" spans="1:20">
      <c r="A23" s="804"/>
      <c r="B23" s="804"/>
      <c r="C23" s="804"/>
      <c r="D23" s="804"/>
      <c r="E23" s="804"/>
      <c r="F23" s="804"/>
      <c r="G23" s="804"/>
      <c r="H23" s="804"/>
      <c r="I23" s="804"/>
      <c r="J23" s="804"/>
      <c r="K23" s="804"/>
      <c r="L23" s="804"/>
      <c r="M23" s="804"/>
      <c r="N23" s="804"/>
    </row>
    <row r="24" spans="1:20">
      <c r="G24" s="714"/>
    </row>
    <row r="25" spans="1:20" ht="15.75">
      <c r="B25" s="662" t="s">
        <v>591</v>
      </c>
      <c r="C25" s="662" t="s">
        <v>592</v>
      </c>
      <c r="D25" s="661" t="s">
        <v>44</v>
      </c>
      <c r="E25" s="661" t="s">
        <v>45</v>
      </c>
      <c r="F25" s="662" t="s">
        <v>68</v>
      </c>
      <c r="G25" s="720" t="s">
        <v>8</v>
      </c>
      <c r="H25" s="21" t="s">
        <v>596</v>
      </c>
    </row>
    <row r="26" spans="1:20">
      <c r="A26" s="673" t="s">
        <v>288</v>
      </c>
      <c r="B26" s="58">
        <v>3</v>
      </c>
      <c r="C26" s="662" t="s">
        <v>593</v>
      </c>
      <c r="D26" s="672">
        <v>42.92</v>
      </c>
      <c r="E26" s="29">
        <v>8.25</v>
      </c>
      <c r="F26" s="29">
        <f>D26+E26</f>
        <v>51.17</v>
      </c>
      <c r="G26" s="29">
        <v>51.17</v>
      </c>
      <c r="M26" s="671" t="s">
        <v>595</v>
      </c>
    </row>
    <row r="27" spans="1:20">
      <c r="A27" s="673"/>
      <c r="B27" s="58">
        <v>9</v>
      </c>
      <c r="C27" s="662" t="s">
        <v>594</v>
      </c>
      <c r="D27" s="672">
        <v>68.67</v>
      </c>
      <c r="E27" s="29">
        <v>13.21</v>
      </c>
      <c r="F27" s="29">
        <f t="shared" ref="F27:F28" si="3">D27+E27</f>
        <v>81.88</v>
      </c>
      <c r="G27" s="29">
        <v>81.88</v>
      </c>
      <c r="M27" s="671" t="s">
        <v>595</v>
      </c>
    </row>
    <row r="28" spans="1:20" ht="15.75" thickBot="1">
      <c r="A28" s="677"/>
      <c r="B28" s="678">
        <v>14</v>
      </c>
      <c r="C28" s="663" t="s">
        <v>593</v>
      </c>
      <c r="D28" s="679">
        <v>171.68</v>
      </c>
      <c r="E28" s="680">
        <v>33.020000000000003</v>
      </c>
      <c r="F28" s="682">
        <f t="shared" si="3"/>
        <v>204.70000000000002</v>
      </c>
      <c r="G28" s="719">
        <v>204.7</v>
      </c>
      <c r="H28" s="663" t="s">
        <v>597</v>
      </c>
      <c r="I28" s="683"/>
      <c r="J28" s="683"/>
      <c r="K28" s="683"/>
      <c r="L28" s="683"/>
      <c r="M28" s="686" t="s">
        <v>595</v>
      </c>
      <c r="N28" s="683"/>
      <c r="O28" s="683"/>
      <c r="P28" s="683"/>
      <c r="Q28" s="683"/>
      <c r="R28" s="683"/>
    </row>
    <row r="29" spans="1:20">
      <c r="A29" s="84" t="s">
        <v>283</v>
      </c>
      <c r="B29" s="58">
        <v>18</v>
      </c>
      <c r="C29" s="662" t="s">
        <v>594</v>
      </c>
      <c r="D29" s="676">
        <v>114.45</v>
      </c>
      <c r="E29" s="676">
        <v>22.01</v>
      </c>
      <c r="F29" s="675">
        <f t="shared" ref="F29:F89" si="4">SUM(D29:E29)</f>
        <v>136.46</v>
      </c>
      <c r="G29" s="29">
        <v>136.46</v>
      </c>
      <c r="H29" s="662" t="s">
        <v>601</v>
      </c>
      <c r="M29" s="674" t="s">
        <v>598</v>
      </c>
    </row>
    <row r="30" spans="1:20">
      <c r="A30" s="84"/>
      <c r="B30" s="58">
        <v>19</v>
      </c>
      <c r="C30" s="662" t="s">
        <v>593</v>
      </c>
      <c r="D30" s="676">
        <v>30.52</v>
      </c>
      <c r="E30" s="676">
        <v>5.87</v>
      </c>
      <c r="F30" s="29">
        <f t="shared" si="4"/>
        <v>36.39</v>
      </c>
      <c r="G30" s="29"/>
      <c r="H30" s="662" t="s">
        <v>600</v>
      </c>
      <c r="J30" s="215" t="s">
        <v>599</v>
      </c>
      <c r="M30" s="674" t="s">
        <v>598</v>
      </c>
    </row>
    <row r="31" spans="1:20">
      <c r="A31" s="84"/>
      <c r="B31" s="58">
        <v>22</v>
      </c>
      <c r="C31" s="662" t="s">
        <v>593</v>
      </c>
      <c r="D31" s="676">
        <v>56.27</v>
      </c>
      <c r="E31" s="676">
        <v>10.82</v>
      </c>
      <c r="F31" s="29">
        <f t="shared" si="4"/>
        <v>67.09</v>
      </c>
      <c r="G31" s="29"/>
      <c r="H31" s="662" t="s">
        <v>602</v>
      </c>
      <c r="J31" s="215" t="s">
        <v>599</v>
      </c>
      <c r="M31" s="674" t="s">
        <v>598</v>
      </c>
    </row>
    <row r="32" spans="1:20">
      <c r="A32" s="84"/>
      <c r="B32" s="58">
        <v>36</v>
      </c>
      <c r="C32" s="662" t="s">
        <v>593</v>
      </c>
      <c r="D32" s="676">
        <v>68.67</v>
      </c>
      <c r="E32" s="676">
        <v>13.21</v>
      </c>
      <c r="F32" s="688">
        <f t="shared" si="4"/>
        <v>81.88</v>
      </c>
      <c r="G32" s="29">
        <v>81.88</v>
      </c>
      <c r="H32" s="687"/>
      <c r="M32" s="674" t="s">
        <v>598</v>
      </c>
    </row>
    <row r="33" spans="1:18">
      <c r="A33" s="84"/>
      <c r="B33" s="58">
        <v>44</v>
      </c>
      <c r="C33" s="662" t="s">
        <v>594</v>
      </c>
      <c r="D33" s="676">
        <v>27.35</v>
      </c>
      <c r="E33" s="676">
        <v>5.26</v>
      </c>
      <c r="F33" s="29">
        <f t="shared" si="4"/>
        <v>32.61</v>
      </c>
      <c r="G33" s="29"/>
      <c r="J33" s="215" t="s">
        <v>599</v>
      </c>
      <c r="M33" s="674" t="s">
        <v>598</v>
      </c>
    </row>
    <row r="34" spans="1:18">
      <c r="A34" s="84"/>
      <c r="B34" s="58">
        <v>45</v>
      </c>
      <c r="C34" s="662" t="s">
        <v>594</v>
      </c>
      <c r="D34" s="676">
        <v>19.55</v>
      </c>
      <c r="E34" s="676">
        <v>3.76</v>
      </c>
      <c r="F34" s="688">
        <f t="shared" si="4"/>
        <v>23.310000000000002</v>
      </c>
      <c r="G34" s="29">
        <v>23.31</v>
      </c>
      <c r="H34" s="687"/>
      <c r="M34" s="674" t="s">
        <v>598</v>
      </c>
    </row>
    <row r="35" spans="1:18">
      <c r="A35" s="84"/>
      <c r="B35" s="58">
        <v>47</v>
      </c>
      <c r="C35" s="662" t="s">
        <v>594</v>
      </c>
      <c r="D35" s="676">
        <v>27.66</v>
      </c>
      <c r="E35" s="676">
        <v>5.32</v>
      </c>
      <c r="F35" s="29">
        <f t="shared" si="4"/>
        <v>32.980000000000004</v>
      </c>
      <c r="G35" s="29"/>
      <c r="H35" s="662" t="s">
        <v>603</v>
      </c>
      <c r="J35" s="215" t="s">
        <v>599</v>
      </c>
      <c r="M35" s="674" t="s">
        <v>598</v>
      </c>
    </row>
    <row r="36" spans="1:18" ht="15.75" thickBot="1">
      <c r="A36" s="681"/>
      <c r="B36" s="678">
        <v>55</v>
      </c>
      <c r="C36" s="663" t="s">
        <v>593</v>
      </c>
      <c r="D36" s="685">
        <v>31.47</v>
      </c>
      <c r="E36" s="685">
        <v>6.05</v>
      </c>
      <c r="F36" s="690">
        <f t="shared" si="4"/>
        <v>37.519999999999996</v>
      </c>
      <c r="G36" s="682">
        <v>37.520000000000003</v>
      </c>
      <c r="H36" s="689"/>
      <c r="I36" s="683"/>
      <c r="J36" s="683"/>
      <c r="K36" s="683"/>
      <c r="L36" s="683"/>
      <c r="M36" s="684" t="s">
        <v>598</v>
      </c>
      <c r="N36" s="683"/>
      <c r="O36" s="683"/>
      <c r="P36" s="683"/>
      <c r="Q36" s="683"/>
      <c r="R36" s="683"/>
    </row>
    <row r="37" spans="1:18">
      <c r="A37" s="673" t="s">
        <v>438</v>
      </c>
      <c r="B37" s="58">
        <v>7613</v>
      </c>
      <c r="C37" s="282" t="s">
        <v>604</v>
      </c>
      <c r="D37" s="29">
        <v>11.44</v>
      </c>
      <c r="E37" s="29"/>
      <c r="F37" s="688">
        <f t="shared" si="4"/>
        <v>11.44</v>
      </c>
      <c r="G37" s="29">
        <v>11.44</v>
      </c>
      <c r="H37" s="687"/>
    </row>
    <row r="38" spans="1:18">
      <c r="A38" s="673"/>
      <c r="B38" s="58">
        <v>7614</v>
      </c>
      <c r="C38" s="282" t="s">
        <v>604</v>
      </c>
      <c r="D38" s="29">
        <v>343.36</v>
      </c>
      <c r="E38" s="29"/>
      <c r="F38" s="688">
        <f t="shared" si="4"/>
        <v>343.36</v>
      </c>
      <c r="G38" s="29">
        <v>343.36</v>
      </c>
      <c r="H38" s="687"/>
    </row>
    <row r="39" spans="1:18" ht="15.75" thickBot="1">
      <c r="A39" s="681" t="s">
        <v>446</v>
      </c>
      <c r="B39" s="678">
        <v>8246</v>
      </c>
      <c r="C39" s="283" t="s">
        <v>604</v>
      </c>
      <c r="D39" s="682">
        <v>910</v>
      </c>
      <c r="E39" s="682"/>
      <c r="F39" s="682">
        <f t="shared" si="4"/>
        <v>910</v>
      </c>
      <c r="G39" s="682"/>
      <c r="H39" s="683"/>
      <c r="I39" s="683"/>
      <c r="J39" s="691" t="s">
        <v>605</v>
      </c>
      <c r="K39" s="683"/>
      <c r="L39" s="683"/>
      <c r="M39" s="683"/>
      <c r="N39" s="683"/>
      <c r="O39" s="683"/>
      <c r="P39" s="683"/>
      <c r="Q39" s="683"/>
      <c r="R39" s="683"/>
    </row>
    <row r="40" spans="1:18" ht="15.75" thickBot="1">
      <c r="A40" s="692" t="s">
        <v>462</v>
      </c>
      <c r="B40" s="693">
        <v>9600</v>
      </c>
      <c r="C40" s="309" t="s">
        <v>594</v>
      </c>
      <c r="D40" s="694">
        <v>81.27</v>
      </c>
      <c r="E40" s="694">
        <v>15.63</v>
      </c>
      <c r="F40" s="700">
        <f t="shared" si="4"/>
        <v>96.899999999999991</v>
      </c>
      <c r="G40" s="694"/>
      <c r="H40" s="699"/>
      <c r="I40" s="695"/>
      <c r="J40" s="695"/>
      <c r="K40" s="695"/>
      <c r="L40" s="695"/>
      <c r="M40" s="698"/>
      <c r="N40" s="695"/>
      <c r="O40" s="695"/>
      <c r="P40" s="695"/>
      <c r="Q40" s="695"/>
      <c r="R40" s="695"/>
    </row>
    <row r="41" spans="1:18">
      <c r="A41" s="84" t="s">
        <v>478</v>
      </c>
      <c r="B41" s="58">
        <v>10441</v>
      </c>
      <c r="C41" s="662" t="s">
        <v>593</v>
      </c>
      <c r="D41" s="29">
        <v>18.97</v>
      </c>
      <c r="E41" s="29">
        <v>3.65</v>
      </c>
      <c r="F41" s="29">
        <f t="shared" si="4"/>
        <v>22.619999999999997</v>
      </c>
      <c r="G41" s="29"/>
      <c r="J41" s="701" t="s">
        <v>605</v>
      </c>
      <c r="M41" s="662" t="s">
        <v>607</v>
      </c>
    </row>
    <row r="42" spans="1:18">
      <c r="A42" s="84"/>
      <c r="B42" s="58">
        <v>10442</v>
      </c>
      <c r="C42" s="662" t="s">
        <v>594</v>
      </c>
      <c r="D42" s="29">
        <v>51.88</v>
      </c>
      <c r="E42" s="29">
        <v>9.98</v>
      </c>
      <c r="F42" s="688">
        <f t="shared" si="4"/>
        <v>61.86</v>
      </c>
      <c r="G42" s="29"/>
      <c r="H42" s="687"/>
      <c r="J42" s="702"/>
    </row>
    <row r="43" spans="1:18">
      <c r="A43" s="84"/>
      <c r="B43" s="58">
        <v>10443</v>
      </c>
      <c r="C43" s="662" t="s">
        <v>594</v>
      </c>
      <c r="D43" s="29">
        <v>69.91</v>
      </c>
      <c r="E43" s="29">
        <v>13.44</v>
      </c>
      <c r="F43" s="688">
        <f t="shared" si="4"/>
        <v>83.35</v>
      </c>
      <c r="G43" s="29"/>
      <c r="H43" s="687"/>
    </row>
    <row r="44" spans="1:18" ht="15.75" thickBot="1">
      <c r="A44" s="681"/>
      <c r="B44" s="678">
        <v>10444</v>
      </c>
      <c r="C44" s="663" t="s">
        <v>594</v>
      </c>
      <c r="D44" s="682">
        <v>70.89</v>
      </c>
      <c r="E44" s="682">
        <v>13.63</v>
      </c>
      <c r="F44" s="690">
        <f t="shared" si="4"/>
        <v>84.52</v>
      </c>
      <c r="G44" s="682"/>
      <c r="H44" s="689"/>
      <c r="I44" s="683"/>
      <c r="J44" s="683"/>
      <c r="K44" s="683"/>
      <c r="L44" s="683"/>
      <c r="M44" s="683"/>
      <c r="N44" s="683"/>
      <c r="O44" s="683"/>
      <c r="P44" s="683"/>
      <c r="Q44" s="683"/>
      <c r="R44" s="683"/>
    </row>
    <row r="45" spans="1:18">
      <c r="A45" s="58"/>
      <c r="B45" s="58"/>
      <c r="D45" s="29"/>
      <c r="E45" s="29"/>
      <c r="F45" s="29">
        <f t="shared" si="4"/>
        <v>0</v>
      </c>
    </row>
    <row r="46" spans="1:18">
      <c r="A46" s="58"/>
      <c r="B46" s="58"/>
      <c r="D46" s="29"/>
      <c r="E46" s="29"/>
      <c r="F46" s="29">
        <f t="shared" si="4"/>
        <v>0</v>
      </c>
    </row>
    <row r="47" spans="1:18">
      <c r="A47" s="58"/>
      <c r="B47" s="58"/>
      <c r="D47" s="29"/>
      <c r="E47" s="29"/>
      <c r="F47" s="29">
        <f t="shared" si="4"/>
        <v>0</v>
      </c>
    </row>
    <row r="48" spans="1:18">
      <c r="A48" s="58"/>
      <c r="B48" s="58"/>
      <c r="D48" s="29"/>
      <c r="E48" s="29"/>
      <c r="F48" s="29">
        <f t="shared" si="4"/>
        <v>0</v>
      </c>
    </row>
    <row r="49" spans="1:6">
      <c r="A49" s="58"/>
      <c r="B49" s="58"/>
      <c r="D49" s="29"/>
      <c r="E49" s="29"/>
      <c r="F49" s="29">
        <f t="shared" si="4"/>
        <v>0</v>
      </c>
    </row>
    <row r="50" spans="1:6">
      <c r="A50" s="58"/>
      <c r="B50" s="58"/>
      <c r="D50" s="29"/>
      <c r="E50" s="29"/>
      <c r="F50" s="29">
        <f t="shared" si="4"/>
        <v>0</v>
      </c>
    </row>
    <row r="51" spans="1:6">
      <c r="A51" s="58"/>
      <c r="B51" s="58"/>
      <c r="D51" s="29"/>
      <c r="E51" s="29"/>
      <c r="F51" s="29">
        <f t="shared" si="4"/>
        <v>0</v>
      </c>
    </row>
    <row r="52" spans="1:6">
      <c r="A52" s="58"/>
      <c r="B52" s="58"/>
      <c r="D52" s="29"/>
      <c r="E52" s="29"/>
      <c r="F52" s="29">
        <f t="shared" si="4"/>
        <v>0</v>
      </c>
    </row>
    <row r="53" spans="1:6">
      <c r="A53" s="58"/>
      <c r="B53" s="58"/>
      <c r="D53" s="29"/>
      <c r="E53" s="29"/>
      <c r="F53" s="29">
        <f t="shared" si="4"/>
        <v>0</v>
      </c>
    </row>
    <row r="54" spans="1:6">
      <c r="A54" s="58"/>
      <c r="B54" s="58"/>
      <c r="D54" s="29"/>
      <c r="E54" s="29"/>
      <c r="F54" s="29">
        <f t="shared" si="4"/>
        <v>0</v>
      </c>
    </row>
    <row r="55" spans="1:6">
      <c r="A55" s="58"/>
      <c r="B55" s="58"/>
      <c r="D55" s="29"/>
      <c r="E55" s="29"/>
      <c r="F55" s="29">
        <f t="shared" si="4"/>
        <v>0</v>
      </c>
    </row>
    <row r="56" spans="1:6">
      <c r="A56" s="58"/>
      <c r="B56" s="58"/>
      <c r="D56" s="29"/>
      <c r="E56" s="29"/>
      <c r="F56" s="29">
        <f t="shared" si="4"/>
        <v>0</v>
      </c>
    </row>
    <row r="57" spans="1:6">
      <c r="A57" s="58"/>
      <c r="B57" s="58"/>
      <c r="D57" s="29"/>
      <c r="E57" s="29"/>
      <c r="F57" s="29">
        <f t="shared" si="4"/>
        <v>0</v>
      </c>
    </row>
    <row r="58" spans="1:6">
      <c r="A58" s="58"/>
      <c r="B58" s="58"/>
      <c r="D58" s="29"/>
      <c r="E58" s="29"/>
      <c r="F58" s="29">
        <f t="shared" si="4"/>
        <v>0</v>
      </c>
    </row>
    <row r="59" spans="1:6">
      <c r="A59" s="58"/>
      <c r="B59" s="58"/>
      <c r="D59" s="29"/>
      <c r="E59" s="29"/>
      <c r="F59" s="29">
        <f t="shared" si="4"/>
        <v>0</v>
      </c>
    </row>
    <row r="60" spans="1:6">
      <c r="A60" s="58"/>
      <c r="B60" s="58"/>
      <c r="D60" s="29"/>
      <c r="E60" s="29"/>
      <c r="F60" s="29">
        <f t="shared" si="4"/>
        <v>0</v>
      </c>
    </row>
    <row r="61" spans="1:6">
      <c r="A61" s="58"/>
      <c r="B61" s="58"/>
      <c r="D61" s="29"/>
      <c r="E61" s="29"/>
      <c r="F61" s="29">
        <f t="shared" si="4"/>
        <v>0</v>
      </c>
    </row>
    <row r="62" spans="1:6">
      <c r="A62" s="58"/>
      <c r="B62" s="58"/>
      <c r="D62" s="29"/>
      <c r="E62" s="29"/>
      <c r="F62" s="29">
        <f t="shared" si="4"/>
        <v>0</v>
      </c>
    </row>
    <row r="63" spans="1:6">
      <c r="A63" s="58"/>
      <c r="B63" s="58"/>
      <c r="D63" s="29"/>
      <c r="E63" s="29"/>
      <c r="F63" s="29">
        <f t="shared" si="4"/>
        <v>0</v>
      </c>
    </row>
    <row r="64" spans="1:6">
      <c r="A64" s="58"/>
      <c r="B64" s="58"/>
      <c r="D64" s="29"/>
      <c r="E64" s="29"/>
      <c r="F64" s="29">
        <f t="shared" si="4"/>
        <v>0</v>
      </c>
    </row>
    <row r="65" spans="1:6">
      <c r="A65" s="58"/>
      <c r="B65" s="58"/>
      <c r="D65" s="29"/>
      <c r="E65" s="29"/>
      <c r="F65" s="29">
        <f t="shared" si="4"/>
        <v>0</v>
      </c>
    </row>
    <row r="66" spans="1:6">
      <c r="A66" s="58"/>
      <c r="B66" s="58"/>
      <c r="D66" s="29"/>
      <c r="E66" s="29"/>
      <c r="F66" s="29">
        <f t="shared" si="4"/>
        <v>0</v>
      </c>
    </row>
    <row r="67" spans="1:6">
      <c r="A67" s="58"/>
      <c r="B67" s="58"/>
      <c r="D67" s="29"/>
      <c r="E67" s="29"/>
      <c r="F67" s="29">
        <f t="shared" si="4"/>
        <v>0</v>
      </c>
    </row>
    <row r="68" spans="1:6">
      <c r="A68" s="58"/>
      <c r="B68" s="58"/>
      <c r="D68" s="29"/>
      <c r="E68" s="29"/>
      <c r="F68" s="29">
        <f t="shared" si="4"/>
        <v>0</v>
      </c>
    </row>
    <row r="69" spans="1:6">
      <c r="A69" s="58"/>
      <c r="B69" s="58"/>
      <c r="D69" s="29"/>
      <c r="E69" s="29"/>
      <c r="F69" s="29">
        <f t="shared" si="4"/>
        <v>0</v>
      </c>
    </row>
    <row r="70" spans="1:6">
      <c r="A70" s="58"/>
      <c r="B70" s="58"/>
      <c r="D70" s="29"/>
      <c r="E70" s="29"/>
      <c r="F70" s="29">
        <f t="shared" si="4"/>
        <v>0</v>
      </c>
    </row>
    <row r="71" spans="1:6">
      <c r="A71" s="58"/>
      <c r="B71" s="58"/>
      <c r="D71" s="29"/>
      <c r="E71" s="29"/>
      <c r="F71" s="29">
        <f t="shared" si="4"/>
        <v>0</v>
      </c>
    </row>
    <row r="72" spans="1:6">
      <c r="A72" s="58"/>
      <c r="B72" s="58"/>
      <c r="D72" s="29"/>
      <c r="E72" s="29"/>
      <c r="F72" s="29">
        <f t="shared" si="4"/>
        <v>0</v>
      </c>
    </row>
    <row r="73" spans="1:6">
      <c r="A73" s="58"/>
      <c r="B73" s="58"/>
      <c r="D73" s="29"/>
      <c r="E73" s="29"/>
      <c r="F73" s="29">
        <f t="shared" si="4"/>
        <v>0</v>
      </c>
    </row>
    <row r="74" spans="1:6">
      <c r="A74" s="58"/>
      <c r="B74" s="58"/>
      <c r="D74" s="29"/>
      <c r="E74" s="29"/>
      <c r="F74" s="29">
        <f t="shared" si="4"/>
        <v>0</v>
      </c>
    </row>
    <row r="75" spans="1:6">
      <c r="A75" s="58"/>
      <c r="B75" s="58"/>
      <c r="D75" s="29"/>
      <c r="E75" s="29"/>
      <c r="F75" s="29">
        <f t="shared" si="4"/>
        <v>0</v>
      </c>
    </row>
    <row r="76" spans="1:6">
      <c r="A76" s="58"/>
      <c r="B76" s="58"/>
      <c r="D76" s="29"/>
      <c r="E76" s="29"/>
      <c r="F76" s="29">
        <f t="shared" si="4"/>
        <v>0</v>
      </c>
    </row>
    <row r="77" spans="1:6">
      <c r="A77" s="58"/>
      <c r="B77" s="58"/>
      <c r="D77" s="29"/>
      <c r="E77" s="29"/>
      <c r="F77" s="29">
        <f t="shared" si="4"/>
        <v>0</v>
      </c>
    </row>
    <row r="78" spans="1:6">
      <c r="A78" s="58"/>
      <c r="B78" s="58"/>
      <c r="D78" s="29"/>
      <c r="E78" s="29"/>
      <c r="F78" s="29">
        <f t="shared" si="4"/>
        <v>0</v>
      </c>
    </row>
    <row r="79" spans="1:6">
      <c r="A79" s="58"/>
      <c r="B79" s="58"/>
      <c r="D79" s="29"/>
      <c r="E79" s="29"/>
      <c r="F79" s="29">
        <f t="shared" si="4"/>
        <v>0</v>
      </c>
    </row>
    <row r="80" spans="1:6">
      <c r="A80" s="58"/>
      <c r="B80" s="58"/>
      <c r="D80" s="29"/>
      <c r="E80" s="29"/>
      <c r="F80" s="29">
        <f t="shared" si="4"/>
        <v>0</v>
      </c>
    </row>
    <row r="81" spans="1:6">
      <c r="A81" s="58"/>
      <c r="B81" s="58"/>
      <c r="D81" s="29"/>
      <c r="E81" s="29"/>
      <c r="F81" s="29">
        <f t="shared" si="4"/>
        <v>0</v>
      </c>
    </row>
    <row r="82" spans="1:6">
      <c r="A82" s="58"/>
      <c r="B82" s="58"/>
      <c r="D82" s="29"/>
      <c r="E82" s="29"/>
      <c r="F82" s="29">
        <f t="shared" si="4"/>
        <v>0</v>
      </c>
    </row>
    <row r="83" spans="1:6">
      <c r="A83" s="58"/>
      <c r="B83" s="58"/>
      <c r="D83" s="29"/>
      <c r="E83" s="29"/>
      <c r="F83" s="29">
        <f t="shared" si="4"/>
        <v>0</v>
      </c>
    </row>
    <row r="84" spans="1:6">
      <c r="A84" s="58"/>
      <c r="B84" s="58"/>
      <c r="D84" s="29"/>
      <c r="E84" s="29"/>
      <c r="F84" s="29">
        <f t="shared" si="4"/>
        <v>0</v>
      </c>
    </row>
    <row r="85" spans="1:6">
      <c r="A85" s="58"/>
      <c r="B85" s="58"/>
      <c r="D85" s="29"/>
      <c r="E85" s="29"/>
      <c r="F85" s="29">
        <f t="shared" si="4"/>
        <v>0</v>
      </c>
    </row>
    <row r="86" spans="1:6">
      <c r="A86" s="58"/>
      <c r="B86" s="58"/>
      <c r="D86" s="29"/>
      <c r="E86" s="29"/>
      <c r="F86" s="29">
        <f t="shared" si="4"/>
        <v>0</v>
      </c>
    </row>
    <row r="87" spans="1:6">
      <c r="A87" s="58"/>
      <c r="B87" s="58"/>
      <c r="D87" s="29"/>
      <c r="E87" s="29"/>
      <c r="F87" s="29">
        <f t="shared" si="4"/>
        <v>0</v>
      </c>
    </row>
    <row r="88" spans="1:6">
      <c r="A88" s="58"/>
      <c r="B88" s="58"/>
      <c r="D88" s="29"/>
      <c r="E88" s="29"/>
      <c r="F88" s="29">
        <f t="shared" si="4"/>
        <v>0</v>
      </c>
    </row>
    <row r="89" spans="1:6">
      <c r="A89" s="58"/>
      <c r="B89" s="58"/>
      <c r="D89" s="29"/>
      <c r="E89" s="29"/>
      <c r="F89" s="29">
        <f t="shared" si="4"/>
        <v>0</v>
      </c>
    </row>
    <row r="90" spans="1:6">
      <c r="A90" s="58"/>
      <c r="B90" s="58"/>
      <c r="D90" s="29"/>
      <c r="E90" s="29"/>
      <c r="F90" s="29">
        <f t="shared" ref="F90:F92" si="5">SUM(D90:E90)</f>
        <v>0</v>
      </c>
    </row>
    <row r="91" spans="1:6">
      <c r="A91" s="58"/>
      <c r="B91" s="58"/>
      <c r="D91" s="29"/>
      <c r="E91" s="29"/>
      <c r="F91" s="29">
        <f t="shared" si="5"/>
        <v>0</v>
      </c>
    </row>
    <row r="92" spans="1:6">
      <c r="A92" s="58"/>
      <c r="B92" s="58"/>
      <c r="D92" s="29"/>
      <c r="E92" s="29"/>
      <c r="F92" s="29">
        <f t="shared" si="5"/>
        <v>0</v>
      </c>
    </row>
    <row r="93" spans="1:6">
      <c r="A93" s="206"/>
    </row>
  </sheetData>
  <mergeCells count="1">
    <mergeCell ref="A22:N2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23"/>
  <sheetViews>
    <sheetView workbookViewId="0">
      <pane ySplit="1" topLeftCell="A2" activePane="bottomLeft" state="frozen"/>
      <selection pane="bottomLeft" activeCell="G29" sqref="G29"/>
    </sheetView>
  </sheetViews>
  <sheetFormatPr defaultRowHeight="15"/>
  <cols>
    <col min="1" max="1" width="5" style="21" bestFit="1" customWidth="1"/>
    <col min="2" max="7" width="7.21875" style="21" bestFit="1" customWidth="1"/>
    <col min="8" max="8" width="5" style="21" bestFit="1" customWidth="1"/>
    <col min="9" max="9" width="8.44140625" style="21" bestFit="1" customWidth="1"/>
    <col min="10" max="11" width="7.21875" style="21" bestFit="1" customWidth="1"/>
    <col min="12" max="12" width="8.44140625" style="21" bestFit="1" customWidth="1"/>
    <col min="13" max="13" width="7.21875" style="21" bestFit="1" customWidth="1"/>
    <col min="14" max="14" width="9.21875" style="21" bestFit="1" customWidth="1"/>
    <col min="15" max="15" width="4.33203125" style="21" bestFit="1" customWidth="1"/>
    <col min="16" max="16384" width="8.88671875" style="21"/>
  </cols>
  <sheetData>
    <row r="1" spans="1:14" ht="15.75" thickBot="1">
      <c r="A1" s="65"/>
      <c r="B1" s="60" t="s">
        <v>18</v>
      </c>
      <c r="C1" s="61" t="s">
        <v>19</v>
      </c>
      <c r="D1" s="60" t="s">
        <v>20</v>
      </c>
      <c r="E1" s="62" t="s">
        <v>21</v>
      </c>
      <c r="F1" s="60" t="s">
        <v>2</v>
      </c>
      <c r="G1" s="61" t="s">
        <v>22</v>
      </c>
      <c r="H1" s="60" t="s">
        <v>23</v>
      </c>
      <c r="I1" s="62" t="s">
        <v>24</v>
      </c>
      <c r="J1" s="60" t="s">
        <v>25</v>
      </c>
      <c r="K1" s="61" t="s">
        <v>26</v>
      </c>
      <c r="L1" s="60" t="s">
        <v>27</v>
      </c>
      <c r="M1" s="62" t="s">
        <v>28</v>
      </c>
      <c r="N1" s="63" t="s">
        <v>16</v>
      </c>
    </row>
    <row r="2" spans="1:14">
      <c r="A2" s="23">
        <v>1998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>
        <f>SUM(B2:M2)</f>
        <v>0</v>
      </c>
    </row>
    <row r="3" spans="1:14">
      <c r="A3" s="26">
        <v>1999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25">
        <f t="shared" ref="N3:N5" si="0">SUM(B3:M3)</f>
        <v>0</v>
      </c>
    </row>
    <row r="4" spans="1:14">
      <c r="A4" s="26">
        <v>2000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25">
        <f t="shared" si="0"/>
        <v>0</v>
      </c>
    </row>
    <row r="5" spans="1:14">
      <c r="A5" s="26">
        <v>2001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2">
        <f t="shared" si="0"/>
        <v>0</v>
      </c>
    </row>
    <row r="6" spans="1:14">
      <c r="A6" s="26">
        <v>2002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>
        <f t="shared" ref="N6:N17" si="1">B6+C6+D6+E6+F6+G6+H6+I6+J6+K6+L6+M6</f>
        <v>0</v>
      </c>
    </row>
    <row r="7" spans="1:14">
      <c r="A7" s="26">
        <v>2003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0">
        <f t="shared" si="1"/>
        <v>0</v>
      </c>
    </row>
    <row r="8" spans="1:14">
      <c r="A8" s="26">
        <v>2004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0">
        <f t="shared" si="1"/>
        <v>0</v>
      </c>
    </row>
    <row r="9" spans="1:14">
      <c r="A9" s="26">
        <v>2005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>
        <f t="shared" si="1"/>
        <v>0</v>
      </c>
    </row>
    <row r="10" spans="1:14">
      <c r="A10" s="26">
        <v>2006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>
        <f t="shared" si="1"/>
        <v>0</v>
      </c>
    </row>
    <row r="11" spans="1:14">
      <c r="A11" s="26">
        <v>2007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>
        <f t="shared" si="1"/>
        <v>0</v>
      </c>
    </row>
    <row r="12" spans="1:14">
      <c r="A12" s="26">
        <v>2008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>
        <f t="shared" si="1"/>
        <v>0</v>
      </c>
    </row>
    <row r="13" spans="1:14">
      <c r="A13" s="26">
        <v>2009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>
        <f t="shared" si="1"/>
        <v>0</v>
      </c>
    </row>
    <row r="14" spans="1:14">
      <c r="A14" s="26">
        <v>2010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>
        <f t="shared" si="1"/>
        <v>0</v>
      </c>
    </row>
    <row r="15" spans="1:14">
      <c r="A15" s="26">
        <v>2011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>
        <f t="shared" si="1"/>
        <v>0</v>
      </c>
    </row>
    <row r="16" spans="1:14">
      <c r="A16" s="26">
        <v>2012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1"/>
        <v>0</v>
      </c>
    </row>
    <row r="17" spans="1:19" ht="15.75">
      <c r="A17" s="26">
        <v>2013</v>
      </c>
      <c r="B17" s="30"/>
      <c r="C17" s="30"/>
      <c r="D17" s="30"/>
      <c r="E17" s="30"/>
      <c r="F17" s="30"/>
      <c r="G17" s="27"/>
      <c r="H17" s="27"/>
      <c r="I17" s="27"/>
      <c r="J17" s="27"/>
      <c r="K17" s="27"/>
      <c r="L17" s="27"/>
      <c r="M17" s="27"/>
      <c r="N17" s="30">
        <f t="shared" si="1"/>
        <v>0</v>
      </c>
      <c r="O17" s="28" t="s">
        <v>1</v>
      </c>
      <c r="P17" s="28" t="s">
        <v>2</v>
      </c>
    </row>
    <row r="18" spans="1:19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>
        <f>SUM(N2:N17)</f>
        <v>0</v>
      </c>
    </row>
    <row r="20" spans="1:19" ht="68.25" customHeight="1">
      <c r="B20" s="805" t="s">
        <v>40</v>
      </c>
      <c r="C20" s="805"/>
      <c r="D20" s="805"/>
      <c r="E20" s="805"/>
      <c r="F20" s="805"/>
      <c r="G20" s="805"/>
      <c r="H20" s="805"/>
      <c r="I20" s="805"/>
      <c r="J20" s="805"/>
      <c r="K20" s="805"/>
      <c r="L20" s="805"/>
      <c r="M20" s="805"/>
      <c r="N20" s="805"/>
    </row>
    <row r="22" spans="1:19" ht="15.75">
      <c r="A22" s="804" t="s">
        <v>92</v>
      </c>
      <c r="B22" s="804"/>
      <c r="C22" s="804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4"/>
      <c r="O22" s="22"/>
      <c r="P22" s="22"/>
      <c r="Q22" s="22"/>
      <c r="R22" s="22"/>
      <c r="S22" s="22"/>
    </row>
    <row r="23" spans="1:19">
      <c r="A23" s="804"/>
      <c r="B23" s="804"/>
      <c r="C23" s="804"/>
      <c r="D23" s="804"/>
      <c r="E23" s="804"/>
      <c r="F23" s="804"/>
      <c r="G23" s="804"/>
      <c r="H23" s="804"/>
      <c r="I23" s="804"/>
      <c r="J23" s="804"/>
      <c r="K23" s="804"/>
      <c r="L23" s="804"/>
      <c r="M23" s="804"/>
      <c r="N23" s="804"/>
    </row>
  </sheetData>
  <mergeCells count="2">
    <mergeCell ref="A22:N23"/>
    <mergeCell ref="B20:N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32"/>
  <sheetViews>
    <sheetView workbookViewId="0">
      <selection activeCell="P18" sqref="P18"/>
    </sheetView>
  </sheetViews>
  <sheetFormatPr defaultRowHeight="12.75"/>
  <cols>
    <col min="1" max="1" width="5" style="8" bestFit="1" customWidth="1"/>
    <col min="2" max="2" width="8.6640625" style="8" bestFit="1" customWidth="1"/>
    <col min="3" max="7" width="7.21875" style="8" bestFit="1" customWidth="1"/>
    <col min="8" max="8" width="6.44140625" style="8" bestFit="1" customWidth="1"/>
    <col min="9" max="9" width="8.44140625" style="8" bestFit="1" customWidth="1"/>
    <col min="10" max="11" width="7.21875" style="8" bestFit="1" customWidth="1"/>
    <col min="12" max="12" width="8.44140625" style="8" bestFit="1" customWidth="1"/>
    <col min="13" max="13" width="7.21875" style="8" bestFit="1" customWidth="1"/>
    <col min="14" max="14" width="9.21875" style="8" bestFit="1" customWidth="1"/>
    <col min="15" max="16384" width="8.88671875" style="8"/>
  </cols>
  <sheetData>
    <row r="1" spans="1:21" ht="13.5" thickBot="1">
      <c r="A1" s="134"/>
      <c r="B1" s="124" t="s">
        <v>18</v>
      </c>
      <c r="C1" s="126" t="s">
        <v>19</v>
      </c>
      <c r="D1" s="124" t="s">
        <v>20</v>
      </c>
      <c r="E1" s="125" t="s">
        <v>21</v>
      </c>
      <c r="F1" s="124" t="s">
        <v>2</v>
      </c>
      <c r="G1" s="126" t="s">
        <v>22</v>
      </c>
      <c r="H1" s="124" t="s">
        <v>23</v>
      </c>
      <c r="I1" s="125" t="s">
        <v>24</v>
      </c>
      <c r="J1" s="124" t="s">
        <v>25</v>
      </c>
      <c r="K1" s="126" t="s">
        <v>26</v>
      </c>
      <c r="L1" s="124" t="s">
        <v>27</v>
      </c>
      <c r="M1" s="125" t="s">
        <v>28</v>
      </c>
      <c r="N1" s="136" t="s">
        <v>16</v>
      </c>
      <c r="O1" s="140" t="s">
        <v>54</v>
      </c>
    </row>
    <row r="2" spans="1:21">
      <c r="A2" s="15">
        <v>1998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5"/>
      <c r="M2" s="115"/>
      <c r="N2" s="138">
        <f>SUM(B2:M2)</f>
        <v>0</v>
      </c>
      <c r="O2" s="15"/>
    </row>
    <row r="3" spans="1:21">
      <c r="A3" s="7">
        <v>1999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38">
        <f t="shared" ref="N3:N17" si="0">SUM(B3:M3)</f>
        <v>0</v>
      </c>
      <c r="O3" s="7"/>
    </row>
    <row r="4" spans="1:21">
      <c r="A4" s="7">
        <v>2000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38">
        <f t="shared" si="0"/>
        <v>0</v>
      </c>
      <c r="O4" s="7"/>
    </row>
    <row r="5" spans="1:21">
      <c r="A5" s="7">
        <v>2001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38">
        <f t="shared" si="0"/>
        <v>0</v>
      </c>
      <c r="O5" s="7"/>
    </row>
    <row r="6" spans="1:21">
      <c r="A6" s="7">
        <v>2002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38">
        <f t="shared" si="0"/>
        <v>0</v>
      </c>
      <c r="O6" s="7"/>
    </row>
    <row r="7" spans="1:21">
      <c r="A7" s="7">
        <v>2003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8">
        <f t="shared" si="0"/>
        <v>0</v>
      </c>
      <c r="O7" s="7"/>
    </row>
    <row r="8" spans="1:21">
      <c r="A8" s="7">
        <v>2004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8">
        <f t="shared" si="0"/>
        <v>0</v>
      </c>
      <c r="O8" s="7"/>
    </row>
    <row r="9" spans="1:21">
      <c r="A9" s="7">
        <v>2005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38">
        <f t="shared" si="0"/>
        <v>0</v>
      </c>
      <c r="O9" s="7"/>
    </row>
    <row r="10" spans="1:21">
      <c r="A10" s="7">
        <v>2006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8">
        <f t="shared" si="0"/>
        <v>0</v>
      </c>
      <c r="O10" s="7"/>
    </row>
    <row r="11" spans="1:21">
      <c r="A11" s="7">
        <v>2007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38">
        <f t="shared" si="0"/>
        <v>0</v>
      </c>
      <c r="O11" s="7"/>
    </row>
    <row r="12" spans="1:21">
      <c r="A12" s="7">
        <v>2008</v>
      </c>
      <c r="B12" s="9"/>
      <c r="C12" s="9"/>
      <c r="D12" s="9"/>
      <c r="E12" s="9">
        <v>96.88</v>
      </c>
      <c r="F12" s="9"/>
      <c r="G12" s="9"/>
      <c r="H12" s="9">
        <v>57.93</v>
      </c>
      <c r="I12" s="9"/>
      <c r="J12" s="9"/>
      <c r="K12" s="9">
        <v>23.25</v>
      </c>
      <c r="L12" s="9"/>
      <c r="M12" s="9"/>
      <c r="N12" s="138">
        <v>120.13</v>
      </c>
      <c r="O12" s="7">
        <f>U12</f>
        <v>1534</v>
      </c>
      <c r="Q12" s="8">
        <v>849</v>
      </c>
      <c r="R12" s="8">
        <v>493</v>
      </c>
      <c r="S12" s="8">
        <v>192</v>
      </c>
      <c r="U12" s="8">
        <f>SUM(Q12:T12)</f>
        <v>1534</v>
      </c>
    </row>
    <row r="13" spans="1:21">
      <c r="A13" s="7">
        <v>2009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38">
        <f t="shared" si="0"/>
        <v>0</v>
      </c>
      <c r="O13" s="7"/>
    </row>
    <row r="14" spans="1:21">
      <c r="A14" s="7">
        <v>2010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38">
        <f t="shared" si="0"/>
        <v>0</v>
      </c>
      <c r="O14" s="7"/>
    </row>
    <row r="15" spans="1:21">
      <c r="A15" s="7">
        <v>2011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38">
        <f t="shared" si="0"/>
        <v>0</v>
      </c>
      <c r="O15" s="7"/>
    </row>
    <row r="16" spans="1:21">
      <c r="A16" s="7">
        <v>2012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38">
        <f t="shared" si="0"/>
        <v>0</v>
      </c>
      <c r="O16" s="7"/>
    </row>
    <row r="17" spans="1:18">
      <c r="A17" s="7">
        <v>2013</v>
      </c>
      <c r="B17" s="9"/>
      <c r="C17" s="9"/>
      <c r="D17" s="9"/>
      <c r="E17" s="9"/>
      <c r="F17" s="9"/>
      <c r="G17" s="117"/>
      <c r="H17" s="117"/>
      <c r="I17" s="117"/>
      <c r="J17" s="117"/>
      <c r="K17" s="117"/>
      <c r="L17" s="117"/>
      <c r="M17" s="117"/>
      <c r="N17" s="138">
        <f t="shared" si="0"/>
        <v>0</v>
      </c>
      <c r="O17" s="7"/>
    </row>
    <row r="18" spans="1:18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39">
        <f>SUM(N2:N17)</f>
        <v>120.13</v>
      </c>
      <c r="O18" s="169">
        <f>SUM(O2:O17)</f>
        <v>1534</v>
      </c>
      <c r="P18" s="245" t="s">
        <v>389</v>
      </c>
    </row>
    <row r="19" spans="1:18">
      <c r="P19" s="111">
        <v>46062</v>
      </c>
    </row>
    <row r="21" spans="1:18" ht="12.75" customHeight="1">
      <c r="A21" s="807" t="s">
        <v>311</v>
      </c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137"/>
      <c r="Q21" s="137"/>
      <c r="R21" s="137"/>
    </row>
    <row r="23" spans="1:18">
      <c r="A23" s="129">
        <v>1998</v>
      </c>
    </row>
    <row r="24" spans="1:18">
      <c r="A24" s="101">
        <v>1999</v>
      </c>
    </row>
    <row r="25" spans="1:18">
      <c r="A25" s="129">
        <v>2000</v>
      </c>
    </row>
    <row r="26" spans="1:18">
      <c r="A26" s="101">
        <v>2001</v>
      </c>
    </row>
    <row r="27" spans="1:18">
      <c r="A27" s="129">
        <v>2002</v>
      </c>
    </row>
    <row r="30" spans="1:18">
      <c r="A30" s="806">
        <v>2008</v>
      </c>
      <c r="B30" s="131" t="s">
        <v>93</v>
      </c>
      <c r="C30" s="164">
        <v>81.25</v>
      </c>
      <c r="D30" s="161">
        <v>15.63</v>
      </c>
      <c r="E30" s="12">
        <f>SUM(C30:D30)</f>
        <v>96.88</v>
      </c>
    </row>
    <row r="31" spans="1:18">
      <c r="A31" s="806"/>
      <c r="B31" s="131" t="s">
        <v>95</v>
      </c>
      <c r="C31" s="164">
        <v>48.59</v>
      </c>
      <c r="D31" s="161">
        <v>9.34</v>
      </c>
      <c r="E31" s="12">
        <f>SUM(C31:D31)</f>
        <v>57.930000000000007</v>
      </c>
    </row>
    <row r="32" spans="1:18">
      <c r="A32" s="806"/>
      <c r="B32" s="8" t="s">
        <v>94</v>
      </c>
      <c r="C32" s="164">
        <v>19.5</v>
      </c>
      <c r="D32" s="161">
        <v>3.75</v>
      </c>
      <c r="E32" s="12">
        <f>SUM(C32:D32)</f>
        <v>23.25</v>
      </c>
    </row>
  </sheetData>
  <mergeCells count="2">
    <mergeCell ref="A30:A32"/>
    <mergeCell ref="A21:O2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O111"/>
  <sheetViews>
    <sheetView workbookViewId="0">
      <pane ySplit="1" topLeftCell="A2" activePane="bottomLeft" state="frozen"/>
      <selection pane="bottomLeft" activeCell="P20" sqref="P20"/>
    </sheetView>
  </sheetViews>
  <sheetFormatPr defaultRowHeight="12.75"/>
  <cols>
    <col min="1" max="1" width="5" style="8" bestFit="1" customWidth="1"/>
    <col min="2" max="2" width="9.88671875" style="8" customWidth="1"/>
    <col min="3" max="3" width="7.21875" style="8" bestFit="1" customWidth="1"/>
    <col min="4" max="5" width="8" style="8" bestFit="1" customWidth="1"/>
    <col min="6" max="9" width="6.44140625" style="8" bestFit="1" customWidth="1"/>
    <col min="10" max="13" width="7.21875" style="8" bestFit="1" customWidth="1"/>
    <col min="14" max="14" width="8.44140625" style="8" bestFit="1" customWidth="1"/>
    <col min="15" max="15" width="8.6640625" style="8" customWidth="1"/>
    <col min="16" max="16" width="7.21875" style="14" bestFit="1" customWidth="1"/>
    <col min="17" max="17" width="7.44140625" style="14" bestFit="1" customWidth="1"/>
    <col min="18" max="18" width="5.6640625" style="14" customWidth="1"/>
    <col min="19" max="19" width="2.109375" style="14" customWidth="1"/>
    <col min="20" max="20" width="4.6640625" style="14" bestFit="1" customWidth="1"/>
    <col min="21" max="27" width="4.6640625" style="8" bestFit="1" customWidth="1"/>
    <col min="28" max="28" width="5.6640625" style="8" bestFit="1" customWidth="1"/>
    <col min="29" max="29" width="3.44140625" style="8" bestFit="1" customWidth="1"/>
    <col min="30" max="30" width="2.77734375" style="8" bestFit="1" customWidth="1"/>
    <col min="31" max="31" width="3.44140625" style="8" bestFit="1" customWidth="1"/>
    <col min="32" max="32" width="6.44140625" style="8" bestFit="1" customWidth="1"/>
    <col min="33" max="37" width="8.88671875" style="8"/>
    <col min="38" max="38" width="4.109375" style="8" customWidth="1"/>
    <col min="39" max="40" width="8.88671875" style="8"/>
    <col min="41" max="41" width="9.33203125" style="8" bestFit="1" customWidth="1"/>
    <col min="42" max="16384" width="8.88671875" style="8"/>
  </cols>
  <sheetData>
    <row r="1" spans="1:41" ht="13.5" thickBot="1">
      <c r="A1" s="112"/>
      <c r="B1" s="122" t="s">
        <v>18</v>
      </c>
      <c r="C1" s="123" t="s">
        <v>19</v>
      </c>
      <c r="D1" s="124" t="s">
        <v>20</v>
      </c>
      <c r="E1" s="125" t="s">
        <v>21</v>
      </c>
      <c r="F1" s="124" t="s">
        <v>2</v>
      </c>
      <c r="G1" s="126" t="s">
        <v>22</v>
      </c>
      <c r="H1" s="124" t="s">
        <v>23</v>
      </c>
      <c r="I1" s="125" t="s">
        <v>24</v>
      </c>
      <c r="J1" s="124" t="s">
        <v>25</v>
      </c>
      <c r="K1" s="126" t="s">
        <v>26</v>
      </c>
      <c r="L1" s="124" t="s">
        <v>27</v>
      </c>
      <c r="M1" s="125" t="s">
        <v>28</v>
      </c>
      <c r="N1" s="127" t="s">
        <v>68</v>
      </c>
      <c r="O1" s="632" t="s">
        <v>54</v>
      </c>
      <c r="P1" s="633">
        <v>299</v>
      </c>
      <c r="Q1" s="128" t="s">
        <v>54</v>
      </c>
      <c r="R1" s="57"/>
      <c r="S1" s="57"/>
      <c r="T1" s="57">
        <v>1</v>
      </c>
      <c r="U1" s="8">
        <v>2</v>
      </c>
      <c r="V1" s="8">
        <v>3</v>
      </c>
      <c r="W1" s="8">
        <v>4</v>
      </c>
      <c r="X1" s="8">
        <v>5</v>
      </c>
      <c r="Y1" s="8">
        <v>6</v>
      </c>
      <c r="Z1" s="8">
        <v>7</v>
      </c>
      <c r="AA1" s="8">
        <v>8</v>
      </c>
      <c r="AB1" s="8">
        <v>9</v>
      </c>
      <c r="AC1" s="8">
        <v>10</v>
      </c>
      <c r="AD1" s="8">
        <v>11</v>
      </c>
      <c r="AE1" s="8">
        <v>12</v>
      </c>
    </row>
    <row r="2" spans="1:41">
      <c r="A2" s="15">
        <v>1998</v>
      </c>
      <c r="B2" s="114"/>
      <c r="C2" s="114"/>
      <c r="D2" s="114"/>
      <c r="E2" s="114"/>
      <c r="F2" s="114"/>
      <c r="G2" s="114"/>
      <c r="H2" s="114"/>
      <c r="I2" s="115"/>
      <c r="J2" s="115">
        <v>108.52</v>
      </c>
      <c r="K2" s="115">
        <v>145.57</v>
      </c>
      <c r="L2" s="115">
        <v>15.82</v>
      </c>
      <c r="M2" s="115">
        <v>29.28</v>
      </c>
      <c r="N2" s="121">
        <f>SUM(B2:M2)</f>
        <v>299.18999999999994</v>
      </c>
      <c r="O2" s="168">
        <f>AF2</f>
        <v>3481</v>
      </c>
      <c r="P2" s="121">
        <f>N2*R2</f>
        <v>89.756999999999977</v>
      </c>
      <c r="Q2" s="168">
        <f>O2*R2</f>
        <v>1044.3</v>
      </c>
      <c r="R2" s="626">
        <v>0.3</v>
      </c>
      <c r="S2" s="57"/>
      <c r="T2" s="237"/>
      <c r="U2" s="237"/>
      <c r="V2" s="251"/>
      <c r="W2" s="634"/>
      <c r="X2" s="109"/>
      <c r="Y2" s="251"/>
      <c r="Z2" s="237"/>
      <c r="AA2" s="251"/>
      <c r="AB2" s="251">
        <v>1284</v>
      </c>
      <c r="AC2" s="225">
        <v>1690</v>
      </c>
      <c r="AD2" s="225">
        <v>180</v>
      </c>
      <c r="AE2" s="225">
        <v>327</v>
      </c>
      <c r="AF2" s="404">
        <f>SUM(T2:AE2)</f>
        <v>3481</v>
      </c>
    </row>
    <row r="3" spans="1:41">
      <c r="A3" s="7">
        <v>1999</v>
      </c>
      <c r="B3" s="9">
        <v>10.36</v>
      </c>
      <c r="C3" s="9">
        <v>13.15</v>
      </c>
      <c r="D3" s="9">
        <v>17.36</v>
      </c>
      <c r="E3" s="9">
        <v>35.36</v>
      </c>
      <c r="F3" s="9">
        <v>12.45</v>
      </c>
      <c r="G3" s="9"/>
      <c r="H3" s="9"/>
      <c r="I3" s="9"/>
      <c r="J3" s="9"/>
      <c r="K3" s="9">
        <v>3.6</v>
      </c>
      <c r="L3" s="9"/>
      <c r="M3" s="9"/>
      <c r="N3" s="116">
        <f>SUM(B3:M3)</f>
        <v>92.279999999999987</v>
      </c>
      <c r="O3" s="168">
        <f t="shared" ref="O3:O17" si="0">AF3</f>
        <v>967</v>
      </c>
      <c r="P3" s="121">
        <f t="shared" ref="P3:P17" si="1">N3*R3</f>
        <v>36.911999999999999</v>
      </c>
      <c r="Q3" s="168">
        <f t="shared" ref="Q3:Q17" si="2">O3*R3</f>
        <v>386.8</v>
      </c>
      <c r="R3" s="626">
        <v>0.4</v>
      </c>
      <c r="S3" s="57"/>
      <c r="T3" s="237">
        <v>114</v>
      </c>
      <c r="U3" s="237">
        <v>141</v>
      </c>
      <c r="V3" s="251">
        <v>184</v>
      </c>
      <c r="W3" s="634">
        <v>367</v>
      </c>
      <c r="X3" s="109">
        <v>127</v>
      </c>
      <c r="Y3" s="251"/>
      <c r="Z3" s="237"/>
      <c r="AA3" s="251"/>
      <c r="AB3" s="225"/>
      <c r="AC3" s="225">
        <v>34</v>
      </c>
      <c r="AD3" s="225"/>
      <c r="AE3" s="225"/>
      <c r="AF3" s="404">
        <f t="shared" ref="AF3:AF17" si="3">SUM(T3:AE3)</f>
        <v>967</v>
      </c>
    </row>
    <row r="4" spans="1:41">
      <c r="A4" s="7">
        <v>2000</v>
      </c>
      <c r="B4" s="9"/>
      <c r="C4" s="9"/>
      <c r="D4" s="9">
        <v>1.47</v>
      </c>
      <c r="E4" s="9"/>
      <c r="F4" s="9">
        <v>1.78</v>
      </c>
      <c r="G4" s="9"/>
      <c r="H4" s="9"/>
      <c r="I4" s="9"/>
      <c r="J4" s="9"/>
      <c r="K4" s="9">
        <v>17.11</v>
      </c>
      <c r="L4" s="9"/>
      <c r="M4" s="9"/>
      <c r="N4" s="116">
        <f>SUM(B4:M4)</f>
        <v>20.36</v>
      </c>
      <c r="O4" s="168">
        <f t="shared" si="0"/>
        <v>163</v>
      </c>
      <c r="P4" s="121">
        <f t="shared" si="1"/>
        <v>9.1620000000000008</v>
      </c>
      <c r="Q4" s="168">
        <f t="shared" si="2"/>
        <v>73.350000000000009</v>
      </c>
      <c r="R4" s="626">
        <v>0.45</v>
      </c>
      <c r="S4" s="57"/>
      <c r="T4" s="237"/>
      <c r="U4" s="237"/>
      <c r="V4" s="251">
        <v>13</v>
      </c>
      <c r="W4" s="634"/>
      <c r="X4" s="109">
        <v>15</v>
      </c>
      <c r="Y4" s="251"/>
      <c r="Z4" s="237"/>
      <c r="AA4" s="251"/>
      <c r="AB4" s="225"/>
      <c r="AC4" s="225">
        <v>135</v>
      </c>
      <c r="AD4" s="225"/>
      <c r="AE4" s="225"/>
      <c r="AF4" s="404">
        <f t="shared" si="3"/>
        <v>163</v>
      </c>
    </row>
    <row r="5" spans="1:41">
      <c r="A5" s="7">
        <v>2001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16">
        <f t="shared" ref="N5:N17" si="4">SUM(B5:M5)</f>
        <v>0</v>
      </c>
      <c r="O5" s="168">
        <f t="shared" si="0"/>
        <v>0</v>
      </c>
      <c r="P5" s="121">
        <f t="shared" si="1"/>
        <v>0</v>
      </c>
      <c r="Q5" s="168">
        <f t="shared" si="2"/>
        <v>0</v>
      </c>
      <c r="R5" s="626">
        <v>0.4</v>
      </c>
      <c r="S5" s="57"/>
      <c r="T5" s="237"/>
      <c r="U5" s="237"/>
      <c r="V5" s="251"/>
      <c r="W5" s="634"/>
      <c r="X5" s="109"/>
      <c r="Y5" s="251"/>
      <c r="Z5" s="237"/>
      <c r="AA5" s="251"/>
      <c r="AB5" s="225"/>
      <c r="AC5" s="225"/>
      <c r="AD5" s="225"/>
      <c r="AE5" s="225"/>
      <c r="AF5" s="404">
        <f t="shared" si="3"/>
        <v>0</v>
      </c>
    </row>
    <row r="6" spans="1:41">
      <c r="A6" s="7">
        <v>2002</v>
      </c>
      <c r="B6" s="9"/>
      <c r="C6" s="9"/>
      <c r="D6" s="9"/>
      <c r="E6" s="9">
        <v>10.54</v>
      </c>
      <c r="F6" s="9"/>
      <c r="G6" s="9"/>
      <c r="H6" s="9"/>
      <c r="I6" s="9"/>
      <c r="J6" s="9"/>
      <c r="K6" s="9"/>
      <c r="L6" s="9"/>
      <c r="M6" s="9"/>
      <c r="N6" s="116">
        <f t="shared" si="4"/>
        <v>10.54</v>
      </c>
      <c r="O6" s="168">
        <f t="shared" si="0"/>
        <v>69</v>
      </c>
      <c r="P6" s="121">
        <f t="shared" si="1"/>
        <v>4.2160000000000002</v>
      </c>
      <c r="Q6" s="168">
        <f t="shared" si="2"/>
        <v>27.6</v>
      </c>
      <c r="R6" s="626">
        <v>0.4</v>
      </c>
      <c r="S6" s="57"/>
      <c r="T6" s="237"/>
      <c r="U6" s="237"/>
      <c r="V6" s="251"/>
      <c r="W6" s="634">
        <v>69</v>
      </c>
      <c r="X6" s="109"/>
      <c r="Y6" s="251"/>
      <c r="Z6" s="237"/>
      <c r="AA6" s="251"/>
      <c r="AB6" s="225"/>
      <c r="AC6" s="225"/>
      <c r="AD6" s="225"/>
      <c r="AE6" s="225"/>
      <c r="AF6" s="404">
        <f t="shared" si="3"/>
        <v>69</v>
      </c>
    </row>
    <row r="7" spans="1:41">
      <c r="A7" s="7">
        <v>2003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16">
        <f t="shared" si="4"/>
        <v>0</v>
      </c>
      <c r="O7" s="168">
        <f t="shared" si="0"/>
        <v>0</v>
      </c>
      <c r="P7" s="121">
        <f t="shared" si="1"/>
        <v>0</v>
      </c>
      <c r="Q7" s="168">
        <f t="shared" si="2"/>
        <v>0</v>
      </c>
      <c r="R7" s="626">
        <v>0.4</v>
      </c>
      <c r="S7" s="57"/>
      <c r="T7" s="237"/>
      <c r="U7" s="237"/>
      <c r="V7" s="251"/>
      <c r="W7" s="634"/>
      <c r="X7" s="109"/>
      <c r="Y7" s="251"/>
      <c r="Z7" s="237"/>
      <c r="AA7" s="251"/>
      <c r="AB7" s="225"/>
      <c r="AC7" s="225"/>
      <c r="AD7" s="225"/>
      <c r="AE7" s="225"/>
      <c r="AF7" s="404">
        <f t="shared" si="3"/>
        <v>0</v>
      </c>
    </row>
    <row r="8" spans="1:41">
      <c r="A8" s="7">
        <v>2004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16">
        <f t="shared" si="4"/>
        <v>0</v>
      </c>
      <c r="O8" s="168">
        <f t="shared" si="0"/>
        <v>0</v>
      </c>
      <c r="P8" s="121">
        <f t="shared" si="1"/>
        <v>0</v>
      </c>
      <c r="Q8" s="168">
        <f t="shared" si="2"/>
        <v>0</v>
      </c>
      <c r="R8" s="626">
        <v>0.4</v>
      </c>
      <c r="S8" s="57"/>
      <c r="T8" s="237"/>
      <c r="U8" s="237"/>
      <c r="V8" s="251"/>
      <c r="W8" s="634"/>
      <c r="X8" s="109"/>
      <c r="Y8" s="251"/>
      <c r="Z8" s="237"/>
      <c r="AA8" s="251"/>
      <c r="AB8" s="225"/>
      <c r="AC8" s="225"/>
      <c r="AD8" s="225"/>
      <c r="AE8" s="225"/>
      <c r="AF8" s="404">
        <f t="shared" si="3"/>
        <v>0</v>
      </c>
      <c r="AG8" s="237"/>
      <c r="AH8" s="237"/>
      <c r="AI8" s="481"/>
      <c r="AJ8" s="480"/>
      <c r="AK8" s="482" t="s">
        <v>542</v>
      </c>
      <c r="AL8" s="480"/>
      <c r="AM8" s="480" t="s">
        <v>16</v>
      </c>
      <c r="AN8" s="480"/>
      <c r="AO8" s="480" t="s">
        <v>546</v>
      </c>
    </row>
    <row r="9" spans="1:41">
      <c r="A9" s="7">
        <v>2005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16">
        <f t="shared" si="4"/>
        <v>0</v>
      </c>
      <c r="O9" s="168">
        <f t="shared" si="0"/>
        <v>0</v>
      </c>
      <c r="P9" s="121">
        <f t="shared" si="1"/>
        <v>0</v>
      </c>
      <c r="Q9" s="168">
        <f t="shared" si="2"/>
        <v>0</v>
      </c>
      <c r="R9" s="626">
        <v>0.4</v>
      </c>
      <c r="S9" s="57"/>
      <c r="T9" s="237"/>
      <c r="U9" s="237"/>
      <c r="V9" s="251"/>
      <c r="W9" s="634"/>
      <c r="X9" s="109"/>
      <c r="Y9" s="251"/>
      <c r="Z9" s="237"/>
      <c r="AA9" s="251"/>
      <c r="AB9" s="225"/>
      <c r="AC9" s="225"/>
      <c r="AD9" s="225"/>
      <c r="AE9" s="225"/>
      <c r="AF9" s="404">
        <f t="shared" si="3"/>
        <v>0</v>
      </c>
      <c r="AG9" s="237"/>
      <c r="AH9" s="237"/>
      <c r="AI9" s="481" t="s">
        <v>543</v>
      </c>
      <c r="AJ9" s="109">
        <v>5555</v>
      </c>
      <c r="AK9" s="109">
        <v>1111</v>
      </c>
      <c r="AL9" s="237"/>
      <c r="AM9" s="237">
        <f>AJ9*AK9</f>
        <v>6171605</v>
      </c>
      <c r="AN9" s="225"/>
      <c r="AO9" s="237">
        <f>O20*AM9/N18</f>
        <v>70861077.679441467</v>
      </c>
    </row>
    <row r="10" spans="1:41">
      <c r="A10" s="7">
        <v>2006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16">
        <f t="shared" si="4"/>
        <v>0</v>
      </c>
      <c r="O10" s="168">
        <f t="shared" si="0"/>
        <v>0</v>
      </c>
      <c r="P10" s="121">
        <f t="shared" si="1"/>
        <v>0</v>
      </c>
      <c r="Q10" s="168">
        <f t="shared" si="2"/>
        <v>0</v>
      </c>
      <c r="R10" s="626">
        <v>0.4</v>
      </c>
      <c r="S10" s="57"/>
      <c r="T10" s="237"/>
      <c r="U10" s="237"/>
      <c r="V10" s="251"/>
      <c r="W10" s="634"/>
      <c r="X10" s="109"/>
      <c r="Y10" s="251"/>
      <c r="Z10" s="237"/>
      <c r="AA10" s="251"/>
      <c r="AB10" s="225"/>
      <c r="AC10" s="225"/>
      <c r="AD10" s="225"/>
      <c r="AE10" s="225"/>
      <c r="AF10" s="404">
        <f t="shared" si="3"/>
        <v>0</v>
      </c>
      <c r="AG10" s="237"/>
      <c r="AH10" s="237"/>
      <c r="AI10" s="481" t="s">
        <v>544</v>
      </c>
      <c r="AJ10" s="109">
        <v>5555</v>
      </c>
      <c r="AK10" s="109">
        <v>555</v>
      </c>
      <c r="AL10" s="237"/>
      <c r="AM10" s="237">
        <f>AJ10*AK10</f>
        <v>3083025</v>
      </c>
      <c r="AN10" s="237"/>
      <c r="AO10" s="237">
        <v>45456456</v>
      </c>
    </row>
    <row r="11" spans="1:41">
      <c r="A11" s="7">
        <v>2007</v>
      </c>
      <c r="B11" s="9"/>
      <c r="C11" s="9"/>
      <c r="D11" s="9"/>
      <c r="E11" s="9"/>
      <c r="F11" s="9">
        <v>22.3</v>
      </c>
      <c r="G11" s="9">
        <v>78.709999999999994</v>
      </c>
      <c r="H11" s="9">
        <v>13</v>
      </c>
      <c r="I11" s="9"/>
      <c r="J11" s="9"/>
      <c r="K11" s="9">
        <v>7.32</v>
      </c>
      <c r="L11" s="9"/>
      <c r="M11" s="9"/>
      <c r="N11" s="116">
        <f t="shared" si="4"/>
        <v>121.32999999999998</v>
      </c>
      <c r="O11" s="168">
        <f t="shared" si="0"/>
        <v>461</v>
      </c>
      <c r="P11" s="121">
        <f t="shared" si="1"/>
        <v>48.531999999999996</v>
      </c>
      <c r="Q11" s="168">
        <f t="shared" si="2"/>
        <v>184.4</v>
      </c>
      <c r="R11" s="626">
        <v>0.4</v>
      </c>
      <c r="S11" s="57"/>
      <c r="T11" s="237"/>
      <c r="U11" s="237"/>
      <c r="V11" s="251"/>
      <c r="W11" s="634"/>
      <c r="X11" s="109">
        <v>86</v>
      </c>
      <c r="Y11" s="251">
        <v>299</v>
      </c>
      <c r="Z11" s="237">
        <v>49</v>
      </c>
      <c r="AA11" s="251"/>
      <c r="AB11" s="225"/>
      <c r="AC11" s="225">
        <v>27</v>
      </c>
      <c r="AD11" s="225"/>
      <c r="AE11" s="225"/>
      <c r="AF11" s="404">
        <f t="shared" si="3"/>
        <v>461</v>
      </c>
      <c r="AG11" s="237"/>
      <c r="AH11" s="237"/>
      <c r="AI11" s="481" t="s">
        <v>545</v>
      </c>
      <c r="AJ11" s="109">
        <v>5555</v>
      </c>
      <c r="AK11" s="109">
        <v>111</v>
      </c>
      <c r="AL11" s="237"/>
      <c r="AM11" s="237">
        <f>AJ11*AK11</f>
        <v>616605</v>
      </c>
      <c r="AN11" s="237"/>
      <c r="AO11" s="237">
        <v>56567567</v>
      </c>
    </row>
    <row r="12" spans="1:41">
      <c r="A12" s="7">
        <v>2008</v>
      </c>
      <c r="B12" s="9"/>
      <c r="C12" s="9"/>
      <c r="D12" s="9"/>
      <c r="E12" s="9">
        <v>0.59</v>
      </c>
      <c r="F12" s="9"/>
      <c r="G12" s="9"/>
      <c r="H12" s="9"/>
      <c r="I12" s="9"/>
      <c r="J12" s="9"/>
      <c r="K12" s="9">
        <v>0.74</v>
      </c>
      <c r="L12" s="9">
        <v>2.42</v>
      </c>
      <c r="M12" s="9"/>
      <c r="N12" s="116">
        <f t="shared" si="4"/>
        <v>3.75</v>
      </c>
      <c r="O12" s="168">
        <f t="shared" si="0"/>
        <v>12</v>
      </c>
      <c r="P12" s="121">
        <f t="shared" si="1"/>
        <v>1.5</v>
      </c>
      <c r="Q12" s="168">
        <f t="shared" si="2"/>
        <v>4.8000000000000007</v>
      </c>
      <c r="R12" s="626">
        <v>0.4</v>
      </c>
      <c r="S12" s="57"/>
      <c r="T12" s="237"/>
      <c r="U12" s="237"/>
      <c r="V12" s="251"/>
      <c r="W12" s="634">
        <v>2</v>
      </c>
      <c r="X12" s="109"/>
      <c r="Y12" s="251"/>
      <c r="Z12" s="237"/>
      <c r="AA12" s="251"/>
      <c r="AB12" s="225"/>
      <c r="AC12" s="225">
        <v>2</v>
      </c>
      <c r="AD12" s="225">
        <v>8</v>
      </c>
      <c r="AE12" s="225"/>
      <c r="AF12" s="404">
        <f t="shared" si="3"/>
        <v>12</v>
      </c>
      <c r="AG12" s="237"/>
      <c r="AH12" s="237"/>
      <c r="AI12" s="235"/>
      <c r="AJ12" s="483"/>
      <c r="AK12" s="237"/>
      <c r="AL12" s="237"/>
      <c r="AM12" s="237">
        <f t="shared" ref="AM12" si="5">SUM(AM9:AM11)</f>
        <v>9871235</v>
      </c>
      <c r="AN12" s="237"/>
      <c r="AO12" s="237">
        <f>SUM(AO9:AO11)</f>
        <v>172885100.67944145</v>
      </c>
    </row>
    <row r="13" spans="1:41">
      <c r="A13" s="7">
        <v>2009</v>
      </c>
      <c r="B13" s="9"/>
      <c r="C13" s="9"/>
      <c r="D13" s="9"/>
      <c r="E13" s="9"/>
      <c r="F13" s="9"/>
      <c r="G13" s="9"/>
      <c r="H13" s="9">
        <v>48</v>
      </c>
      <c r="I13" s="9"/>
      <c r="J13" s="9"/>
      <c r="K13" s="9"/>
      <c r="L13" s="9"/>
      <c r="M13" s="9"/>
      <c r="N13" s="116">
        <f t="shared" si="4"/>
        <v>48</v>
      </c>
      <c r="O13" s="168">
        <f t="shared" si="0"/>
        <v>146</v>
      </c>
      <c r="P13" s="121">
        <f t="shared" si="1"/>
        <v>16.799999999999997</v>
      </c>
      <c r="Q13" s="168">
        <f t="shared" si="2"/>
        <v>51.099999999999994</v>
      </c>
      <c r="R13" s="626">
        <v>0.35</v>
      </c>
      <c r="S13" s="57"/>
      <c r="T13" s="237"/>
      <c r="U13" s="237"/>
      <c r="V13" s="251"/>
      <c r="W13" s="634"/>
      <c r="X13" s="109"/>
      <c r="Y13" s="251"/>
      <c r="Z13" s="237">
        <v>146</v>
      </c>
      <c r="AA13" s="251"/>
      <c r="AB13" s="225"/>
      <c r="AC13" s="225"/>
      <c r="AD13" s="225"/>
      <c r="AE13" s="225"/>
      <c r="AF13" s="404">
        <f t="shared" si="3"/>
        <v>146</v>
      </c>
    </row>
    <row r="14" spans="1:41">
      <c r="A14" s="7">
        <v>2010</v>
      </c>
      <c r="B14" s="9"/>
      <c r="C14" s="9"/>
      <c r="D14" s="9">
        <v>35.43</v>
      </c>
      <c r="E14" s="9"/>
      <c r="F14" s="9">
        <v>4.47</v>
      </c>
      <c r="G14" s="9"/>
      <c r="H14" s="9">
        <v>41.2</v>
      </c>
      <c r="I14" s="9"/>
      <c r="J14" s="9"/>
      <c r="K14" s="9">
        <v>35.25</v>
      </c>
      <c r="L14" s="9">
        <v>119.24</v>
      </c>
      <c r="M14" s="9">
        <v>457.22</v>
      </c>
      <c r="N14" s="116">
        <f t="shared" si="4"/>
        <v>692.81</v>
      </c>
      <c r="O14" s="168">
        <f t="shared" si="0"/>
        <v>1861</v>
      </c>
      <c r="P14" s="121">
        <f t="shared" si="1"/>
        <v>311.7645</v>
      </c>
      <c r="Q14" s="168">
        <f t="shared" si="2"/>
        <v>837.45</v>
      </c>
      <c r="R14" s="626">
        <v>0.45</v>
      </c>
      <c r="S14" s="57"/>
      <c r="T14" s="237"/>
      <c r="U14" s="237"/>
      <c r="V14" s="251">
        <v>101</v>
      </c>
      <c r="W14" s="634"/>
      <c r="X14" s="109">
        <v>13</v>
      </c>
      <c r="Y14" s="251"/>
      <c r="Z14" s="237">
        <v>114</v>
      </c>
      <c r="AA14" s="251"/>
      <c r="AB14" s="225"/>
      <c r="AC14" s="225">
        <v>95</v>
      </c>
      <c r="AD14" s="225">
        <v>320</v>
      </c>
      <c r="AE14" s="225">
        <v>1218</v>
      </c>
      <c r="AF14" s="404">
        <f t="shared" si="3"/>
        <v>1861</v>
      </c>
    </row>
    <row r="15" spans="1:41">
      <c r="A15" s="7">
        <v>2011</v>
      </c>
      <c r="B15" s="9">
        <v>32.25</v>
      </c>
      <c r="C15" s="9">
        <v>14.61</v>
      </c>
      <c r="D15" s="9">
        <v>14.56</v>
      </c>
      <c r="E15" s="9">
        <v>26.43</v>
      </c>
      <c r="F15" s="9">
        <v>93.68</v>
      </c>
      <c r="G15" s="9">
        <v>55.47</v>
      </c>
      <c r="H15" s="9"/>
      <c r="I15" s="9">
        <v>15.78</v>
      </c>
      <c r="J15" s="9">
        <v>10.63</v>
      </c>
      <c r="K15" s="9"/>
      <c r="L15" s="9"/>
      <c r="M15" s="9"/>
      <c r="N15" s="116">
        <f t="shared" si="4"/>
        <v>263.41000000000003</v>
      </c>
      <c r="O15" s="168">
        <f t="shared" si="0"/>
        <v>677</v>
      </c>
      <c r="P15" s="121">
        <f t="shared" si="1"/>
        <v>92.1935</v>
      </c>
      <c r="Q15" s="168">
        <f t="shared" si="2"/>
        <v>236.95</v>
      </c>
      <c r="R15" s="626">
        <v>0.35</v>
      </c>
      <c r="S15" s="57"/>
      <c r="T15" s="237">
        <v>85</v>
      </c>
      <c r="U15" s="237">
        <v>38</v>
      </c>
      <c r="V15" s="251">
        <v>38</v>
      </c>
      <c r="W15" s="634">
        <v>68</v>
      </c>
      <c r="X15" s="109">
        <v>241</v>
      </c>
      <c r="Y15" s="251">
        <v>141</v>
      </c>
      <c r="Z15" s="237"/>
      <c r="AA15" s="251">
        <v>40</v>
      </c>
      <c r="AB15" s="225">
        <v>26</v>
      </c>
      <c r="AC15" s="225"/>
      <c r="AD15" s="225"/>
      <c r="AE15" s="225"/>
      <c r="AF15" s="404">
        <f t="shared" si="3"/>
        <v>677</v>
      </c>
    </row>
    <row r="16" spans="1:41">
      <c r="A16" s="7">
        <v>2012</v>
      </c>
      <c r="B16" s="9"/>
      <c r="C16" s="9"/>
      <c r="D16" s="9">
        <v>126.73</v>
      </c>
      <c r="E16" s="9"/>
      <c r="F16" s="9"/>
      <c r="G16" s="9"/>
      <c r="H16" s="9"/>
      <c r="I16" s="9">
        <v>53.52</v>
      </c>
      <c r="J16" s="9"/>
      <c r="K16" s="9"/>
      <c r="L16" s="9">
        <v>35.6</v>
      </c>
      <c r="M16" s="9"/>
      <c r="N16" s="116">
        <f t="shared" si="4"/>
        <v>215.85</v>
      </c>
      <c r="O16" s="168">
        <f t="shared" si="0"/>
        <v>505</v>
      </c>
      <c r="P16" s="121">
        <f t="shared" si="1"/>
        <v>38.852999999999994</v>
      </c>
      <c r="Q16" s="168">
        <f t="shared" si="2"/>
        <v>90.899999999999991</v>
      </c>
      <c r="R16" s="626">
        <v>0.18</v>
      </c>
      <c r="S16" s="57"/>
      <c r="T16" s="237"/>
      <c r="U16" s="237"/>
      <c r="V16" s="251">
        <v>302</v>
      </c>
      <c r="W16" s="634"/>
      <c r="X16" s="109"/>
      <c r="Y16" s="251"/>
      <c r="Z16" s="237"/>
      <c r="AA16" s="251">
        <v>123</v>
      </c>
      <c r="AB16" s="225"/>
      <c r="AC16" s="225"/>
      <c r="AD16" s="225">
        <v>80</v>
      </c>
      <c r="AE16" s="225"/>
      <c r="AF16" s="404">
        <f t="shared" si="3"/>
        <v>505</v>
      </c>
    </row>
    <row r="17" spans="1:32">
      <c r="A17" s="7">
        <v>2013</v>
      </c>
      <c r="B17" s="9"/>
      <c r="C17" s="9">
        <v>16.07</v>
      </c>
      <c r="D17" s="9">
        <v>17.27</v>
      </c>
      <c r="E17" s="9">
        <v>26.42</v>
      </c>
      <c r="F17" s="9">
        <v>40.46</v>
      </c>
      <c r="G17" s="117"/>
      <c r="H17" s="117"/>
      <c r="I17" s="117"/>
      <c r="J17" s="117"/>
      <c r="K17" s="117"/>
      <c r="L17" s="117"/>
      <c r="M17" s="117"/>
      <c r="N17" s="116">
        <f t="shared" si="4"/>
        <v>100.22</v>
      </c>
      <c r="O17" s="168">
        <f t="shared" si="0"/>
        <v>217</v>
      </c>
      <c r="P17" s="121">
        <f t="shared" si="1"/>
        <v>26.057200000000002</v>
      </c>
      <c r="Q17" s="168">
        <f t="shared" si="2"/>
        <v>56.42</v>
      </c>
      <c r="R17" s="626">
        <v>0.26</v>
      </c>
      <c r="S17" s="57"/>
      <c r="T17" s="237"/>
      <c r="U17" s="237">
        <v>35</v>
      </c>
      <c r="V17" s="251">
        <v>38</v>
      </c>
      <c r="W17" s="634">
        <v>57</v>
      </c>
      <c r="X17" s="109">
        <v>87</v>
      </c>
      <c r="Y17" s="251"/>
      <c r="Z17" s="237"/>
      <c r="AA17" s="251"/>
      <c r="AB17" s="225"/>
      <c r="AC17" s="225"/>
      <c r="AD17" s="225"/>
      <c r="AE17" s="225"/>
      <c r="AF17" s="404">
        <f t="shared" si="3"/>
        <v>217</v>
      </c>
    </row>
    <row r="18" spans="1:3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9">
        <f>SUM(N2:N17)</f>
        <v>1867.7399999999998</v>
      </c>
      <c r="O18" s="169">
        <f>SUM(O2:O17)</f>
        <v>8559</v>
      </c>
      <c r="P18" s="9">
        <f>SUM(P2:P17)</f>
        <v>675.74719999999991</v>
      </c>
      <c r="Q18" s="169">
        <f>SUM(Q2:Q17)</f>
        <v>2994.0699999999997</v>
      </c>
      <c r="R18" s="133"/>
      <c r="S18" s="133"/>
      <c r="T18" s="133"/>
      <c r="U18" s="167"/>
      <c r="V18" s="167"/>
      <c r="W18" s="167"/>
      <c r="X18" s="167"/>
      <c r="Y18" s="132"/>
      <c r="Z18" s="132"/>
      <c r="AA18" s="132"/>
    </row>
    <row r="19" spans="1:32">
      <c r="N19" s="11"/>
      <c r="O19" s="132"/>
      <c r="P19" s="111">
        <v>46065</v>
      </c>
      <c r="Q19" s="635">
        <f>Q18*O20/O18</f>
        <v>7501.7912314522719</v>
      </c>
      <c r="R19" s="133"/>
      <c r="S19" s="133"/>
      <c r="T19" s="133"/>
      <c r="U19" s="167"/>
      <c r="V19" s="167"/>
      <c r="W19" s="167"/>
      <c r="X19" s="167"/>
      <c r="Y19" s="132"/>
      <c r="Z19" s="132"/>
      <c r="AA19" s="132"/>
    </row>
    <row r="20" spans="1:32">
      <c r="N20" s="11"/>
      <c r="O20" s="491">
        <v>21445</v>
      </c>
      <c r="P20" s="245" t="s">
        <v>389</v>
      </c>
      <c r="Q20" s="111"/>
      <c r="R20" s="133"/>
      <c r="S20" s="133"/>
      <c r="T20" s="133"/>
      <c r="U20" s="167"/>
      <c r="V20" s="167"/>
      <c r="W20" s="167"/>
      <c r="X20" s="167"/>
      <c r="Y20" s="132"/>
      <c r="Z20" s="132"/>
      <c r="AA20" s="132"/>
    </row>
    <row r="21" spans="1:32">
      <c r="N21" s="11"/>
      <c r="O21" s="11"/>
      <c r="P21" s="111"/>
      <c r="Q21" s="133"/>
      <c r="R21" s="133"/>
      <c r="S21" s="133"/>
      <c r="T21" s="133"/>
      <c r="U21" s="167"/>
      <c r="V21" s="167"/>
      <c r="W21" s="167"/>
      <c r="X21" s="167"/>
      <c r="Y21" s="132"/>
      <c r="Z21" s="132"/>
      <c r="AA21" s="132"/>
    </row>
    <row r="22" spans="1:32" ht="12.75" customHeight="1">
      <c r="A22" s="807" t="s">
        <v>549</v>
      </c>
      <c r="B22" s="807"/>
      <c r="C22" s="807"/>
      <c r="D22" s="807"/>
      <c r="E22" s="807"/>
      <c r="F22" s="807"/>
      <c r="G22" s="807"/>
      <c r="H22" s="807"/>
      <c r="I22" s="807"/>
      <c r="J22" s="807"/>
      <c r="K22" s="807"/>
      <c r="L22" s="807"/>
      <c r="M22" s="807"/>
      <c r="N22" s="807"/>
      <c r="O22" s="807"/>
      <c r="P22" s="57"/>
      <c r="Q22" s="57"/>
      <c r="R22" s="57"/>
      <c r="S22" s="57"/>
      <c r="T22" s="57"/>
      <c r="U22" s="132"/>
      <c r="V22" s="132"/>
      <c r="W22" s="132"/>
      <c r="X22" s="132"/>
      <c r="Y22" s="132"/>
      <c r="Z22" s="132"/>
      <c r="AA22" s="132"/>
    </row>
    <row r="23" spans="1:32">
      <c r="O23" s="245"/>
      <c r="P23" s="57"/>
      <c r="Q23" s="57"/>
      <c r="R23" s="57"/>
      <c r="S23" s="57"/>
      <c r="T23" s="57"/>
      <c r="U23" s="132"/>
      <c r="V23" s="132"/>
      <c r="W23" s="132"/>
      <c r="X23" s="132"/>
      <c r="Y23" s="132"/>
      <c r="Z23" s="132"/>
      <c r="AA23" s="132"/>
    </row>
    <row r="24" spans="1:32">
      <c r="O24" s="111"/>
      <c r="U24" s="132"/>
    </row>
    <row r="25" spans="1:32">
      <c r="A25" s="808">
        <v>1998</v>
      </c>
      <c r="B25" s="319" t="s">
        <v>69</v>
      </c>
      <c r="C25" s="151">
        <v>19.39</v>
      </c>
      <c r="D25" s="151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/>
    </row>
    <row r="26" spans="1:32">
      <c r="A26" s="808"/>
      <c r="B26" s="320" t="s">
        <v>314</v>
      </c>
      <c r="C26" s="151">
        <v>9.98</v>
      </c>
      <c r="D26" s="151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/>
    </row>
    <row r="27" spans="1:32">
      <c r="A27" s="808"/>
      <c r="B27" s="319" t="s">
        <v>70</v>
      </c>
      <c r="C27" s="151">
        <v>53.11</v>
      </c>
      <c r="D27" s="151"/>
      <c r="E27" s="118"/>
      <c r="F27" s="118"/>
      <c r="J27" s="11"/>
      <c r="O27" s="119"/>
    </row>
    <row r="28" spans="1:32" ht="13.5" thickBot="1">
      <c r="A28" s="808"/>
      <c r="B28" s="330" t="s">
        <v>71</v>
      </c>
      <c r="C28" s="325">
        <v>26.04</v>
      </c>
      <c r="D28" s="326">
        <f>SUM(C25:C28)</f>
        <v>108.52000000000001</v>
      </c>
      <c r="O28" s="119"/>
    </row>
    <row r="29" spans="1:32">
      <c r="A29" s="808"/>
      <c r="B29" s="161" t="s">
        <v>72</v>
      </c>
      <c r="C29" s="14">
        <v>17.89</v>
      </c>
      <c r="D29" s="14"/>
      <c r="O29" s="119"/>
    </row>
    <row r="30" spans="1:32" ht="13.5" thickBot="1">
      <c r="A30" s="808"/>
      <c r="B30" s="330" t="s">
        <v>73</v>
      </c>
      <c r="C30" s="325">
        <v>127.68</v>
      </c>
      <c r="D30" s="326">
        <f>C29+C30</f>
        <v>145.57</v>
      </c>
      <c r="E30" s="8" t="s">
        <v>74</v>
      </c>
      <c r="O30" s="119"/>
    </row>
    <row r="31" spans="1:32" ht="13.5" thickBot="1">
      <c r="A31" s="808"/>
      <c r="B31" s="346" t="s">
        <v>27</v>
      </c>
      <c r="C31" s="345">
        <v>15.82</v>
      </c>
      <c r="D31" s="150"/>
      <c r="O31" s="119"/>
    </row>
    <row r="32" spans="1:32">
      <c r="A32" s="808"/>
      <c r="B32" s="161" t="s">
        <v>28</v>
      </c>
      <c r="C32" s="14">
        <v>15.74</v>
      </c>
      <c r="D32" s="14"/>
      <c r="O32" s="119"/>
    </row>
    <row r="33" spans="1:15">
      <c r="A33" s="808"/>
      <c r="B33" s="161" t="s">
        <v>125</v>
      </c>
      <c r="C33" s="14">
        <v>5.0199999999999996</v>
      </c>
      <c r="D33" s="14"/>
      <c r="E33" s="8" t="s">
        <v>126</v>
      </c>
      <c r="O33" s="119"/>
    </row>
    <row r="34" spans="1:15">
      <c r="A34" s="808"/>
      <c r="B34" s="319" t="s">
        <v>88</v>
      </c>
      <c r="C34" s="151">
        <v>8.1300000000000008</v>
      </c>
      <c r="D34" s="151"/>
      <c r="E34" s="8" t="s">
        <v>89</v>
      </c>
      <c r="F34" s="118"/>
      <c r="O34" s="119"/>
    </row>
    <row r="35" spans="1:15" ht="13.5" thickBot="1">
      <c r="A35" s="808"/>
      <c r="B35" s="330" t="s">
        <v>28</v>
      </c>
      <c r="C35" s="325">
        <v>0.39</v>
      </c>
      <c r="D35" s="326">
        <f>SUM(C32:C35)</f>
        <v>29.28</v>
      </c>
      <c r="O35" s="119"/>
    </row>
    <row r="36" spans="1:15" ht="13.5" thickBot="1">
      <c r="A36" s="806">
        <v>1999</v>
      </c>
      <c r="B36" s="383" t="s">
        <v>18</v>
      </c>
      <c r="C36" s="345">
        <v>10.36</v>
      </c>
      <c r="D36" s="14"/>
      <c r="O36" s="119"/>
    </row>
    <row r="37" spans="1:15">
      <c r="A37" s="806"/>
      <c r="B37" s="319" t="s">
        <v>342</v>
      </c>
      <c r="C37" s="154">
        <v>0.03</v>
      </c>
      <c r="D37" s="14"/>
      <c r="O37" s="119"/>
    </row>
    <row r="38" spans="1:15">
      <c r="A38" s="806"/>
      <c r="B38" s="319" t="s">
        <v>343</v>
      </c>
      <c r="C38" s="154">
        <v>2.2000000000000002</v>
      </c>
      <c r="D38" s="14"/>
      <c r="O38" s="119"/>
    </row>
    <row r="39" spans="1:15" ht="13.5" thickBot="1">
      <c r="A39" s="806"/>
      <c r="B39" s="330" t="s">
        <v>19</v>
      </c>
      <c r="C39" s="347">
        <v>10.92</v>
      </c>
      <c r="D39" s="326">
        <f>SUM(C37:C39)</f>
        <v>13.15</v>
      </c>
      <c r="E39" s="8" t="s">
        <v>346</v>
      </c>
      <c r="O39" s="119"/>
    </row>
    <row r="40" spans="1:15" ht="13.5" thickBot="1">
      <c r="A40" s="806"/>
      <c r="B40" s="346" t="s">
        <v>20</v>
      </c>
      <c r="C40" s="345">
        <v>17.36</v>
      </c>
      <c r="D40" s="343"/>
      <c r="O40" s="119"/>
    </row>
    <row r="41" spans="1:15">
      <c r="A41" s="806"/>
      <c r="B41" s="161" t="s">
        <v>347</v>
      </c>
      <c r="C41" s="154">
        <v>2.2000000000000002</v>
      </c>
      <c r="D41" s="14"/>
      <c r="O41" s="119"/>
    </row>
    <row r="42" spans="1:15">
      <c r="A42" s="806"/>
      <c r="B42" s="161" t="s">
        <v>348</v>
      </c>
      <c r="C42" s="154">
        <v>2.2000000000000002</v>
      </c>
      <c r="D42" s="14"/>
      <c r="O42" s="119"/>
    </row>
    <row r="43" spans="1:15">
      <c r="A43" s="806"/>
      <c r="B43" s="161" t="s">
        <v>351</v>
      </c>
      <c r="C43" s="154">
        <v>2.2000000000000002</v>
      </c>
      <c r="D43" s="14"/>
      <c r="O43" s="119"/>
    </row>
    <row r="44" spans="1:15">
      <c r="A44" s="806"/>
      <c r="B44" s="161" t="s">
        <v>349</v>
      </c>
      <c r="C44" s="154">
        <v>2.2000000000000002</v>
      </c>
      <c r="D44" s="14"/>
      <c r="O44" s="119"/>
    </row>
    <row r="45" spans="1:15">
      <c r="A45" s="806"/>
      <c r="B45" s="161" t="s">
        <v>350</v>
      </c>
      <c r="C45" s="154">
        <v>2.2000000000000002</v>
      </c>
      <c r="D45" s="14"/>
      <c r="O45" s="119"/>
    </row>
    <row r="46" spans="1:15" ht="13.5" thickBot="1">
      <c r="A46" s="806"/>
      <c r="B46" s="330" t="s">
        <v>75</v>
      </c>
      <c r="C46" s="347">
        <v>24.36</v>
      </c>
      <c r="D46" s="326">
        <f>SUM(C41:C46)</f>
        <v>35.36</v>
      </c>
      <c r="O46" s="119"/>
    </row>
    <row r="47" spans="1:15">
      <c r="A47" s="806"/>
      <c r="B47" s="161" t="s">
        <v>76</v>
      </c>
      <c r="C47" s="14">
        <v>4.76</v>
      </c>
      <c r="D47" s="14"/>
      <c r="O47" s="119"/>
    </row>
    <row r="48" spans="1:15">
      <c r="A48" s="806"/>
      <c r="B48" s="161" t="s">
        <v>363</v>
      </c>
      <c r="C48" s="14">
        <v>2.93</v>
      </c>
      <c r="D48" s="14"/>
      <c r="O48" s="119"/>
    </row>
    <row r="49" spans="1:15" ht="13.5" thickBot="1">
      <c r="A49" s="806"/>
      <c r="B49" s="330" t="s">
        <v>77</v>
      </c>
      <c r="C49" s="325">
        <v>4.76</v>
      </c>
      <c r="D49" s="326">
        <f>SUM(C47:C49)</f>
        <v>12.45</v>
      </c>
      <c r="O49" s="119"/>
    </row>
    <row r="50" spans="1:15">
      <c r="A50" s="806"/>
      <c r="B50" s="161" t="s">
        <v>380</v>
      </c>
      <c r="C50" s="14">
        <v>0.73</v>
      </c>
      <c r="D50" s="14"/>
      <c r="O50" s="119"/>
    </row>
    <row r="51" spans="1:15" ht="13.5" thickBot="1">
      <c r="A51" s="806"/>
      <c r="B51" s="330" t="s">
        <v>381</v>
      </c>
      <c r="C51" s="325">
        <v>2.87</v>
      </c>
      <c r="D51" s="326">
        <f>SUM(C50:C51)</f>
        <v>3.6</v>
      </c>
      <c r="O51" s="119"/>
    </row>
    <row r="52" spans="1:15">
      <c r="A52" s="809">
        <v>2000</v>
      </c>
      <c r="B52" s="406" t="s">
        <v>383</v>
      </c>
      <c r="C52" s="407">
        <v>1.47</v>
      </c>
      <c r="D52" s="350"/>
      <c r="E52" s="8" t="s">
        <v>384</v>
      </c>
    </row>
    <row r="53" spans="1:15">
      <c r="A53" s="809"/>
      <c r="B53" s="406" t="s">
        <v>78</v>
      </c>
      <c r="C53" s="408">
        <v>1.78</v>
      </c>
      <c r="D53" s="350"/>
    </row>
    <row r="54" spans="1:15" ht="13.5" thickBot="1">
      <c r="A54" s="810"/>
      <c r="B54" s="330" t="s">
        <v>127</v>
      </c>
      <c r="C54" s="326">
        <v>17.11</v>
      </c>
      <c r="D54" s="325"/>
    </row>
    <row r="55" spans="1:15" ht="13.5" thickBot="1">
      <c r="A55" s="445">
        <v>2001</v>
      </c>
      <c r="B55" s="346"/>
      <c r="C55" s="345"/>
      <c r="D55" s="343"/>
    </row>
    <row r="56" spans="1:15">
      <c r="A56" s="811">
        <v>2002</v>
      </c>
      <c r="B56" s="160" t="s">
        <v>401</v>
      </c>
      <c r="C56" s="153">
        <v>2.67</v>
      </c>
      <c r="D56" s="153"/>
      <c r="E56" s="8" t="s">
        <v>346</v>
      </c>
    </row>
    <row r="57" spans="1:15">
      <c r="A57" s="809"/>
      <c r="B57" s="161" t="s">
        <v>402</v>
      </c>
      <c r="C57" s="153">
        <v>2.17</v>
      </c>
      <c r="D57" s="153"/>
      <c r="E57" s="8" t="s">
        <v>346</v>
      </c>
    </row>
    <row r="58" spans="1:15">
      <c r="A58" s="809"/>
      <c r="B58" s="161" t="s">
        <v>403</v>
      </c>
      <c r="C58" s="153">
        <v>3.01</v>
      </c>
      <c r="D58" s="153"/>
      <c r="E58" s="8" t="s">
        <v>346</v>
      </c>
    </row>
    <row r="59" spans="1:15">
      <c r="A59" s="809"/>
      <c r="B59" s="161" t="s">
        <v>404</v>
      </c>
      <c r="C59" s="153">
        <v>2.16</v>
      </c>
      <c r="D59" s="153"/>
      <c r="E59" s="8" t="s">
        <v>346</v>
      </c>
    </row>
    <row r="60" spans="1:15" ht="13.5" thickBot="1">
      <c r="A60" s="810"/>
      <c r="B60" s="330" t="s">
        <v>405</v>
      </c>
      <c r="C60" s="454">
        <v>0.53</v>
      </c>
      <c r="D60" s="455">
        <f>SUM(C56:C60)</f>
        <v>10.54</v>
      </c>
      <c r="E60" s="8" t="s">
        <v>346</v>
      </c>
    </row>
    <row r="61" spans="1:15" ht="13.5" thickBot="1">
      <c r="A61" s="500">
        <v>2003</v>
      </c>
      <c r="B61" s="447"/>
      <c r="C61" s="343"/>
      <c r="D61" s="343"/>
    </row>
    <row r="62" spans="1:15" ht="13.5" thickBot="1">
      <c r="A62" s="501">
        <v>2004</v>
      </c>
      <c r="B62" s="447"/>
      <c r="C62" s="343"/>
      <c r="D62" s="343"/>
    </row>
    <row r="63" spans="1:15" ht="13.5" thickBot="1">
      <c r="A63" s="500">
        <v>2005</v>
      </c>
      <c r="B63" s="447"/>
      <c r="C63" s="343"/>
      <c r="D63" s="343"/>
    </row>
    <row r="64" spans="1:15">
      <c r="A64" s="120">
        <v>2006</v>
      </c>
      <c r="C64" s="14"/>
      <c r="D64" s="14"/>
    </row>
    <row r="65" spans="1:5">
      <c r="A65" s="806">
        <v>2007</v>
      </c>
      <c r="B65" s="157" t="s">
        <v>133</v>
      </c>
      <c r="C65" s="150">
        <v>22.3</v>
      </c>
      <c r="D65" s="14"/>
    </row>
    <row r="66" spans="1:5">
      <c r="A66" s="806"/>
      <c r="B66" s="160" t="s">
        <v>82</v>
      </c>
      <c r="C66" s="159">
        <v>78.69</v>
      </c>
      <c r="D66" s="14"/>
    </row>
    <row r="67" spans="1:5">
      <c r="A67" s="806"/>
      <c r="B67" s="8" t="s">
        <v>80</v>
      </c>
      <c r="C67" s="154">
        <v>0.02</v>
      </c>
      <c r="D67" s="150">
        <v>78.709999999999994</v>
      </c>
    </row>
    <row r="68" spans="1:5">
      <c r="A68" s="806"/>
      <c r="B68" s="131" t="s">
        <v>83</v>
      </c>
      <c r="C68" s="150">
        <v>13</v>
      </c>
      <c r="D68" s="150"/>
    </row>
    <row r="69" spans="1:5">
      <c r="A69" s="806"/>
      <c r="B69" s="160" t="s">
        <v>197</v>
      </c>
      <c r="C69" s="150">
        <v>7.32</v>
      </c>
      <c r="D69" s="150"/>
    </row>
    <row r="70" spans="1:5">
      <c r="A70" s="808">
        <v>2008</v>
      </c>
      <c r="B70" s="160" t="s">
        <v>195</v>
      </c>
      <c r="C70" s="150">
        <v>0.59</v>
      </c>
      <c r="D70" s="14"/>
    </row>
    <row r="71" spans="1:5">
      <c r="A71" s="808"/>
      <c r="B71" s="131" t="s">
        <v>84</v>
      </c>
      <c r="C71" s="150">
        <v>0.74</v>
      </c>
      <c r="D71" s="14"/>
    </row>
    <row r="72" spans="1:5">
      <c r="A72" s="808"/>
      <c r="B72" s="131" t="s">
        <v>164</v>
      </c>
      <c r="C72" s="154">
        <v>1.21</v>
      </c>
      <c r="D72" s="14"/>
    </row>
    <row r="73" spans="1:5">
      <c r="A73" s="808"/>
      <c r="B73" s="57" t="s">
        <v>98</v>
      </c>
      <c r="C73" s="154">
        <v>1.21</v>
      </c>
      <c r="D73" s="150">
        <f>C72+C73</f>
        <v>2.42</v>
      </c>
    </row>
    <row r="74" spans="1:5">
      <c r="A74" s="163">
        <v>2009</v>
      </c>
      <c r="B74" s="8" t="s">
        <v>23</v>
      </c>
      <c r="C74" s="150">
        <v>48</v>
      </c>
      <c r="D74" s="14"/>
      <c r="E74" s="8" t="s">
        <v>101</v>
      </c>
    </row>
    <row r="75" spans="1:5">
      <c r="A75" s="808">
        <v>2010</v>
      </c>
      <c r="B75" s="161" t="s">
        <v>20</v>
      </c>
      <c r="C75" s="150">
        <v>35.43</v>
      </c>
      <c r="D75" s="14"/>
    </row>
    <row r="76" spans="1:5">
      <c r="A76" s="808"/>
      <c r="B76" s="161" t="s">
        <v>187</v>
      </c>
      <c r="C76" s="150">
        <v>4.47</v>
      </c>
      <c r="D76" s="14"/>
    </row>
    <row r="77" spans="1:5">
      <c r="A77" s="808"/>
      <c r="B77" s="161" t="s">
        <v>23</v>
      </c>
      <c r="C77" s="150">
        <v>41.2</v>
      </c>
      <c r="D77" s="14"/>
      <c r="E77" s="8" t="s">
        <v>79</v>
      </c>
    </row>
    <row r="78" spans="1:5">
      <c r="A78" s="808"/>
      <c r="B78" s="161" t="s">
        <v>183</v>
      </c>
      <c r="C78" s="154">
        <v>0.87</v>
      </c>
      <c r="D78" s="14"/>
      <c r="E78" s="1"/>
    </row>
    <row r="79" spans="1:5">
      <c r="A79" s="808"/>
      <c r="B79" s="161" t="s">
        <v>26</v>
      </c>
      <c r="C79" s="154">
        <v>34.380000000000003</v>
      </c>
      <c r="D79" s="150">
        <f>C78+C79</f>
        <v>35.25</v>
      </c>
    </row>
    <row r="80" spans="1:5">
      <c r="A80" s="808"/>
      <c r="B80" s="161" t="s">
        <v>109</v>
      </c>
      <c r="C80" s="154">
        <v>5.49</v>
      </c>
      <c r="D80" s="14"/>
    </row>
    <row r="81" spans="1:13">
      <c r="A81" s="808"/>
      <c r="B81" s="161" t="s">
        <v>27</v>
      </c>
      <c r="C81" s="154">
        <v>113.75</v>
      </c>
      <c r="D81" s="150">
        <f>C80+C81</f>
        <v>119.24</v>
      </c>
      <c r="E81" s="1" t="s">
        <v>146</v>
      </c>
    </row>
    <row r="82" spans="1:13">
      <c r="A82" s="808"/>
      <c r="B82" s="161" t="s">
        <v>181</v>
      </c>
      <c r="C82" s="154">
        <v>17.66</v>
      </c>
      <c r="D82" s="150"/>
    </row>
    <row r="83" spans="1:13">
      <c r="A83" s="808"/>
      <c r="B83" s="161" t="s">
        <v>179</v>
      </c>
      <c r="C83" s="154">
        <v>11.4</v>
      </c>
      <c r="D83" s="150"/>
    </row>
    <row r="84" spans="1:13">
      <c r="A84" s="808"/>
      <c r="B84" s="161" t="s">
        <v>182</v>
      </c>
      <c r="C84" s="154">
        <v>11.4</v>
      </c>
      <c r="D84" s="150"/>
    </row>
    <row r="85" spans="1:13">
      <c r="A85" s="808"/>
      <c r="B85" s="161" t="s">
        <v>181</v>
      </c>
      <c r="C85" s="154">
        <v>17.66</v>
      </c>
      <c r="D85" s="150"/>
    </row>
    <row r="86" spans="1:13">
      <c r="A86" s="808"/>
      <c r="B86" s="161" t="s">
        <v>180</v>
      </c>
      <c r="C86" s="154">
        <v>1.89</v>
      </c>
      <c r="D86" s="150"/>
    </row>
    <row r="87" spans="1:13">
      <c r="A87" s="808"/>
      <c r="B87" s="161" t="s">
        <v>28</v>
      </c>
      <c r="C87" s="154">
        <v>397.21</v>
      </c>
      <c r="D87" s="150">
        <f>SUM(C82:C87)</f>
        <v>457.21999999999997</v>
      </c>
      <c r="E87" s="1" t="s">
        <v>143</v>
      </c>
      <c r="M87" s="1"/>
    </row>
    <row r="88" spans="1:13">
      <c r="A88" s="806">
        <v>2011</v>
      </c>
      <c r="B88" s="161" t="s">
        <v>18</v>
      </c>
      <c r="C88" s="150">
        <v>32.25</v>
      </c>
      <c r="D88" s="14"/>
      <c r="E88" s="1" t="s">
        <v>146</v>
      </c>
    </row>
    <row r="89" spans="1:13">
      <c r="A89" s="806"/>
      <c r="B89" s="161" t="s">
        <v>110</v>
      </c>
      <c r="C89" s="154">
        <v>2.68</v>
      </c>
      <c r="D89" s="14"/>
    </row>
    <row r="90" spans="1:13">
      <c r="A90" s="806"/>
      <c r="B90" s="161" t="s">
        <v>19</v>
      </c>
      <c r="C90" s="154">
        <v>11.93</v>
      </c>
      <c r="D90" s="150">
        <f>C89+C90</f>
        <v>14.61</v>
      </c>
      <c r="E90" s="1" t="s">
        <v>146</v>
      </c>
    </row>
    <row r="91" spans="1:13">
      <c r="A91" s="806"/>
      <c r="B91" s="161" t="s">
        <v>20</v>
      </c>
      <c r="C91" s="150">
        <v>14.56</v>
      </c>
      <c r="D91" s="14"/>
      <c r="E91" s="1" t="s">
        <v>146</v>
      </c>
    </row>
    <row r="92" spans="1:13">
      <c r="A92" s="806"/>
      <c r="B92" s="161" t="s">
        <v>165</v>
      </c>
      <c r="C92" s="154">
        <v>3.18</v>
      </c>
      <c r="D92" s="14"/>
      <c r="E92" s="1" t="s">
        <v>166</v>
      </c>
    </row>
    <row r="93" spans="1:13">
      <c r="A93" s="806"/>
      <c r="B93" s="161" t="s">
        <v>21</v>
      </c>
      <c r="C93" s="154">
        <v>23.25</v>
      </c>
      <c r="D93" s="150">
        <f>SUM(C92:C93)</f>
        <v>26.43</v>
      </c>
      <c r="E93" s="1" t="s">
        <v>146</v>
      </c>
    </row>
    <row r="94" spans="1:13">
      <c r="A94" s="806"/>
      <c r="B94" s="161" t="s">
        <v>112</v>
      </c>
      <c r="C94" s="14">
        <v>41.5</v>
      </c>
      <c r="D94" s="14"/>
      <c r="E94" s="1" t="s">
        <v>146</v>
      </c>
    </row>
    <row r="95" spans="1:13">
      <c r="A95" s="806"/>
      <c r="B95" s="161" t="s">
        <v>113</v>
      </c>
      <c r="C95" s="14">
        <v>3</v>
      </c>
      <c r="D95" s="14"/>
    </row>
    <row r="96" spans="1:13">
      <c r="A96" s="806"/>
      <c r="B96" s="161" t="s">
        <v>111</v>
      </c>
      <c r="C96" s="14">
        <v>49.18</v>
      </c>
      <c r="D96" s="150">
        <f>C94+C95+C96</f>
        <v>93.68</v>
      </c>
    </row>
    <row r="97" spans="1:5">
      <c r="A97" s="806"/>
      <c r="B97" s="161" t="s">
        <v>22</v>
      </c>
      <c r="C97" s="162">
        <v>55.47</v>
      </c>
      <c r="D97" s="150"/>
      <c r="E97" s="1" t="s">
        <v>146</v>
      </c>
    </row>
    <row r="98" spans="1:5">
      <c r="A98" s="806"/>
      <c r="B98" s="8" t="s">
        <v>114</v>
      </c>
      <c r="C98" s="150">
        <v>15.78</v>
      </c>
      <c r="D98" s="14"/>
    </row>
    <row r="99" spans="1:5">
      <c r="A99" s="806"/>
      <c r="B99" s="8" t="s">
        <v>115</v>
      </c>
      <c r="C99" s="150">
        <v>10.63</v>
      </c>
      <c r="D99" s="14"/>
    </row>
    <row r="100" spans="1:5">
      <c r="A100" s="808">
        <v>2012</v>
      </c>
      <c r="B100" s="8" t="s">
        <v>20</v>
      </c>
      <c r="C100" s="150">
        <v>126.73</v>
      </c>
      <c r="D100" s="14"/>
      <c r="E100" s="1" t="s">
        <v>146</v>
      </c>
    </row>
    <row r="101" spans="1:5">
      <c r="A101" s="808"/>
      <c r="B101" s="8" t="s">
        <v>117</v>
      </c>
      <c r="C101" s="154">
        <v>4.2699999999999996</v>
      </c>
    </row>
    <row r="102" spans="1:5">
      <c r="A102" s="808"/>
      <c r="B102" s="8" t="s">
        <v>24</v>
      </c>
      <c r="C102" s="159">
        <v>49.25</v>
      </c>
      <c r="D102" s="149">
        <f>C101+C102</f>
        <v>53.519999999999996</v>
      </c>
      <c r="E102" s="1" t="s">
        <v>146</v>
      </c>
    </row>
    <row r="103" spans="1:5">
      <c r="A103" s="808"/>
      <c r="B103" s="8" t="s">
        <v>118</v>
      </c>
      <c r="C103" s="14">
        <v>24.06</v>
      </c>
    </row>
    <row r="104" spans="1:5">
      <c r="A104" s="808"/>
      <c r="B104" s="8" t="s">
        <v>119</v>
      </c>
      <c r="C104" s="14">
        <v>3.44</v>
      </c>
    </row>
    <row r="105" spans="1:5">
      <c r="A105" s="808"/>
      <c r="B105" s="8" t="s">
        <v>120</v>
      </c>
      <c r="C105" s="14">
        <v>8.1</v>
      </c>
      <c r="D105" s="149">
        <f>C103+C104+C105</f>
        <v>35.6</v>
      </c>
    </row>
    <row r="106" spans="1:5">
      <c r="A106" s="806">
        <v>2013</v>
      </c>
      <c r="B106" s="8" t="s">
        <v>19</v>
      </c>
      <c r="C106" s="150">
        <v>16.07</v>
      </c>
      <c r="E106" s="1" t="s">
        <v>146</v>
      </c>
    </row>
    <row r="107" spans="1:5">
      <c r="A107" s="806"/>
      <c r="B107" s="8" t="s">
        <v>20</v>
      </c>
      <c r="C107" s="150">
        <v>17.27</v>
      </c>
      <c r="E107" s="1" t="s">
        <v>146</v>
      </c>
    </row>
    <row r="108" spans="1:5">
      <c r="A108" s="806"/>
      <c r="B108" s="8" t="s">
        <v>121</v>
      </c>
      <c r="C108" s="150">
        <v>26.42</v>
      </c>
      <c r="E108" s="1"/>
    </row>
    <row r="109" spans="1:5">
      <c r="A109" s="806"/>
      <c r="B109" s="161" t="s">
        <v>2</v>
      </c>
      <c r="C109" s="154">
        <v>19.309999999999999</v>
      </c>
      <c r="E109" s="1"/>
    </row>
    <row r="110" spans="1:5">
      <c r="A110" s="806"/>
      <c r="B110" s="161" t="s">
        <v>177</v>
      </c>
      <c r="C110" s="154">
        <v>21.15</v>
      </c>
      <c r="D110" s="149">
        <f>C109+C110</f>
        <v>40.459999999999994</v>
      </c>
      <c r="E110" s="8" t="s">
        <v>178</v>
      </c>
    </row>
    <row r="111" spans="1:5">
      <c r="C111" s="14"/>
    </row>
  </sheetData>
  <mergeCells count="11">
    <mergeCell ref="A100:A105"/>
    <mergeCell ref="A106:A110"/>
    <mergeCell ref="A75:A87"/>
    <mergeCell ref="A70:A73"/>
    <mergeCell ref="A22:O22"/>
    <mergeCell ref="A25:A35"/>
    <mergeCell ref="A65:A69"/>
    <mergeCell ref="A36:A51"/>
    <mergeCell ref="A88:A99"/>
    <mergeCell ref="A52:A54"/>
    <mergeCell ref="A56:A6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selection activeCell="O23" sqref="O23"/>
    </sheetView>
  </sheetViews>
  <sheetFormatPr defaultRowHeight="15"/>
  <cols>
    <col min="1" max="1" width="5" style="21" bestFit="1" customWidth="1"/>
    <col min="2" max="12" width="8" style="21" bestFit="1" customWidth="1"/>
    <col min="13" max="13" width="9" style="21" bestFit="1" customWidth="1"/>
    <col min="14" max="14" width="10.44140625" style="21" bestFit="1" customWidth="1"/>
    <col min="15" max="15" width="9" style="21" bestFit="1" customWidth="1"/>
    <col min="16" max="16" width="10.44140625" style="29" bestFit="1" customWidth="1"/>
    <col min="17" max="17" width="9" style="29" customWidth="1"/>
    <col min="18" max="18" width="5.6640625" style="29" customWidth="1"/>
    <col min="19" max="19" width="10.44140625" style="21" bestFit="1" customWidth="1"/>
    <col min="20" max="20" width="9" style="21" bestFit="1" customWidth="1"/>
    <col min="21" max="22" width="5.6640625" style="21" bestFit="1" customWidth="1"/>
    <col min="23" max="23" width="2.33203125" style="21" customWidth="1"/>
    <col min="24" max="24" width="8" style="21" bestFit="1" customWidth="1"/>
    <col min="25" max="25" width="3" style="21" customWidth="1"/>
    <col min="26" max="26" width="9.33203125" style="21" bestFit="1" customWidth="1"/>
    <col min="27" max="16384" width="8.88671875" style="21"/>
  </cols>
  <sheetData>
    <row r="1" spans="1:26" ht="15.75">
      <c r="A1" s="818"/>
      <c r="B1" s="816" t="s">
        <v>18</v>
      </c>
      <c r="C1" s="814" t="s">
        <v>19</v>
      </c>
      <c r="D1" s="816" t="s">
        <v>20</v>
      </c>
      <c r="E1" s="812" t="s">
        <v>21</v>
      </c>
      <c r="F1" s="816" t="s">
        <v>2</v>
      </c>
      <c r="G1" s="814" t="s">
        <v>22</v>
      </c>
      <c r="H1" s="816" t="s">
        <v>23</v>
      </c>
      <c r="I1" s="812" t="s">
        <v>24</v>
      </c>
      <c r="J1" s="816" t="s">
        <v>25</v>
      </c>
      <c r="K1" s="814" t="s">
        <v>26</v>
      </c>
      <c r="L1" s="816" t="s">
        <v>27</v>
      </c>
      <c r="M1" s="812" t="s">
        <v>28</v>
      </c>
      <c r="N1" s="64"/>
      <c r="O1" s="636"/>
      <c r="P1" s="637">
        <v>299</v>
      </c>
      <c r="Q1" s="636"/>
    </row>
    <row r="2" spans="1:26" ht="15.75" thickBot="1">
      <c r="A2" s="819"/>
      <c r="B2" s="817"/>
      <c r="C2" s="815"/>
      <c r="D2" s="817"/>
      <c r="E2" s="813"/>
      <c r="F2" s="817"/>
      <c r="G2" s="815"/>
      <c r="H2" s="817"/>
      <c r="I2" s="813"/>
      <c r="J2" s="817"/>
      <c r="K2" s="815"/>
      <c r="L2" s="817"/>
      <c r="M2" s="813"/>
      <c r="N2" s="34"/>
      <c r="O2" s="110" t="s">
        <v>54</v>
      </c>
      <c r="P2" s="34"/>
      <c r="Q2" s="110" t="s">
        <v>54</v>
      </c>
    </row>
    <row r="3" spans="1:26">
      <c r="A3" s="23">
        <v>1998</v>
      </c>
      <c r="B3" s="24"/>
      <c r="C3" s="24"/>
      <c r="D3" s="24"/>
      <c r="E3" s="24"/>
      <c r="F3" s="24"/>
      <c r="G3" s="24"/>
      <c r="H3" s="24"/>
      <c r="I3" s="25"/>
      <c r="J3" s="25">
        <f>'281ι1α'!J2*6/9</f>
        <v>72.346666666666664</v>
      </c>
      <c r="K3" s="25">
        <f>'281ι1α'!K2*6/9</f>
        <v>97.046666666666667</v>
      </c>
      <c r="L3" s="25">
        <f>'281ι1α'!L2*6/9</f>
        <v>10.546666666666667</v>
      </c>
      <c r="M3" s="25">
        <f>'281ι1α'!M2*6/9</f>
        <v>19.52</v>
      </c>
      <c r="N3" s="25">
        <f>'281ι1α'!N2*6/9</f>
        <v>199.45999999999995</v>
      </c>
      <c r="O3" s="33">
        <f>'281ι1α'!O2*6/9</f>
        <v>2320.6666666666665</v>
      </c>
      <c r="P3" s="25">
        <f>'281ι1α'!P2*6/9</f>
        <v>59.837999999999994</v>
      </c>
      <c r="Q3" s="33">
        <f>'281ι1α'!Q2*6/9</f>
        <v>696.19999999999993</v>
      </c>
      <c r="S3" s="29"/>
      <c r="V3" s="29"/>
      <c r="X3" s="58"/>
    </row>
    <row r="4" spans="1:26">
      <c r="A4" s="26">
        <v>1999</v>
      </c>
      <c r="B4" s="25">
        <f>'281ι1α'!B3*6/9</f>
        <v>6.9066666666666663</v>
      </c>
      <c r="C4" s="25">
        <f>'281ι1α'!C3*6/9</f>
        <v>8.7666666666666675</v>
      </c>
      <c r="D4" s="25">
        <f>'281ι1α'!D3*6/9</f>
        <v>11.573333333333332</v>
      </c>
      <c r="E4" s="25">
        <f>'281ι1α'!E3*6/9</f>
        <v>23.573333333333334</v>
      </c>
      <c r="F4" s="25">
        <f>'281ι1α'!F3*6/9</f>
        <v>8.2999999999999989</v>
      </c>
      <c r="G4" s="25">
        <f>'281ι1α'!G3*6/9</f>
        <v>0</v>
      </c>
      <c r="H4" s="25">
        <f>'281ι1α'!H3*6/9</f>
        <v>0</v>
      </c>
      <c r="I4" s="25">
        <f>'281ι1α'!I3*6/9</f>
        <v>0</v>
      </c>
      <c r="J4" s="25">
        <f>'281ι1α'!J3*6/9</f>
        <v>0</v>
      </c>
      <c r="K4" s="25">
        <f>'281ι1α'!K3*6/9</f>
        <v>2.4000000000000004</v>
      </c>
      <c r="L4" s="25">
        <f>'281ι1α'!L3*6/9</f>
        <v>0</v>
      </c>
      <c r="M4" s="25">
        <f>'281ι1α'!M3*6/9</f>
        <v>0</v>
      </c>
      <c r="N4" s="54">
        <f>SUM(B4:M4)</f>
        <v>61.519999999999996</v>
      </c>
      <c r="O4" s="33">
        <f>'281ι1α'!O3*6/9</f>
        <v>644.66666666666663</v>
      </c>
      <c r="P4" s="25">
        <f>'281ι1α'!P3*6/9</f>
        <v>24.607999999999997</v>
      </c>
      <c r="Q4" s="33">
        <f>'281ι1α'!Q3*6/9</f>
        <v>257.86666666666667</v>
      </c>
      <c r="S4" s="29"/>
      <c r="T4" s="29"/>
      <c r="V4" s="29"/>
      <c r="X4" s="29"/>
    </row>
    <row r="5" spans="1:26">
      <c r="A5" s="26">
        <v>2000</v>
      </c>
      <c r="B5" s="25">
        <f>'281ι1α'!B4*6/9</f>
        <v>0</v>
      </c>
      <c r="C5" s="25">
        <f>'281ι1α'!C4*6/9</f>
        <v>0</v>
      </c>
      <c r="D5" s="25">
        <f>'281ι1α'!D4*6/9</f>
        <v>0.98</v>
      </c>
      <c r="E5" s="25">
        <f>'281ι1α'!E4*6/9</f>
        <v>0</v>
      </c>
      <c r="F5" s="25">
        <f>'281ι1α'!F4*6/9</f>
        <v>1.1866666666666665</v>
      </c>
      <c r="G5" s="25">
        <f>'281ι1α'!G4*6/9</f>
        <v>0</v>
      </c>
      <c r="H5" s="25">
        <f>'281ι1α'!H4*6/9</f>
        <v>0</v>
      </c>
      <c r="I5" s="25">
        <f>'281ι1α'!I4*6/9</f>
        <v>0</v>
      </c>
      <c r="J5" s="25">
        <f>'281ι1α'!J4*6/9</f>
        <v>0</v>
      </c>
      <c r="K5" s="25">
        <f>'281ι1α'!K4*6/9</f>
        <v>11.406666666666666</v>
      </c>
      <c r="L5" s="25">
        <f>'281ι1α'!L4*6/9</f>
        <v>0</v>
      </c>
      <c r="M5" s="25">
        <f>'281ι1α'!M4*6/9</f>
        <v>0</v>
      </c>
      <c r="N5" s="54">
        <f t="shared" ref="N5:N18" si="0">SUM(B5:M5)</f>
        <v>13.573333333333332</v>
      </c>
      <c r="O5" s="33">
        <f>'281ι1α'!O4*6/9</f>
        <v>108.66666666666667</v>
      </c>
      <c r="P5" s="25">
        <f>'281ι1α'!P4*6/9</f>
        <v>6.1080000000000005</v>
      </c>
      <c r="Q5" s="33">
        <f>'281ι1α'!Q4*6/9</f>
        <v>48.900000000000006</v>
      </c>
      <c r="S5" s="29"/>
      <c r="T5" s="29"/>
      <c r="U5" s="29"/>
      <c r="V5" s="29"/>
    </row>
    <row r="6" spans="1:26">
      <c r="A6" s="26">
        <v>2001</v>
      </c>
      <c r="B6" s="25">
        <f>'281ι1α'!B5*6/9</f>
        <v>0</v>
      </c>
      <c r="C6" s="25">
        <f>'281ι1α'!C5*6/9</f>
        <v>0</v>
      </c>
      <c r="D6" s="25">
        <f>'281ι1α'!D5*6/9</f>
        <v>0</v>
      </c>
      <c r="E6" s="25">
        <f>'281ι1α'!E5*6/9</f>
        <v>0</v>
      </c>
      <c r="F6" s="25">
        <f>'281ι1α'!F5*6/9</f>
        <v>0</v>
      </c>
      <c r="G6" s="25">
        <f>'281ι1α'!G5*6/9</f>
        <v>0</v>
      </c>
      <c r="H6" s="25">
        <f>'281ι1α'!H5*6/9</f>
        <v>0</v>
      </c>
      <c r="I6" s="25">
        <f>'281ι1α'!I5*6/9</f>
        <v>0</v>
      </c>
      <c r="J6" s="25">
        <f>'281ι1α'!J5*6/9</f>
        <v>0</v>
      </c>
      <c r="K6" s="25">
        <f>'281ι1α'!K5*6/9</f>
        <v>0</v>
      </c>
      <c r="L6" s="25">
        <f>'281ι1α'!L5*6/9</f>
        <v>0</v>
      </c>
      <c r="M6" s="25">
        <f>'281ι1α'!M5*6/9</f>
        <v>0</v>
      </c>
      <c r="N6" s="54">
        <f t="shared" si="0"/>
        <v>0</v>
      </c>
      <c r="O6" s="33">
        <f>'281ι1α'!O5*6/9</f>
        <v>0</v>
      </c>
      <c r="P6" s="25">
        <f>'281ι1α'!P5*6/9</f>
        <v>0</v>
      </c>
      <c r="Q6" s="33">
        <f>'281ι1α'!Q5*6/9</f>
        <v>0</v>
      </c>
      <c r="T6" s="29"/>
      <c r="U6" s="29"/>
    </row>
    <row r="7" spans="1:26">
      <c r="A7" s="26">
        <v>2002</v>
      </c>
      <c r="B7" s="25">
        <f>'281ι1α'!B6*6/9</f>
        <v>0</v>
      </c>
      <c r="C7" s="25">
        <f>'281ι1α'!C6*6/9</f>
        <v>0</v>
      </c>
      <c r="D7" s="25">
        <f>'281ι1α'!D6*6/9</f>
        <v>0</v>
      </c>
      <c r="E7" s="25">
        <f>'281ι1α'!E6*6/9</f>
        <v>7.0266666666666664</v>
      </c>
      <c r="F7" s="25">
        <f>'281ι1α'!F6*6/9</f>
        <v>0</v>
      </c>
      <c r="G7" s="25">
        <f>'281ι1α'!G6*6/9</f>
        <v>0</v>
      </c>
      <c r="H7" s="25">
        <f>'281ι1α'!H6*6/9</f>
        <v>0</v>
      </c>
      <c r="I7" s="25">
        <f>'281ι1α'!I6*6/9</f>
        <v>0</v>
      </c>
      <c r="J7" s="25">
        <f>'281ι1α'!J6*6/9</f>
        <v>0</v>
      </c>
      <c r="K7" s="25">
        <f>'281ι1α'!K6*6/9</f>
        <v>0</v>
      </c>
      <c r="L7" s="25">
        <f>'281ι1α'!L6*6/9</f>
        <v>0</v>
      </c>
      <c r="M7" s="25">
        <f>'281ι1α'!M6*6/9</f>
        <v>0</v>
      </c>
      <c r="N7" s="54">
        <f t="shared" si="0"/>
        <v>7.0266666666666664</v>
      </c>
      <c r="O7" s="33">
        <f>'281ι1α'!O6*6/9</f>
        <v>46</v>
      </c>
      <c r="P7" s="25">
        <f>'281ι1α'!P6*6/9</f>
        <v>2.8106666666666666</v>
      </c>
      <c r="Q7" s="33">
        <f>'281ι1α'!Q6*6/9</f>
        <v>18.400000000000002</v>
      </c>
      <c r="U7" s="29"/>
      <c r="V7" s="50"/>
    </row>
    <row r="8" spans="1:26">
      <c r="A8" s="26">
        <v>2003</v>
      </c>
      <c r="B8" s="25">
        <f>'281ι1α'!B7*6/9</f>
        <v>0</v>
      </c>
      <c r="C8" s="25">
        <f>'281ι1α'!C7*6/9</f>
        <v>0</v>
      </c>
      <c r="D8" s="25">
        <f>'281ι1α'!D7*6/9</f>
        <v>0</v>
      </c>
      <c r="E8" s="25">
        <f>'281ι1α'!E7*6/9</f>
        <v>0</v>
      </c>
      <c r="F8" s="25">
        <f>'281ι1α'!F7*6/9</f>
        <v>0</v>
      </c>
      <c r="G8" s="25">
        <f>'281ι1α'!G7*6/9</f>
        <v>0</v>
      </c>
      <c r="H8" s="25">
        <f>'281ι1α'!H7*6/9</f>
        <v>0</v>
      </c>
      <c r="I8" s="25">
        <f>'281ι1α'!I7*6/9</f>
        <v>0</v>
      </c>
      <c r="J8" s="25">
        <f>'281ι1α'!J7*6/9</f>
        <v>0</v>
      </c>
      <c r="K8" s="25">
        <f>'281ι1α'!K7*6/9</f>
        <v>0</v>
      </c>
      <c r="L8" s="25">
        <f>'281ι1α'!L7*6/9</f>
        <v>0</v>
      </c>
      <c r="M8" s="25">
        <f>'281ι1α'!M7*6/9</f>
        <v>0</v>
      </c>
      <c r="N8" s="54">
        <f t="shared" si="0"/>
        <v>0</v>
      </c>
      <c r="O8" s="33">
        <f>'281ι1α'!O7*6/9</f>
        <v>0</v>
      </c>
      <c r="P8" s="25">
        <f>'281ι1α'!P7*6/9</f>
        <v>0</v>
      </c>
      <c r="Q8" s="33">
        <f>'281ι1α'!Q7*6/9</f>
        <v>0</v>
      </c>
      <c r="U8" s="29"/>
    </row>
    <row r="9" spans="1:26">
      <c r="A9" s="26">
        <v>2004</v>
      </c>
      <c r="B9" s="25">
        <f>'281ι1α'!B8*6/9</f>
        <v>0</v>
      </c>
      <c r="C9" s="25">
        <f>'281ι1α'!C8*6/9</f>
        <v>0</v>
      </c>
      <c r="D9" s="25">
        <f>'281ι1α'!D8*6/9</f>
        <v>0</v>
      </c>
      <c r="E9" s="25">
        <f>'281ι1α'!E8*6/9</f>
        <v>0</v>
      </c>
      <c r="F9" s="25">
        <f>'281ι1α'!F8*6/9</f>
        <v>0</v>
      </c>
      <c r="G9" s="25">
        <f>'281ι1α'!G8*6/9</f>
        <v>0</v>
      </c>
      <c r="H9" s="25">
        <f>'281ι1α'!H8*6/9</f>
        <v>0</v>
      </c>
      <c r="I9" s="25">
        <f>'281ι1α'!I8*6/9</f>
        <v>0</v>
      </c>
      <c r="J9" s="25">
        <f>'281ι1α'!J8*6/9</f>
        <v>0</v>
      </c>
      <c r="K9" s="25">
        <f>'281ι1α'!K8*6/9</f>
        <v>0</v>
      </c>
      <c r="L9" s="25">
        <f>'281ι1α'!L8*6/9</f>
        <v>0</v>
      </c>
      <c r="M9" s="25">
        <f>'281ι1α'!M8*6/9</f>
        <v>0</v>
      </c>
      <c r="N9" s="54">
        <f t="shared" si="0"/>
        <v>0</v>
      </c>
      <c r="O9" s="33">
        <f>'281ι1α'!O8*6/9</f>
        <v>0</v>
      </c>
      <c r="P9" s="25">
        <f>'281ι1α'!P8*6/9</f>
        <v>0</v>
      </c>
      <c r="Q9" s="33">
        <f>'281ι1α'!Q8*6/9</f>
        <v>0</v>
      </c>
      <c r="S9" s="8"/>
      <c r="T9" s="8"/>
      <c r="U9" s="8"/>
      <c r="V9" s="8"/>
      <c r="W9" s="8"/>
      <c r="X9" s="8"/>
      <c r="Y9" s="8"/>
      <c r="Z9" s="8"/>
    </row>
    <row r="10" spans="1:26">
      <c r="A10" s="26">
        <v>2005</v>
      </c>
      <c r="B10" s="25">
        <f>'281ι1α'!B9*6/9</f>
        <v>0</v>
      </c>
      <c r="C10" s="25">
        <f>'281ι1α'!C9*6/9</f>
        <v>0</v>
      </c>
      <c r="D10" s="25">
        <f>'281ι1α'!D9*6/9</f>
        <v>0</v>
      </c>
      <c r="E10" s="25">
        <f>'281ι1α'!E9*6/9</f>
        <v>0</v>
      </c>
      <c r="F10" s="25">
        <f>'281ι1α'!F9*6/9</f>
        <v>0</v>
      </c>
      <c r="G10" s="25">
        <f>'281ι1α'!G9*6/9</f>
        <v>0</v>
      </c>
      <c r="H10" s="25">
        <f>'281ι1α'!H9*6/9</f>
        <v>0</v>
      </c>
      <c r="I10" s="25">
        <f>'281ι1α'!I9*6/9</f>
        <v>0</v>
      </c>
      <c r="J10" s="25">
        <f>'281ι1α'!J9*6/9</f>
        <v>0</v>
      </c>
      <c r="K10" s="25">
        <f>'281ι1α'!K9*6/9</f>
        <v>0</v>
      </c>
      <c r="L10" s="25">
        <f>'281ι1α'!L9*6/9</f>
        <v>0</v>
      </c>
      <c r="M10" s="25">
        <f>'281ι1α'!M9*6/9</f>
        <v>0</v>
      </c>
      <c r="N10" s="54">
        <f t="shared" si="0"/>
        <v>0</v>
      </c>
      <c r="O10" s="33">
        <f>'281ι1α'!O9*6/9</f>
        <v>0</v>
      </c>
      <c r="P10" s="25">
        <f>'281ι1α'!P9*6/9</f>
        <v>0</v>
      </c>
      <c r="Q10" s="33">
        <f>'281ι1α'!Q9*6/9</f>
        <v>0</v>
      </c>
      <c r="S10" s="237"/>
      <c r="T10" s="481"/>
      <c r="U10" s="488"/>
      <c r="V10" s="482" t="s">
        <v>542</v>
      </c>
      <c r="W10" s="488"/>
      <c r="X10" s="488" t="s">
        <v>16</v>
      </c>
      <c r="Y10" s="488"/>
      <c r="Z10" s="488" t="s">
        <v>546</v>
      </c>
    </row>
    <row r="11" spans="1:26">
      <c r="A11" s="26">
        <v>2006</v>
      </c>
      <c r="B11" s="25">
        <f>'281ι1α'!B10*6/9</f>
        <v>0</v>
      </c>
      <c r="C11" s="25">
        <f>'281ι1α'!C10*6/9</f>
        <v>0</v>
      </c>
      <c r="D11" s="25">
        <f>'281ι1α'!D10*6/9</f>
        <v>0</v>
      </c>
      <c r="E11" s="25">
        <f>'281ι1α'!E10*6/9</f>
        <v>0</v>
      </c>
      <c r="F11" s="25">
        <f>'281ι1α'!F10*6/9</f>
        <v>0</v>
      </c>
      <c r="G11" s="25">
        <f>'281ι1α'!G10*6/9</f>
        <v>0</v>
      </c>
      <c r="H11" s="25">
        <f>'281ι1α'!H10*6/9</f>
        <v>0</v>
      </c>
      <c r="I11" s="25">
        <f>'281ι1α'!I10*6/9</f>
        <v>0</v>
      </c>
      <c r="J11" s="25">
        <f>'281ι1α'!J10*6/9</f>
        <v>0</v>
      </c>
      <c r="K11" s="25">
        <f>'281ι1α'!K10*6/9</f>
        <v>0</v>
      </c>
      <c r="L11" s="25">
        <f>'281ι1α'!L10*6/9</f>
        <v>0</v>
      </c>
      <c r="M11" s="25">
        <f>'281ι1α'!M10*6/9</f>
        <v>0</v>
      </c>
      <c r="N11" s="54">
        <f t="shared" si="0"/>
        <v>0</v>
      </c>
      <c r="O11" s="33">
        <f>'281ι1α'!O10*6/9</f>
        <v>0</v>
      </c>
      <c r="P11" s="25">
        <f>'281ι1α'!P10*6/9</f>
        <v>0</v>
      </c>
      <c r="Q11" s="33">
        <f>'281ι1α'!Q10*6/9</f>
        <v>0</v>
      </c>
      <c r="S11" s="237"/>
      <c r="T11" s="481" t="s">
        <v>543</v>
      </c>
      <c r="U11" s="109">
        <v>5555</v>
      </c>
      <c r="V11" s="109">
        <v>1111</v>
      </c>
      <c r="W11" s="237"/>
      <c r="X11" s="237">
        <f>U11*V11</f>
        <v>6171605</v>
      </c>
      <c r="Y11" s="225"/>
      <c r="Z11" s="237">
        <f>O21*X11/N19</f>
        <v>70861077.679441452</v>
      </c>
    </row>
    <row r="12" spans="1:26">
      <c r="A12" s="26">
        <v>2007</v>
      </c>
      <c r="B12" s="25">
        <f>'281ι1α'!B11*6/9</f>
        <v>0</v>
      </c>
      <c r="C12" s="25">
        <f>'281ι1α'!C11*6/9</f>
        <v>0</v>
      </c>
      <c r="D12" s="25">
        <f>'281ι1α'!D11*6/9</f>
        <v>0</v>
      </c>
      <c r="E12" s="25">
        <f>'281ι1α'!E11*6/9</f>
        <v>0</v>
      </c>
      <c r="F12" s="25">
        <f>'281ι1α'!F11*6/9</f>
        <v>14.866666666666667</v>
      </c>
      <c r="G12" s="25">
        <f>'281ι1α'!G11*6/9</f>
        <v>52.473333333333329</v>
      </c>
      <c r="H12" s="25">
        <f>'281ι1α'!H11*6/9</f>
        <v>8.6666666666666661</v>
      </c>
      <c r="I12" s="25">
        <f>'281ι1α'!I11*6/9</f>
        <v>0</v>
      </c>
      <c r="J12" s="25">
        <f>'281ι1α'!J11*6/9</f>
        <v>0</v>
      </c>
      <c r="K12" s="25">
        <f>'281ι1α'!K11*6/9</f>
        <v>4.88</v>
      </c>
      <c r="L12" s="25">
        <f>'281ι1α'!L11*6/9</f>
        <v>0</v>
      </c>
      <c r="M12" s="25">
        <f>'281ι1α'!M11*6/9</f>
        <v>0</v>
      </c>
      <c r="N12" s="54">
        <f t="shared" si="0"/>
        <v>80.88666666666667</v>
      </c>
      <c r="O12" s="33">
        <f>'281ι1α'!O11*6/9</f>
        <v>307.33333333333331</v>
      </c>
      <c r="P12" s="25">
        <f>'281ι1α'!P11*6/9</f>
        <v>32.354666666666667</v>
      </c>
      <c r="Q12" s="33">
        <f>'281ι1α'!Q11*6/9</f>
        <v>122.93333333333334</v>
      </c>
      <c r="S12" s="237"/>
      <c r="T12" s="481" t="s">
        <v>544</v>
      </c>
      <c r="U12" s="109">
        <v>5555</v>
      </c>
      <c r="V12" s="109">
        <v>555</v>
      </c>
      <c r="W12" s="237"/>
      <c r="X12" s="237">
        <f>U12*V12</f>
        <v>3083025</v>
      </c>
      <c r="Y12" s="237"/>
      <c r="Z12" s="237">
        <v>44444444</v>
      </c>
    </row>
    <row r="13" spans="1:26">
      <c r="A13" s="26">
        <v>2008</v>
      </c>
      <c r="B13" s="25">
        <f>'281ι1α'!B12*6/9</f>
        <v>0</v>
      </c>
      <c r="C13" s="25">
        <f>'281ι1α'!C12*6/9</f>
        <v>0</v>
      </c>
      <c r="D13" s="25">
        <f>'281ι1α'!D12*6/9</f>
        <v>0</v>
      </c>
      <c r="E13" s="25">
        <f>'281ι1α'!E12*6/9</f>
        <v>0.39333333333333331</v>
      </c>
      <c r="F13" s="25">
        <f>'281ι1α'!F12*6/9</f>
        <v>0</v>
      </c>
      <c r="G13" s="25">
        <f>'281ι1α'!G12*6/9</f>
        <v>0</v>
      </c>
      <c r="H13" s="25">
        <f>'281ι1α'!H12*6/9</f>
        <v>0</v>
      </c>
      <c r="I13" s="25">
        <f>'281ι1α'!I12*6/9</f>
        <v>0</v>
      </c>
      <c r="J13" s="25">
        <f>'281ι1α'!J12*6/9</f>
        <v>0</v>
      </c>
      <c r="K13" s="25">
        <f>'281ι1α'!K12*6/9</f>
        <v>0.49333333333333329</v>
      </c>
      <c r="L13" s="25">
        <f>'281ι1α'!L12*6/9</f>
        <v>1.6133333333333333</v>
      </c>
      <c r="M13" s="25">
        <f>'281ι1α'!M12*6/9</f>
        <v>0</v>
      </c>
      <c r="N13" s="54">
        <f t="shared" si="0"/>
        <v>2.5</v>
      </c>
      <c r="O13" s="33">
        <f>'281ι1α'!O12*6/9</f>
        <v>8</v>
      </c>
      <c r="P13" s="25">
        <f>'281ι1α'!P12*6/9</f>
        <v>1</v>
      </c>
      <c r="Q13" s="33">
        <f>'281ι1α'!Q12*6/9</f>
        <v>3.2000000000000006</v>
      </c>
      <c r="S13" s="237"/>
      <c r="T13" s="481" t="s">
        <v>545</v>
      </c>
      <c r="U13" s="109">
        <v>5555</v>
      </c>
      <c r="V13" s="109">
        <v>111</v>
      </c>
      <c r="W13" s="237"/>
      <c r="X13" s="237">
        <f>U13*V13</f>
        <v>616605</v>
      </c>
      <c r="Y13" s="237"/>
      <c r="Z13" s="237">
        <v>55555555</v>
      </c>
    </row>
    <row r="14" spans="1:26">
      <c r="A14" s="26">
        <v>2009</v>
      </c>
      <c r="B14" s="25">
        <f>'281ι1α'!B13*6/9</f>
        <v>0</v>
      </c>
      <c r="C14" s="25">
        <f>'281ι1α'!C13*6/9</f>
        <v>0</v>
      </c>
      <c r="D14" s="25">
        <f>'281ι1α'!D13*6/9</f>
        <v>0</v>
      </c>
      <c r="E14" s="25">
        <f>'281ι1α'!E13*6/9</f>
        <v>0</v>
      </c>
      <c r="F14" s="25">
        <f>'281ι1α'!F13*6/9</f>
        <v>0</v>
      </c>
      <c r="G14" s="25">
        <f>'281ι1α'!G13*6/9</f>
        <v>0</v>
      </c>
      <c r="H14" s="25">
        <f>'281ι1α'!H13*6/9</f>
        <v>32</v>
      </c>
      <c r="I14" s="25">
        <f>'281ι1α'!I13*6/9</f>
        <v>0</v>
      </c>
      <c r="J14" s="25">
        <f>'281ι1α'!J13*6/9</f>
        <v>0</v>
      </c>
      <c r="K14" s="25">
        <f>'281ι1α'!K13*6/9</f>
        <v>0</v>
      </c>
      <c r="L14" s="25">
        <f>'281ι1α'!L13*6/9</f>
        <v>0</v>
      </c>
      <c r="M14" s="25">
        <f>'281ι1α'!M13*6/9</f>
        <v>0</v>
      </c>
      <c r="N14" s="54">
        <f t="shared" si="0"/>
        <v>32</v>
      </c>
      <c r="O14" s="33">
        <f>'281ι1α'!O13*6/9</f>
        <v>97.333333333333329</v>
      </c>
      <c r="P14" s="25">
        <f>'281ι1α'!P13*6/9</f>
        <v>11.199999999999998</v>
      </c>
      <c r="Q14" s="33">
        <f>'281ι1α'!Q13*6/9</f>
        <v>34.066666666666663</v>
      </c>
      <c r="S14" s="237"/>
      <c r="T14" s="235"/>
      <c r="U14" s="483"/>
      <c r="V14" s="237"/>
      <c r="W14" s="237"/>
      <c r="X14" s="237">
        <f t="shared" ref="X14" si="1">SUM(X11:X13)</f>
        <v>9871235</v>
      </c>
      <c r="Y14" s="237"/>
      <c r="Z14" s="237">
        <f>SUM(Z11:Z13)</f>
        <v>170861076.67944145</v>
      </c>
    </row>
    <row r="15" spans="1:26">
      <c r="A15" s="26">
        <v>2010</v>
      </c>
      <c r="B15" s="25">
        <f>'281ι1α'!B14*6/9</f>
        <v>0</v>
      </c>
      <c r="C15" s="25">
        <f>'281ι1α'!C14*6/9</f>
        <v>0</v>
      </c>
      <c r="D15" s="25">
        <f>'281ι1α'!D14*6/9</f>
        <v>23.619999999999997</v>
      </c>
      <c r="E15" s="25">
        <f>'281ι1α'!E14*6/9</f>
        <v>0</v>
      </c>
      <c r="F15" s="25">
        <f>'281ι1α'!F14*6/9</f>
        <v>2.98</v>
      </c>
      <c r="G15" s="25">
        <f>'281ι1α'!G14*6/9</f>
        <v>0</v>
      </c>
      <c r="H15" s="25">
        <f>'281ι1α'!H14*6/9</f>
        <v>27.466666666666669</v>
      </c>
      <c r="I15" s="25">
        <f>'281ι1α'!I14*6/9</f>
        <v>0</v>
      </c>
      <c r="J15" s="25">
        <f>'281ι1α'!J14*6/9</f>
        <v>0</v>
      </c>
      <c r="K15" s="25">
        <f>'281ι1α'!K14*6/9</f>
        <v>23.5</v>
      </c>
      <c r="L15" s="25">
        <f>'281ι1α'!L14*6/9</f>
        <v>79.493333333333325</v>
      </c>
      <c r="M15" s="25">
        <f>'281ι1α'!M14*6/9</f>
        <v>304.81333333333333</v>
      </c>
      <c r="N15" s="54">
        <f t="shared" si="0"/>
        <v>461.87333333333333</v>
      </c>
      <c r="O15" s="33">
        <f>'281ι1α'!O14*6/9</f>
        <v>1240.6666666666667</v>
      </c>
      <c r="P15" s="25">
        <f>'281ι1α'!P14*6/9</f>
        <v>207.84299999999999</v>
      </c>
      <c r="Q15" s="33">
        <f>'281ι1α'!Q14*6/9</f>
        <v>558.30000000000007</v>
      </c>
      <c r="V15" s="29"/>
    </row>
    <row r="16" spans="1:26">
      <c r="A16" s="26">
        <v>2011</v>
      </c>
      <c r="B16" s="25">
        <f>'281ι1α'!B15*6/9</f>
        <v>21.5</v>
      </c>
      <c r="C16" s="25">
        <f>'281ι1α'!C15*6/9</f>
        <v>9.74</v>
      </c>
      <c r="D16" s="25">
        <f>'281ι1α'!D15*6/9</f>
        <v>9.706666666666667</v>
      </c>
      <c r="E16" s="25">
        <f>'281ι1α'!E15*6/9</f>
        <v>17.619999999999997</v>
      </c>
      <c r="F16" s="25">
        <f>'281ι1α'!F15*6/9</f>
        <v>62.45333333333334</v>
      </c>
      <c r="G16" s="25">
        <f>'281ι1α'!G15*6/9</f>
        <v>36.979999999999997</v>
      </c>
      <c r="H16" s="25">
        <f>'281ι1α'!H15*6/9</f>
        <v>0</v>
      </c>
      <c r="I16" s="25">
        <f>'281ι1α'!I15*6/9</f>
        <v>10.52</v>
      </c>
      <c r="J16" s="25">
        <f>'281ι1α'!J15*6/9</f>
        <v>7.0866666666666669</v>
      </c>
      <c r="K16" s="25">
        <f>'281ι1α'!K15*6/9</f>
        <v>0</v>
      </c>
      <c r="L16" s="25">
        <f>'281ι1α'!L15*6/9</f>
        <v>0</v>
      </c>
      <c r="M16" s="25">
        <f>'281ι1α'!M15*6/9</f>
        <v>0</v>
      </c>
      <c r="N16" s="54">
        <f t="shared" si="0"/>
        <v>175.60666666666668</v>
      </c>
      <c r="O16" s="33">
        <f>'281ι1α'!O15*6/9</f>
        <v>451.33333333333331</v>
      </c>
      <c r="P16" s="25">
        <f>'281ι1α'!P15*6/9</f>
        <v>61.462333333333341</v>
      </c>
      <c r="Q16" s="33">
        <f>'281ι1α'!Q15*6/9</f>
        <v>157.96666666666664</v>
      </c>
      <c r="V16" s="29"/>
    </row>
    <row r="17" spans="1:22">
      <c r="A17" s="26">
        <v>2012</v>
      </c>
      <c r="B17" s="25">
        <f>'281ι1α'!B16*6/9</f>
        <v>0</v>
      </c>
      <c r="C17" s="25">
        <f>'281ι1α'!C16*6/9</f>
        <v>0</v>
      </c>
      <c r="D17" s="25">
        <f>'281ι1α'!D16*6/9</f>
        <v>84.486666666666665</v>
      </c>
      <c r="E17" s="25">
        <f>'281ι1α'!E16*6/9</f>
        <v>0</v>
      </c>
      <c r="F17" s="25">
        <f>'281ι1α'!F16*6/9</f>
        <v>0</v>
      </c>
      <c r="G17" s="25">
        <f>'281ι1α'!G16*6/9</f>
        <v>0</v>
      </c>
      <c r="H17" s="25">
        <f>'281ι1α'!H16*6/9</f>
        <v>0</v>
      </c>
      <c r="I17" s="25">
        <f>'281ι1α'!I16*6/9</f>
        <v>35.68</v>
      </c>
      <c r="J17" s="25">
        <f>'281ι1α'!J16*6/9</f>
        <v>0</v>
      </c>
      <c r="K17" s="25">
        <f>'281ι1α'!K16*6/9</f>
        <v>0</v>
      </c>
      <c r="L17" s="25">
        <f>'281ι1α'!L16*6/9</f>
        <v>23.733333333333334</v>
      </c>
      <c r="M17" s="25">
        <f>'281ι1α'!M16*6/9</f>
        <v>0</v>
      </c>
      <c r="N17" s="54">
        <f t="shared" si="0"/>
        <v>143.89999999999998</v>
      </c>
      <c r="O17" s="33">
        <f>'281ι1α'!O16*6/9</f>
        <v>336.66666666666669</v>
      </c>
      <c r="P17" s="25">
        <f>'281ι1α'!P16*6/9</f>
        <v>25.901999999999997</v>
      </c>
      <c r="Q17" s="33">
        <f>'281ι1α'!Q16*6/9</f>
        <v>60.599999999999994</v>
      </c>
      <c r="V17" s="29"/>
    </row>
    <row r="18" spans="1:22" ht="15.75">
      <c r="A18" s="26">
        <v>2013</v>
      </c>
      <c r="B18" s="25">
        <f>'281ι1α'!B17*6/9</f>
        <v>0</v>
      </c>
      <c r="C18" s="25">
        <f>'281ι1α'!C17*6/9</f>
        <v>10.713333333333333</v>
      </c>
      <c r="D18" s="25">
        <f>'281ι1α'!D17*6/9</f>
        <v>11.513333333333334</v>
      </c>
      <c r="E18" s="25">
        <f>'281ι1α'!E17*6/9</f>
        <v>17.613333333333333</v>
      </c>
      <c r="F18" s="25">
        <f>'281ι1α'!F17*6/9</f>
        <v>26.973333333333333</v>
      </c>
      <c r="G18" s="27"/>
      <c r="H18" s="27"/>
      <c r="I18" s="27"/>
      <c r="J18" s="27"/>
      <c r="K18" s="27"/>
      <c r="L18" s="27"/>
      <c r="M18" s="27"/>
      <c r="N18" s="54">
        <f t="shared" si="0"/>
        <v>66.813333333333333</v>
      </c>
      <c r="O18" s="33">
        <f>'281ι1α'!O17*6/9</f>
        <v>144.66666666666666</v>
      </c>
      <c r="P18" s="25">
        <f>'281ι1α'!P17*6/9</f>
        <v>17.37146666666667</v>
      </c>
      <c r="Q18" s="33">
        <f>'281ι1α'!Q17*6/9</f>
        <v>37.61333333333333</v>
      </c>
      <c r="S18" s="28"/>
      <c r="T18" s="28"/>
      <c r="V18" s="29"/>
    </row>
    <row r="19" spans="1:22" ht="15.7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59">
        <f>SUM(N3:N18)</f>
        <v>1245.1600000000001</v>
      </c>
      <c r="O19" s="83">
        <f>SUM(O3:O18)</f>
        <v>5706</v>
      </c>
      <c r="P19" s="59">
        <f>SUM(P3:P18)</f>
        <v>450.49813333333333</v>
      </c>
      <c r="Q19" s="83">
        <f>SUM(Q3:Q18)</f>
        <v>1996.0466666666666</v>
      </c>
      <c r="S19" s="28"/>
    </row>
    <row r="20" spans="1:22" ht="15.75">
      <c r="M20"/>
      <c r="N20" s="50"/>
      <c r="S20" s="28"/>
    </row>
    <row r="21" spans="1:22" ht="15.75">
      <c r="O21" s="190">
        <f>'281ι1α'!O20*6/9</f>
        <v>14296.666666666666</v>
      </c>
      <c r="P21" s="111">
        <v>45670</v>
      </c>
      <c r="Q21" s="190">
        <f>'281ι1α'!Q19*6/9</f>
        <v>5001.1941543015146</v>
      </c>
      <c r="S21" s="28"/>
    </row>
    <row r="22" spans="1:22" ht="15.75">
      <c r="P22" s="245" t="s">
        <v>389</v>
      </c>
      <c r="S22" s="28"/>
    </row>
    <row r="23" spans="1:22" ht="15.75">
      <c r="A23" s="804" t="s">
        <v>63</v>
      </c>
      <c r="B23" s="804"/>
      <c r="C23" s="804"/>
      <c r="D23" s="804"/>
      <c r="E23" s="804"/>
      <c r="F23" s="804"/>
      <c r="G23" s="804"/>
      <c r="H23" s="804"/>
      <c r="I23" s="804"/>
      <c r="J23" s="804"/>
      <c r="K23" s="804"/>
      <c r="L23" s="804"/>
      <c r="M23" s="804"/>
      <c r="S23" s="28"/>
    </row>
    <row r="24" spans="1:22" ht="15.75">
      <c r="A24" s="804"/>
      <c r="B24" s="804"/>
      <c r="C24" s="804"/>
      <c r="D24" s="804"/>
      <c r="E24" s="804"/>
      <c r="F24" s="804"/>
      <c r="G24" s="804"/>
      <c r="H24" s="804"/>
      <c r="I24" s="804"/>
      <c r="J24" s="804"/>
      <c r="K24" s="804"/>
      <c r="L24" s="804"/>
      <c r="M24" s="804"/>
      <c r="S24" s="28"/>
    </row>
    <row r="25" spans="1:22" ht="15.75">
      <c r="S25" s="28"/>
    </row>
    <row r="26" spans="1:22" ht="15.75">
      <c r="S26" s="28"/>
    </row>
    <row r="27" spans="1:22" ht="15.75">
      <c r="S27" s="28"/>
    </row>
    <row r="28" spans="1:22" ht="15.75">
      <c r="S28" s="28"/>
    </row>
  </sheetData>
  <mergeCells count="14">
    <mergeCell ref="A23:M24"/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O94"/>
  <sheetViews>
    <sheetView workbookViewId="0">
      <pane ySplit="2" topLeftCell="A3" activePane="bottomLeft" state="frozen"/>
      <selection pane="bottomLeft" activeCell="P21" sqref="P21"/>
    </sheetView>
  </sheetViews>
  <sheetFormatPr defaultRowHeight="12.75"/>
  <cols>
    <col min="1" max="1" width="6.44140625" style="8" bestFit="1" customWidth="1"/>
    <col min="2" max="2" width="9.21875" style="8" bestFit="1" customWidth="1"/>
    <col min="3" max="3" width="8" style="8" bestFit="1" customWidth="1"/>
    <col min="4" max="5" width="9" style="8" bestFit="1" customWidth="1"/>
    <col min="6" max="7" width="7.21875" style="8" bestFit="1" customWidth="1"/>
    <col min="8" max="8" width="7.33203125" style="8" customWidth="1"/>
    <col min="9" max="9" width="7.21875" style="8" bestFit="1" customWidth="1"/>
    <col min="10" max="10" width="6.44140625" style="8" bestFit="1" customWidth="1"/>
    <col min="11" max="11" width="7.21875" style="8" bestFit="1" customWidth="1"/>
    <col min="12" max="12" width="6.44140625" style="8" bestFit="1" customWidth="1"/>
    <col min="13" max="13" width="7.21875" style="8" bestFit="1" customWidth="1"/>
    <col min="14" max="14" width="8.44140625" style="8" bestFit="1" customWidth="1"/>
    <col min="15" max="15" width="7.44140625" style="8" bestFit="1" customWidth="1"/>
    <col min="16" max="16" width="7.44140625" style="8" customWidth="1"/>
    <col min="17" max="17" width="7.44140625" style="8" bestFit="1" customWidth="1"/>
    <col min="18" max="18" width="4.88671875" style="8" customWidth="1"/>
    <col min="19" max="19" width="2.6640625" style="8" customWidth="1"/>
    <col min="20" max="20" width="6.44140625" style="8" customWidth="1"/>
    <col min="21" max="21" width="5.21875" style="8" bestFit="1" customWidth="1"/>
    <col min="22" max="22" width="3.6640625" style="8" bestFit="1" customWidth="1"/>
    <col min="23" max="23" width="5.21875" style="8" bestFit="1" customWidth="1"/>
    <col min="24" max="24" width="4.44140625" style="8" bestFit="1" customWidth="1"/>
    <col min="25" max="26" width="5.21875" style="8" bestFit="1" customWidth="1"/>
    <col min="27" max="27" width="6.44140625" style="8" bestFit="1" customWidth="1"/>
    <col min="28" max="28" width="5.21875" style="8" bestFit="1" customWidth="1"/>
    <col min="29" max="29" width="3.109375" style="8" bestFit="1" customWidth="1"/>
    <col min="30" max="30" width="2.33203125" style="8" bestFit="1" customWidth="1"/>
    <col min="31" max="31" width="3.88671875" style="8" bestFit="1" customWidth="1"/>
    <col min="32" max="37" width="8.88671875" style="8"/>
    <col min="38" max="38" width="3.33203125" style="8" customWidth="1"/>
    <col min="39" max="39" width="8.88671875" style="8"/>
    <col min="40" max="40" width="3.109375" style="8" customWidth="1"/>
    <col min="41" max="41" width="9.33203125" style="8" bestFit="1" customWidth="1"/>
    <col min="42" max="16384" width="8.88671875" style="8"/>
  </cols>
  <sheetData>
    <row r="1" spans="1:41">
      <c r="A1" s="756"/>
      <c r="B1" s="822" t="s">
        <v>18</v>
      </c>
      <c r="C1" s="820" t="s">
        <v>19</v>
      </c>
      <c r="D1" s="822" t="s">
        <v>20</v>
      </c>
      <c r="E1" s="824" t="s">
        <v>21</v>
      </c>
      <c r="F1" s="822" t="s">
        <v>2</v>
      </c>
      <c r="G1" s="820" t="s">
        <v>22</v>
      </c>
      <c r="H1" s="822" t="s">
        <v>23</v>
      </c>
      <c r="I1" s="824" t="s">
        <v>24</v>
      </c>
      <c r="J1" s="822" t="s">
        <v>25</v>
      </c>
      <c r="K1" s="820" t="s">
        <v>26</v>
      </c>
      <c r="L1" s="822" t="s">
        <v>27</v>
      </c>
      <c r="M1" s="824" t="s">
        <v>28</v>
      </c>
      <c r="N1" s="135"/>
      <c r="P1" s="145">
        <v>299</v>
      </c>
    </row>
    <row r="2" spans="1:41" ht="13.5" thickBot="1">
      <c r="A2" s="757"/>
      <c r="B2" s="823"/>
      <c r="C2" s="821"/>
      <c r="D2" s="823"/>
      <c r="E2" s="825"/>
      <c r="F2" s="823"/>
      <c r="G2" s="821"/>
      <c r="H2" s="823"/>
      <c r="I2" s="825"/>
      <c r="J2" s="823"/>
      <c r="K2" s="821"/>
      <c r="L2" s="823"/>
      <c r="M2" s="825"/>
      <c r="N2" s="147" t="s">
        <v>68</v>
      </c>
      <c r="O2" s="140" t="s">
        <v>54</v>
      </c>
      <c r="P2" s="147" t="s">
        <v>68</v>
      </c>
      <c r="Q2" s="140" t="s">
        <v>54</v>
      </c>
      <c r="R2" s="57"/>
      <c r="S2" s="57"/>
      <c r="T2" s="57">
        <v>1</v>
      </c>
      <c r="U2" s="8">
        <v>2</v>
      </c>
      <c r="V2" s="8">
        <v>3</v>
      </c>
      <c r="W2" s="8">
        <v>4</v>
      </c>
      <c r="X2" s="8">
        <v>5</v>
      </c>
      <c r="Y2" s="8">
        <v>6</v>
      </c>
      <c r="Z2" s="8">
        <v>7</v>
      </c>
      <c r="AA2" s="8">
        <v>8</v>
      </c>
      <c r="AB2" s="8">
        <v>9</v>
      </c>
      <c r="AC2" s="8">
        <v>10</v>
      </c>
      <c r="AD2" s="8">
        <v>11</v>
      </c>
      <c r="AE2" s="8">
        <v>12</v>
      </c>
    </row>
    <row r="3" spans="1:41">
      <c r="A3" s="15">
        <v>1998</v>
      </c>
      <c r="B3" s="146"/>
      <c r="C3" s="146"/>
      <c r="D3" s="146"/>
      <c r="E3" s="146"/>
      <c r="F3" s="146"/>
      <c r="G3" s="146"/>
      <c r="H3" s="146"/>
      <c r="I3" s="115"/>
      <c r="J3" s="115">
        <v>28.51</v>
      </c>
      <c r="K3" s="115">
        <v>26.36</v>
      </c>
      <c r="L3" s="115"/>
      <c r="M3" s="115">
        <v>107.94</v>
      </c>
      <c r="N3" s="116">
        <f>SUM(B3:M3)</f>
        <v>162.81</v>
      </c>
      <c r="O3" s="168">
        <f>AF3</f>
        <v>1849</v>
      </c>
      <c r="P3" s="9">
        <f>N3*R3</f>
        <v>48.842999999999996</v>
      </c>
      <c r="Q3" s="169">
        <f>O3*R3</f>
        <v>554.69999999999993</v>
      </c>
      <c r="R3" s="626">
        <v>0.3</v>
      </c>
      <c r="S3" s="57"/>
      <c r="T3" s="57"/>
      <c r="U3" s="57"/>
      <c r="V3" s="132"/>
      <c r="W3" s="166"/>
      <c r="X3" s="148"/>
      <c r="Y3" s="132"/>
      <c r="Z3" s="57"/>
      <c r="AA3" s="132"/>
      <c r="AB3" s="132">
        <v>337</v>
      </c>
      <c r="AC3" s="8">
        <v>306</v>
      </c>
      <c r="AE3" s="8">
        <v>1206</v>
      </c>
      <c r="AF3" s="404">
        <f>SUM(T3:AE3)</f>
        <v>1849</v>
      </c>
    </row>
    <row r="4" spans="1:41">
      <c r="A4" s="7">
        <v>1999</v>
      </c>
      <c r="B4" s="9"/>
      <c r="C4" s="9">
        <v>19.07</v>
      </c>
      <c r="D4" s="9"/>
      <c r="E4" s="9"/>
      <c r="F4" s="9">
        <v>4.4000000000000004</v>
      </c>
      <c r="G4" s="9"/>
      <c r="H4" s="9"/>
      <c r="I4" s="9"/>
      <c r="J4" s="9"/>
      <c r="K4" s="9"/>
      <c r="L4" s="9"/>
      <c r="M4" s="9"/>
      <c r="N4" s="116">
        <f t="shared" ref="N4:N18" si="0">SUM(B4:M4)</f>
        <v>23.47</v>
      </c>
      <c r="O4" s="168">
        <f t="shared" ref="O4:O17" si="1">AF4</f>
        <v>250</v>
      </c>
      <c r="P4" s="9">
        <f t="shared" ref="P4:P18" si="2">N4*R4</f>
        <v>9.3879999999999999</v>
      </c>
      <c r="Q4" s="169">
        <f t="shared" ref="Q4:Q18" si="3">O4*R4</f>
        <v>100</v>
      </c>
      <c r="R4" s="626">
        <v>0.4</v>
      </c>
      <c r="S4" s="57"/>
      <c r="T4" s="57"/>
      <c r="U4" s="57">
        <v>205</v>
      </c>
      <c r="V4" s="132"/>
      <c r="W4" s="166"/>
      <c r="X4" s="148">
        <v>45</v>
      </c>
      <c r="Y4" s="132"/>
      <c r="Z4" s="57"/>
      <c r="AA4" s="132"/>
      <c r="AF4" s="404">
        <f t="shared" ref="AF4:AF18" si="4">SUM(T4:AE4)</f>
        <v>250</v>
      </c>
    </row>
    <row r="5" spans="1:41">
      <c r="A5" s="7">
        <v>2000</v>
      </c>
      <c r="B5" s="9"/>
      <c r="C5" s="9"/>
      <c r="D5" s="9"/>
      <c r="E5" s="9"/>
      <c r="F5" s="9">
        <v>6.84</v>
      </c>
      <c r="G5" s="9"/>
      <c r="H5" s="9"/>
      <c r="I5" s="9"/>
      <c r="J5" s="9"/>
      <c r="K5" s="9">
        <v>122.81</v>
      </c>
      <c r="L5" s="9"/>
      <c r="M5" s="9"/>
      <c r="N5" s="116">
        <f t="shared" si="0"/>
        <v>129.65</v>
      </c>
      <c r="O5" s="168">
        <f t="shared" si="1"/>
        <v>1029</v>
      </c>
      <c r="P5" s="9">
        <f t="shared" si="2"/>
        <v>58.342500000000001</v>
      </c>
      <c r="Q5" s="169">
        <f t="shared" si="3"/>
        <v>463.05</v>
      </c>
      <c r="R5" s="626">
        <v>0.45</v>
      </c>
      <c r="S5" s="57"/>
      <c r="T5" s="57"/>
      <c r="U5" s="57"/>
      <c r="V5" s="132"/>
      <c r="W5" s="166"/>
      <c r="X5" s="148">
        <v>59</v>
      </c>
      <c r="Y5" s="132"/>
      <c r="Z5" s="57"/>
      <c r="AA5" s="132"/>
      <c r="AC5" s="8">
        <v>970</v>
      </c>
      <c r="AF5" s="404">
        <f t="shared" si="4"/>
        <v>1029</v>
      </c>
    </row>
    <row r="6" spans="1:41">
      <c r="A6" s="7">
        <v>2001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16">
        <f t="shared" si="0"/>
        <v>0</v>
      </c>
      <c r="O6" s="168">
        <f t="shared" si="1"/>
        <v>0</v>
      </c>
      <c r="P6" s="9">
        <f t="shared" si="2"/>
        <v>0</v>
      </c>
      <c r="Q6" s="169">
        <f t="shared" si="3"/>
        <v>0</v>
      </c>
      <c r="R6" s="626">
        <v>0.4</v>
      </c>
      <c r="S6" s="57"/>
      <c r="T6" s="57"/>
      <c r="U6" s="57"/>
      <c r="V6" s="132"/>
      <c r="W6" s="166"/>
      <c r="X6" s="148"/>
      <c r="Y6" s="132"/>
      <c r="Z6" s="57"/>
      <c r="AA6" s="132"/>
      <c r="AF6" s="404">
        <f t="shared" si="4"/>
        <v>0</v>
      </c>
    </row>
    <row r="7" spans="1:41">
      <c r="A7" s="7">
        <v>2002</v>
      </c>
      <c r="B7" s="9"/>
      <c r="C7" s="9"/>
      <c r="D7" s="9"/>
      <c r="E7" s="9">
        <v>0.03</v>
      </c>
      <c r="F7" s="9"/>
      <c r="G7" s="9"/>
      <c r="H7" s="9"/>
      <c r="I7" s="9"/>
      <c r="J7" s="9"/>
      <c r="K7" s="9"/>
      <c r="L7" s="9"/>
      <c r="M7" s="9"/>
      <c r="N7" s="116">
        <f t="shared" si="0"/>
        <v>0.03</v>
      </c>
      <c r="O7" s="168">
        <f t="shared" si="1"/>
        <v>1</v>
      </c>
      <c r="P7" s="9">
        <f t="shared" si="2"/>
        <v>1.2E-2</v>
      </c>
      <c r="Q7" s="169">
        <f t="shared" si="3"/>
        <v>0.4</v>
      </c>
      <c r="R7" s="626">
        <v>0.4</v>
      </c>
      <c r="S7" s="57"/>
      <c r="T7" s="57"/>
      <c r="U7" s="57"/>
      <c r="V7" s="132"/>
      <c r="W7" s="166">
        <v>1</v>
      </c>
      <c r="X7" s="148"/>
      <c r="Y7" s="132"/>
      <c r="Z7" s="57"/>
      <c r="AA7" s="132"/>
      <c r="AF7" s="404">
        <f t="shared" si="4"/>
        <v>1</v>
      </c>
    </row>
    <row r="8" spans="1:41">
      <c r="A8" s="7">
        <v>2003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16">
        <f t="shared" si="0"/>
        <v>0</v>
      </c>
      <c r="O8" s="168">
        <f t="shared" si="1"/>
        <v>0</v>
      </c>
      <c r="P8" s="9">
        <f t="shared" si="2"/>
        <v>0</v>
      </c>
      <c r="Q8" s="169">
        <f t="shared" si="3"/>
        <v>0</v>
      </c>
      <c r="R8" s="626">
        <v>0.4</v>
      </c>
      <c r="S8" s="57"/>
      <c r="T8" s="57"/>
      <c r="U8" s="57"/>
      <c r="V8" s="132"/>
      <c r="W8" s="166"/>
      <c r="X8" s="148"/>
      <c r="Y8" s="132"/>
      <c r="Z8" s="57"/>
      <c r="AA8" s="132"/>
      <c r="AF8" s="404">
        <f t="shared" si="4"/>
        <v>0</v>
      </c>
      <c r="AH8" s="237"/>
      <c r="AI8" s="481"/>
      <c r="AJ8" s="480"/>
      <c r="AK8" s="482" t="s">
        <v>542</v>
      </c>
      <c r="AL8" s="480"/>
      <c r="AM8" s="480" t="s">
        <v>16</v>
      </c>
      <c r="AN8" s="480"/>
      <c r="AO8" s="480" t="s">
        <v>546</v>
      </c>
    </row>
    <row r="9" spans="1:41">
      <c r="A9" s="7">
        <v>2004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16">
        <f t="shared" si="0"/>
        <v>0</v>
      </c>
      <c r="O9" s="168">
        <f t="shared" si="1"/>
        <v>0</v>
      </c>
      <c r="P9" s="9">
        <f t="shared" si="2"/>
        <v>0</v>
      </c>
      <c r="Q9" s="169">
        <f t="shared" si="3"/>
        <v>0</v>
      </c>
      <c r="R9" s="626">
        <v>0.4</v>
      </c>
      <c r="S9" s="57"/>
      <c r="T9" s="57"/>
      <c r="U9" s="57"/>
      <c r="V9" s="132"/>
      <c r="W9" s="166"/>
      <c r="X9" s="148"/>
      <c r="Y9" s="132"/>
      <c r="Z9" s="57"/>
      <c r="AA9" s="132"/>
      <c r="AF9" s="404">
        <f t="shared" si="4"/>
        <v>0</v>
      </c>
      <c r="AH9" s="237"/>
      <c r="AI9" s="481" t="s">
        <v>543</v>
      </c>
      <c r="AJ9" s="109">
        <v>5555</v>
      </c>
      <c r="AK9" s="109">
        <v>2222</v>
      </c>
      <c r="AL9" s="237"/>
      <c r="AM9" s="237">
        <f>AJ9*AK9</f>
        <v>12343210</v>
      </c>
      <c r="AN9" s="225"/>
      <c r="AO9" s="237">
        <f>O22*AM9/N19</f>
        <v>124035398.98754801</v>
      </c>
    </row>
    <row r="10" spans="1:41">
      <c r="A10" s="7">
        <v>2005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16">
        <f t="shared" si="0"/>
        <v>0</v>
      </c>
      <c r="O10" s="168">
        <f t="shared" si="1"/>
        <v>0</v>
      </c>
      <c r="P10" s="9">
        <f t="shared" si="2"/>
        <v>0</v>
      </c>
      <c r="Q10" s="169">
        <f t="shared" si="3"/>
        <v>0</v>
      </c>
      <c r="R10" s="626">
        <v>0.4</v>
      </c>
      <c r="S10" s="57"/>
      <c r="T10" s="57"/>
      <c r="U10" s="57"/>
      <c r="V10" s="132"/>
      <c r="W10" s="166"/>
      <c r="X10" s="148"/>
      <c r="Y10" s="132"/>
      <c r="Z10" s="57"/>
      <c r="AA10" s="132"/>
      <c r="AF10" s="404">
        <f t="shared" si="4"/>
        <v>0</v>
      </c>
      <c r="AH10" s="237"/>
      <c r="AI10" s="481" t="s">
        <v>544</v>
      </c>
      <c r="AJ10" s="109">
        <v>5555</v>
      </c>
      <c r="AK10" s="109">
        <v>1111</v>
      </c>
      <c r="AL10" s="237"/>
      <c r="AM10" s="237">
        <f>AJ10*AK10</f>
        <v>6171605</v>
      </c>
      <c r="AN10" s="237"/>
      <c r="AO10" s="237">
        <v>55555555</v>
      </c>
    </row>
    <row r="11" spans="1:41">
      <c r="A11" s="7">
        <v>2006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16">
        <f t="shared" si="0"/>
        <v>0</v>
      </c>
      <c r="O11" s="168">
        <f t="shared" si="1"/>
        <v>0</v>
      </c>
      <c r="P11" s="9">
        <f t="shared" si="2"/>
        <v>0</v>
      </c>
      <c r="Q11" s="169">
        <f t="shared" si="3"/>
        <v>0</v>
      </c>
      <c r="R11" s="626">
        <v>0.4</v>
      </c>
      <c r="S11" s="57"/>
      <c r="T11" s="57"/>
      <c r="U11" s="57"/>
      <c r="V11" s="132"/>
      <c r="W11" s="166"/>
      <c r="X11" s="148"/>
      <c r="Y11" s="132"/>
      <c r="Z11" s="57"/>
      <c r="AA11" s="132"/>
      <c r="AF11" s="404">
        <f t="shared" si="4"/>
        <v>0</v>
      </c>
      <c r="AH11" s="237"/>
      <c r="AI11" s="481" t="s">
        <v>545</v>
      </c>
      <c r="AJ11" s="109">
        <v>5555</v>
      </c>
      <c r="AK11" s="109">
        <v>555</v>
      </c>
      <c r="AL11" s="237"/>
      <c r="AM11" s="237">
        <f>AJ11*AK11</f>
        <v>3083025</v>
      </c>
      <c r="AN11" s="237"/>
      <c r="AO11" s="237">
        <v>66666666</v>
      </c>
    </row>
    <row r="12" spans="1:41">
      <c r="A12" s="7">
        <v>2007</v>
      </c>
      <c r="B12" s="9"/>
      <c r="C12" s="9"/>
      <c r="D12" s="9"/>
      <c r="E12" s="9">
        <v>117.46</v>
      </c>
      <c r="F12" s="9"/>
      <c r="G12" s="9">
        <v>92.26</v>
      </c>
      <c r="H12" s="9">
        <v>98.8</v>
      </c>
      <c r="I12" s="9">
        <v>1.35</v>
      </c>
      <c r="J12" s="9"/>
      <c r="K12" s="9">
        <v>86.82</v>
      </c>
      <c r="L12" s="9"/>
      <c r="M12" s="9"/>
      <c r="N12" s="116">
        <f t="shared" si="0"/>
        <v>396.69</v>
      </c>
      <c r="O12" s="168">
        <f t="shared" si="1"/>
        <v>1500</v>
      </c>
      <c r="P12" s="9">
        <f t="shared" si="2"/>
        <v>158.67600000000002</v>
      </c>
      <c r="Q12" s="169">
        <f t="shared" si="3"/>
        <v>600</v>
      </c>
      <c r="R12" s="626">
        <v>0.4</v>
      </c>
      <c r="S12" s="57"/>
      <c r="T12" s="57"/>
      <c r="U12" s="57"/>
      <c r="V12" s="132"/>
      <c r="W12" s="166">
        <v>455</v>
      </c>
      <c r="X12" s="148"/>
      <c r="Y12" s="132">
        <v>351</v>
      </c>
      <c r="Z12" s="57">
        <v>372</v>
      </c>
      <c r="AA12" s="132">
        <v>5</v>
      </c>
      <c r="AC12" s="8">
        <v>317</v>
      </c>
      <c r="AF12" s="404">
        <f t="shared" si="4"/>
        <v>1500</v>
      </c>
      <c r="AH12" s="237"/>
      <c r="AI12" s="235"/>
      <c r="AJ12" s="483"/>
      <c r="AK12" s="237"/>
      <c r="AL12" s="237"/>
      <c r="AM12" s="237">
        <f t="shared" ref="AM12" si="5">SUM(AM9:AM11)</f>
        <v>21597840</v>
      </c>
      <c r="AN12" s="237"/>
      <c r="AO12" s="237">
        <f>SUM(AO9:AO11)</f>
        <v>246257619.98754799</v>
      </c>
    </row>
    <row r="13" spans="1:41">
      <c r="A13" s="7">
        <v>2008</v>
      </c>
      <c r="B13" s="9"/>
      <c r="C13" s="9"/>
      <c r="D13" s="9"/>
      <c r="E13" s="9">
        <v>6.01</v>
      </c>
      <c r="F13" s="9"/>
      <c r="G13" s="9"/>
      <c r="H13" s="9">
        <v>102.86</v>
      </c>
      <c r="I13" s="9"/>
      <c r="J13" s="9">
        <v>51.24</v>
      </c>
      <c r="K13" s="9">
        <v>45.1</v>
      </c>
      <c r="L13" s="9">
        <v>28.51</v>
      </c>
      <c r="M13" s="9">
        <v>13.37</v>
      </c>
      <c r="N13" s="116">
        <f t="shared" si="0"/>
        <v>247.09</v>
      </c>
      <c r="O13" s="168">
        <f t="shared" si="1"/>
        <v>813</v>
      </c>
      <c r="P13" s="9">
        <f t="shared" si="2"/>
        <v>98.836000000000013</v>
      </c>
      <c r="Q13" s="169">
        <f t="shared" si="3"/>
        <v>325.20000000000005</v>
      </c>
      <c r="R13" s="626">
        <v>0.4</v>
      </c>
      <c r="S13" s="57"/>
      <c r="T13" s="57"/>
      <c r="U13" s="57"/>
      <c r="V13" s="132"/>
      <c r="W13" s="166">
        <v>21</v>
      </c>
      <c r="X13" s="148"/>
      <c r="Y13" s="132"/>
      <c r="Z13" s="57">
        <v>343</v>
      </c>
      <c r="AA13" s="132"/>
      <c r="AB13" s="8">
        <v>168</v>
      </c>
      <c r="AC13" s="8">
        <v>146</v>
      </c>
      <c r="AD13" s="8">
        <v>92</v>
      </c>
      <c r="AE13" s="8">
        <v>43</v>
      </c>
      <c r="AF13" s="404">
        <f t="shared" si="4"/>
        <v>813</v>
      </c>
    </row>
    <row r="14" spans="1:41">
      <c r="A14" s="7">
        <v>2009</v>
      </c>
      <c r="B14" s="9"/>
      <c r="C14" s="9"/>
      <c r="D14" s="9"/>
      <c r="E14" s="9">
        <v>108.88</v>
      </c>
      <c r="F14" s="9"/>
      <c r="G14" s="9"/>
      <c r="H14" s="9"/>
      <c r="I14" s="9"/>
      <c r="J14" s="9"/>
      <c r="K14" s="9">
        <v>5.58</v>
      </c>
      <c r="L14" s="9"/>
      <c r="M14" s="9">
        <v>165.18</v>
      </c>
      <c r="N14" s="116">
        <f t="shared" si="0"/>
        <v>279.64</v>
      </c>
      <c r="O14" s="168">
        <f t="shared" si="1"/>
        <v>831</v>
      </c>
      <c r="P14" s="9">
        <f t="shared" si="2"/>
        <v>97.873999999999995</v>
      </c>
      <c r="Q14" s="169">
        <f t="shared" si="3"/>
        <v>290.84999999999997</v>
      </c>
      <c r="R14" s="626">
        <v>0.35</v>
      </c>
      <c r="S14" s="57"/>
      <c r="T14" s="57"/>
      <c r="U14" s="57"/>
      <c r="V14" s="132"/>
      <c r="W14" s="166">
        <v>335</v>
      </c>
      <c r="X14" s="148"/>
      <c r="Y14" s="132"/>
      <c r="Z14" s="57"/>
      <c r="AA14" s="132"/>
      <c r="AC14" s="8">
        <v>16</v>
      </c>
      <c r="AE14" s="8">
        <v>480</v>
      </c>
      <c r="AF14" s="404">
        <f t="shared" si="4"/>
        <v>831</v>
      </c>
    </row>
    <row r="15" spans="1:41">
      <c r="A15" s="7">
        <v>2010</v>
      </c>
      <c r="B15" s="9"/>
      <c r="C15" s="9">
        <v>286.7</v>
      </c>
      <c r="D15" s="9"/>
      <c r="E15" s="9">
        <v>12.58</v>
      </c>
      <c r="F15" s="9">
        <v>6.76</v>
      </c>
      <c r="G15" s="9"/>
      <c r="H15" s="9"/>
      <c r="I15" s="9">
        <v>676.58</v>
      </c>
      <c r="J15" s="9"/>
      <c r="K15" s="9">
        <v>158.04</v>
      </c>
      <c r="L15" s="9"/>
      <c r="M15" s="9"/>
      <c r="N15" s="116">
        <f t="shared" si="0"/>
        <v>1140.6600000000001</v>
      </c>
      <c r="O15" s="168">
        <f t="shared" si="1"/>
        <v>3160</v>
      </c>
      <c r="P15" s="9">
        <f t="shared" si="2"/>
        <v>513.29700000000003</v>
      </c>
      <c r="Q15" s="169">
        <f t="shared" si="3"/>
        <v>1422</v>
      </c>
      <c r="R15" s="626">
        <v>0.45</v>
      </c>
      <c r="S15" s="57"/>
      <c r="T15" s="57"/>
      <c r="U15" s="57">
        <v>822</v>
      </c>
      <c r="V15" s="132"/>
      <c r="W15" s="166">
        <v>36</v>
      </c>
      <c r="X15" s="148">
        <v>19</v>
      </c>
      <c r="Y15" s="132"/>
      <c r="Z15" s="57"/>
      <c r="AA15" s="132">
        <v>1856</v>
      </c>
      <c r="AC15" s="8">
        <v>427</v>
      </c>
      <c r="AF15" s="404">
        <f t="shared" si="4"/>
        <v>3160</v>
      </c>
    </row>
    <row r="16" spans="1:41">
      <c r="A16" s="7">
        <v>2011</v>
      </c>
      <c r="B16" s="9"/>
      <c r="C16" s="9">
        <v>2.98</v>
      </c>
      <c r="D16" s="9">
        <v>1.05</v>
      </c>
      <c r="E16" s="9"/>
      <c r="F16" s="9">
        <v>0.12</v>
      </c>
      <c r="G16" s="9"/>
      <c r="H16" s="9"/>
      <c r="I16" s="9"/>
      <c r="J16" s="9">
        <v>0.19</v>
      </c>
      <c r="K16" s="9"/>
      <c r="L16" s="9"/>
      <c r="M16" s="9"/>
      <c r="N16" s="116">
        <f t="shared" si="0"/>
        <v>4.3400000000000007</v>
      </c>
      <c r="O16" s="168">
        <f t="shared" si="1"/>
        <v>13</v>
      </c>
      <c r="P16" s="9">
        <f t="shared" si="2"/>
        <v>1.5190000000000001</v>
      </c>
      <c r="Q16" s="169">
        <f t="shared" si="3"/>
        <v>4.55</v>
      </c>
      <c r="R16" s="626">
        <v>0.35</v>
      </c>
      <c r="S16" s="57"/>
      <c r="T16" s="57"/>
      <c r="U16" s="57">
        <v>8</v>
      </c>
      <c r="V16" s="132">
        <v>3</v>
      </c>
      <c r="W16" s="166"/>
      <c r="X16" s="148">
        <v>1</v>
      </c>
      <c r="Y16" s="132"/>
      <c r="Z16" s="57"/>
      <c r="AA16" s="132"/>
      <c r="AB16" s="8">
        <v>1</v>
      </c>
      <c r="AF16" s="404">
        <f t="shared" si="4"/>
        <v>13</v>
      </c>
    </row>
    <row r="17" spans="1:33" s="161" customFormat="1">
      <c r="A17" s="405">
        <v>2012</v>
      </c>
      <c r="B17" s="9"/>
      <c r="C17" s="9"/>
      <c r="D17" s="9"/>
      <c r="E17" s="9">
        <v>1.92</v>
      </c>
      <c r="F17" s="9"/>
      <c r="G17" s="9"/>
      <c r="H17" s="9"/>
      <c r="I17" s="9">
        <v>19.690000000000001</v>
      </c>
      <c r="J17" s="9">
        <v>0.05</v>
      </c>
      <c r="K17" s="9"/>
      <c r="L17" s="9"/>
      <c r="M17" s="9"/>
      <c r="N17" s="116">
        <f t="shared" si="0"/>
        <v>21.66</v>
      </c>
      <c r="O17" s="168">
        <f t="shared" si="1"/>
        <v>51</v>
      </c>
      <c r="P17" s="9">
        <f t="shared" si="2"/>
        <v>3.8988</v>
      </c>
      <c r="Q17" s="169">
        <f t="shared" si="3"/>
        <v>9.18</v>
      </c>
      <c r="R17" s="626">
        <v>0.18</v>
      </c>
      <c r="S17" s="148"/>
      <c r="T17" s="148"/>
      <c r="U17" s="148"/>
      <c r="V17" s="166"/>
      <c r="W17" s="166">
        <v>5</v>
      </c>
      <c r="X17" s="148"/>
      <c r="Y17" s="166"/>
      <c r="Z17" s="148"/>
      <c r="AA17" s="166">
        <v>45</v>
      </c>
      <c r="AB17" s="161">
        <v>1</v>
      </c>
      <c r="AF17" s="404">
        <f t="shared" si="4"/>
        <v>51</v>
      </c>
    </row>
    <row r="18" spans="1:33">
      <c r="A18" s="7">
        <v>2013</v>
      </c>
      <c r="B18" s="9"/>
      <c r="C18" s="9"/>
      <c r="D18" s="9"/>
      <c r="E18" s="9"/>
      <c r="F18" s="9"/>
      <c r="G18" s="117"/>
      <c r="H18" s="117"/>
      <c r="I18" s="117"/>
      <c r="J18" s="117"/>
      <c r="K18" s="117"/>
      <c r="L18" s="117"/>
      <c r="M18" s="117"/>
      <c r="N18" s="116">
        <f t="shared" si="0"/>
        <v>0</v>
      </c>
      <c r="O18" s="168"/>
      <c r="P18" s="9">
        <f t="shared" si="2"/>
        <v>0</v>
      </c>
      <c r="Q18" s="169">
        <f t="shared" si="3"/>
        <v>0</v>
      </c>
      <c r="R18" s="626">
        <v>0.26</v>
      </c>
      <c r="S18" s="57"/>
      <c r="T18" s="57"/>
      <c r="U18" s="57"/>
      <c r="V18" s="132"/>
      <c r="W18" s="166"/>
      <c r="X18" s="148">
        <v>23</v>
      </c>
      <c r="Y18" s="132"/>
      <c r="Z18" s="57"/>
      <c r="AA18" s="132"/>
      <c r="AF18" s="404">
        <f t="shared" si="4"/>
        <v>23</v>
      </c>
    </row>
    <row r="19" spans="1:33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9">
        <f>SUM(N3:N18)</f>
        <v>2406.04</v>
      </c>
      <c r="O19" s="169">
        <f>SUM(O3:O18)</f>
        <v>9497</v>
      </c>
      <c r="P19" s="9">
        <f>SUM(P3:P18)</f>
        <v>990.68630000000007</v>
      </c>
      <c r="Q19" s="169">
        <f>SUM(Q3:Q18)</f>
        <v>3769.9300000000003</v>
      </c>
      <c r="R19" s="133"/>
      <c r="S19" s="133"/>
      <c r="T19" s="133"/>
      <c r="U19" s="167"/>
      <c r="V19" s="167"/>
      <c r="W19" s="167"/>
      <c r="X19" s="167"/>
      <c r="Y19" s="132"/>
      <c r="Z19" s="132"/>
      <c r="AA19" s="132"/>
      <c r="AG19" s="245" t="s">
        <v>386</v>
      </c>
    </row>
    <row r="20" spans="1:33">
      <c r="N20" s="11"/>
      <c r="O20" s="132"/>
      <c r="P20" s="133"/>
      <c r="Q20" s="133"/>
      <c r="R20" s="133"/>
      <c r="S20" s="133"/>
      <c r="T20" s="133"/>
      <c r="U20" s="167"/>
      <c r="V20" s="167"/>
      <c r="W20" s="167"/>
      <c r="X20" s="167"/>
      <c r="Y20" s="132"/>
      <c r="Z20" s="132"/>
      <c r="AA20" s="132"/>
      <c r="AG20" s="111">
        <v>45536</v>
      </c>
    </row>
    <row r="21" spans="1:33" ht="15.75" customHeight="1">
      <c r="A21" s="807" t="s">
        <v>312</v>
      </c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137"/>
      <c r="P21" s="245" t="s">
        <v>389</v>
      </c>
      <c r="Q21" s="137"/>
      <c r="R21" s="137"/>
      <c r="S21" s="137"/>
      <c r="T21" s="137"/>
      <c r="U21" s="137"/>
    </row>
    <row r="22" spans="1:33">
      <c r="D22" s="8" t="s">
        <v>44</v>
      </c>
      <c r="E22" s="8" t="s">
        <v>45</v>
      </c>
      <c r="O22" s="492">
        <v>24178</v>
      </c>
      <c r="P22" s="111">
        <v>46065</v>
      </c>
    </row>
    <row r="23" spans="1:33" ht="12.75" customHeight="1">
      <c r="A23" s="809">
        <v>1998</v>
      </c>
      <c r="B23" s="317" t="s">
        <v>309</v>
      </c>
      <c r="D23" s="14"/>
      <c r="E23" s="151">
        <v>4.7</v>
      </c>
      <c r="F23" s="155">
        <f t="shared" ref="F23:F37" si="6">D23+E23</f>
        <v>4.7</v>
      </c>
      <c r="G23" s="118"/>
    </row>
    <row r="24" spans="1:33" ht="12.75" customHeight="1">
      <c r="A24" s="809"/>
      <c r="B24" s="317" t="s">
        <v>313</v>
      </c>
      <c r="D24" s="14"/>
      <c r="E24" s="151">
        <v>3.01</v>
      </c>
      <c r="F24" s="155">
        <f t="shared" si="6"/>
        <v>3.01</v>
      </c>
      <c r="G24" s="118"/>
    </row>
    <row r="25" spans="1:33" ht="12.75" customHeight="1">
      <c r="A25" s="809"/>
      <c r="B25" s="409" t="s">
        <v>124</v>
      </c>
      <c r="C25" s="349"/>
      <c r="D25" s="350"/>
      <c r="E25" s="348">
        <v>20.8</v>
      </c>
      <c r="F25" s="351">
        <f t="shared" ref="F25" si="7">D25+E25</f>
        <v>20.8</v>
      </c>
      <c r="G25" s="410">
        <f>SUM(F23:F25)</f>
        <v>28.51</v>
      </c>
    </row>
    <row r="26" spans="1:33" ht="12.75" customHeight="1">
      <c r="A26" s="809"/>
      <c r="B26" s="409" t="s">
        <v>73</v>
      </c>
      <c r="C26" s="349"/>
      <c r="D26" s="350">
        <v>22.11</v>
      </c>
      <c r="E26" s="348">
        <v>4.25</v>
      </c>
      <c r="F26" s="411">
        <f t="shared" ref="F26" si="8">D26+E26</f>
        <v>26.36</v>
      </c>
      <c r="G26" s="409"/>
    </row>
    <row r="27" spans="1:33" ht="12.75" customHeight="1">
      <c r="A27" s="809"/>
      <c r="B27" s="409" t="s">
        <v>85</v>
      </c>
      <c r="C27" s="409"/>
      <c r="D27" s="348">
        <v>3.99</v>
      </c>
      <c r="E27" s="348">
        <v>9.11</v>
      </c>
      <c r="F27" s="348">
        <f t="shared" si="6"/>
        <v>13.1</v>
      </c>
      <c r="G27" s="409"/>
      <c r="H27" s="8" t="s">
        <v>86</v>
      </c>
    </row>
    <row r="28" spans="1:33" ht="12.75" customHeight="1">
      <c r="A28" s="809"/>
      <c r="B28" s="409" t="s">
        <v>125</v>
      </c>
      <c r="C28" s="409"/>
      <c r="D28" s="348">
        <v>25.18</v>
      </c>
      <c r="E28" s="348">
        <v>4.84</v>
      </c>
      <c r="F28" s="348">
        <f t="shared" si="6"/>
        <v>30.02</v>
      </c>
      <c r="G28" s="409"/>
      <c r="H28" s="8" t="s">
        <v>126</v>
      </c>
    </row>
    <row r="29" spans="1:33" ht="12.75" customHeight="1">
      <c r="A29" s="809"/>
      <c r="B29" s="409" t="s">
        <v>87</v>
      </c>
      <c r="C29" s="409"/>
      <c r="D29" s="348">
        <v>5.72</v>
      </c>
      <c r="E29" s="348">
        <v>1.1000000000000001</v>
      </c>
      <c r="F29" s="348">
        <f t="shared" si="6"/>
        <v>6.82</v>
      </c>
      <c r="G29" s="409"/>
      <c r="H29" s="8" t="s">
        <v>90</v>
      </c>
    </row>
    <row r="30" spans="1:33" ht="12.75" customHeight="1" thickBot="1">
      <c r="A30" s="810"/>
      <c r="B30" s="327" t="s">
        <v>88</v>
      </c>
      <c r="C30" s="327"/>
      <c r="D30" s="329">
        <v>48.65</v>
      </c>
      <c r="E30" s="329">
        <v>9.35</v>
      </c>
      <c r="F30" s="329">
        <f t="shared" si="6"/>
        <v>58</v>
      </c>
      <c r="G30" s="344">
        <f>F30+F28+F29+F27</f>
        <v>107.94</v>
      </c>
      <c r="H30" s="8" t="s">
        <v>89</v>
      </c>
    </row>
    <row r="31" spans="1:33" ht="12.75" customHeight="1">
      <c r="A31" s="826">
        <v>1999</v>
      </c>
      <c r="B31" s="349" t="s">
        <v>344</v>
      </c>
      <c r="C31" s="349"/>
      <c r="D31" s="350">
        <v>10.3</v>
      </c>
      <c r="E31" s="350"/>
      <c r="F31" s="351">
        <f t="shared" ref="F31:F33" si="9">D31+E31</f>
        <v>10.3</v>
      </c>
      <c r="H31" s="8" t="s">
        <v>345</v>
      </c>
      <c r="N31" s="118"/>
      <c r="O31" s="118"/>
      <c r="P31" s="118"/>
      <c r="Q31" s="118"/>
      <c r="R31" s="118"/>
      <c r="S31" s="118"/>
      <c r="T31" s="118"/>
    </row>
    <row r="32" spans="1:33" ht="12.75" customHeight="1">
      <c r="A32" s="827"/>
      <c r="B32" s="349" t="s">
        <v>19</v>
      </c>
      <c r="C32" s="349"/>
      <c r="D32" s="350">
        <v>8.77</v>
      </c>
      <c r="E32" s="350"/>
      <c r="F32" s="351">
        <f t="shared" si="9"/>
        <v>8.77</v>
      </c>
      <c r="G32" s="412">
        <f>SUM(F31:F32)</f>
        <v>19.07</v>
      </c>
      <c r="H32" s="8" t="s">
        <v>346</v>
      </c>
      <c r="N32" s="118"/>
      <c r="O32" s="118"/>
      <c r="P32" s="118"/>
      <c r="Q32" s="118"/>
      <c r="R32" s="118"/>
      <c r="S32" s="118"/>
      <c r="T32" s="118"/>
    </row>
    <row r="33" spans="1:20" ht="12.75" customHeight="1">
      <c r="A33" s="827"/>
      <c r="B33" s="349" t="s">
        <v>364</v>
      </c>
      <c r="C33" s="349"/>
      <c r="D33" s="350"/>
      <c r="E33" s="350">
        <v>0.66</v>
      </c>
      <c r="F33" s="348">
        <f t="shared" si="9"/>
        <v>0.66</v>
      </c>
      <c r="G33" s="349"/>
      <c r="N33" s="118"/>
      <c r="O33" s="118"/>
      <c r="P33" s="118"/>
      <c r="Q33" s="118"/>
      <c r="R33" s="118"/>
      <c r="S33" s="118"/>
      <c r="T33" s="118"/>
    </row>
    <row r="34" spans="1:20" ht="12.75" customHeight="1" thickBot="1">
      <c r="A34" s="828"/>
      <c r="B34" s="328" t="s">
        <v>91</v>
      </c>
      <c r="C34" s="328"/>
      <c r="D34" s="325"/>
      <c r="E34" s="325">
        <v>3.74</v>
      </c>
      <c r="F34" s="329">
        <f t="shared" ref="F34" si="10">D34+E34</f>
        <v>3.74</v>
      </c>
      <c r="G34" s="344">
        <f>SUM(F33:F34)</f>
        <v>4.4000000000000004</v>
      </c>
      <c r="N34" s="118"/>
      <c r="O34" s="118"/>
      <c r="P34" s="118"/>
      <c r="Q34" s="118"/>
      <c r="R34" s="118"/>
      <c r="S34" s="118"/>
      <c r="T34" s="118"/>
    </row>
    <row r="35" spans="1:20" ht="12.75" customHeight="1">
      <c r="A35" s="809">
        <v>2000</v>
      </c>
      <c r="B35" s="349" t="s">
        <v>78</v>
      </c>
      <c r="C35" s="349"/>
      <c r="D35" s="350">
        <v>5.74</v>
      </c>
      <c r="E35" s="350">
        <v>1.1000000000000001</v>
      </c>
      <c r="F35" s="413">
        <f t="shared" si="6"/>
        <v>6.84</v>
      </c>
      <c r="G35" s="349"/>
      <c r="N35" s="118"/>
      <c r="O35" s="118"/>
      <c r="P35" s="118"/>
      <c r="Q35" s="118"/>
      <c r="R35" s="118"/>
      <c r="S35" s="118"/>
      <c r="T35" s="118"/>
    </row>
    <row r="36" spans="1:20" ht="12.75" customHeight="1" thickBot="1">
      <c r="A36" s="810"/>
      <c r="B36" s="328" t="s">
        <v>127</v>
      </c>
      <c r="C36" s="328"/>
      <c r="D36" s="325">
        <v>103</v>
      </c>
      <c r="E36" s="325">
        <v>19.809999999999999</v>
      </c>
      <c r="F36" s="414">
        <f t="shared" si="6"/>
        <v>122.81</v>
      </c>
      <c r="G36" s="328"/>
      <c r="N36" s="118"/>
    </row>
    <row r="37" spans="1:20" ht="12.75" customHeight="1" thickBot="1">
      <c r="A37" s="446">
        <v>2002</v>
      </c>
      <c r="B37" s="456" t="s">
        <v>406</v>
      </c>
      <c r="C37" s="346"/>
      <c r="D37" s="346">
        <v>0.03</v>
      </c>
      <c r="E37" s="346"/>
      <c r="F37" s="457">
        <f t="shared" si="6"/>
        <v>0.03</v>
      </c>
      <c r="G37" s="447"/>
      <c r="H37" s="8" t="s">
        <v>346</v>
      </c>
      <c r="N37" s="118"/>
    </row>
    <row r="38" spans="1:20" ht="12.75" customHeight="1" thickBot="1">
      <c r="A38" s="447">
        <v>2003</v>
      </c>
      <c r="B38" s="447"/>
      <c r="C38" s="447"/>
      <c r="D38" s="343"/>
      <c r="E38" s="343"/>
      <c r="F38" s="502"/>
      <c r="G38" s="447"/>
      <c r="N38" s="118"/>
    </row>
    <row r="39" spans="1:20" ht="12.75" customHeight="1" thickBot="1">
      <c r="A39" s="447">
        <v>2004</v>
      </c>
      <c r="B39" s="447"/>
      <c r="C39" s="447"/>
      <c r="D39" s="343"/>
      <c r="E39" s="343"/>
      <c r="F39" s="502"/>
      <c r="G39" s="447"/>
      <c r="N39" s="118"/>
    </row>
    <row r="40" spans="1:20" ht="12.75" customHeight="1" thickBot="1">
      <c r="A40" s="447">
        <v>2005</v>
      </c>
      <c r="B40" s="447"/>
      <c r="C40" s="447"/>
      <c r="D40" s="343"/>
      <c r="E40" s="343"/>
      <c r="F40" s="343"/>
      <c r="G40" s="447"/>
      <c r="N40" s="118"/>
    </row>
    <row r="41" spans="1:20">
      <c r="A41" s="806">
        <v>2006</v>
      </c>
      <c r="B41" s="148">
        <v>7093</v>
      </c>
      <c r="C41" s="14">
        <v>0.02</v>
      </c>
      <c r="D41" s="14"/>
      <c r="E41" s="150"/>
      <c r="F41" s="14"/>
      <c r="G41" s="14"/>
      <c r="H41" s="14"/>
      <c r="I41" s="14"/>
      <c r="J41" s="14"/>
      <c r="K41" s="14"/>
      <c r="L41" s="14"/>
      <c r="N41" s="118"/>
    </row>
    <row r="42" spans="1:20">
      <c r="A42" s="806"/>
      <c r="B42" s="148">
        <v>7095</v>
      </c>
      <c r="C42" s="14">
        <v>0.01</v>
      </c>
      <c r="D42" s="14"/>
      <c r="E42" s="14"/>
      <c r="F42" s="14"/>
    </row>
    <row r="43" spans="1:20">
      <c r="A43" s="806"/>
      <c r="B43" s="148">
        <v>7098</v>
      </c>
      <c r="C43" s="14">
        <v>0.01</v>
      </c>
      <c r="D43" s="14">
        <v>0.01</v>
      </c>
    </row>
    <row r="44" spans="1:20">
      <c r="A44" s="829">
        <v>2007</v>
      </c>
      <c r="B44" s="148" t="s">
        <v>128</v>
      </c>
      <c r="C44" s="14"/>
      <c r="D44" s="14">
        <v>49.26</v>
      </c>
      <c r="E44" s="14">
        <v>9.4700000000000006</v>
      </c>
      <c r="F44" s="154">
        <f>D44+E44</f>
        <v>58.73</v>
      </c>
      <c r="G44" s="14"/>
      <c r="H44" s="14"/>
      <c r="I44" s="14"/>
      <c r="J44" s="14"/>
      <c r="K44" s="14"/>
      <c r="L44" s="14"/>
      <c r="M44" s="14"/>
      <c r="N44" s="14"/>
    </row>
    <row r="45" spans="1:20">
      <c r="A45" s="829"/>
      <c r="B45" s="148" t="s">
        <v>129</v>
      </c>
      <c r="C45" s="14"/>
      <c r="D45" s="14">
        <v>49.08</v>
      </c>
      <c r="E45" s="14">
        <v>9.4700000000000006</v>
      </c>
      <c r="F45" s="154">
        <f>D45+E45</f>
        <v>58.55</v>
      </c>
      <c r="G45" s="149">
        <f>F44+F45</f>
        <v>117.28</v>
      </c>
      <c r="H45" s="14"/>
      <c r="I45" s="14"/>
      <c r="J45" s="14"/>
      <c r="K45" s="14"/>
      <c r="L45" s="14"/>
      <c r="M45" s="14"/>
      <c r="N45" s="14"/>
    </row>
    <row r="46" spans="1:20">
      <c r="A46" s="829"/>
      <c r="B46" s="148" t="s">
        <v>130</v>
      </c>
      <c r="C46" s="14"/>
      <c r="D46" s="153">
        <v>65.989999999999995</v>
      </c>
      <c r="E46" s="153">
        <v>12.69</v>
      </c>
      <c r="F46" s="154">
        <f>D46+E46</f>
        <v>78.679999999999993</v>
      </c>
      <c r="G46" s="149"/>
      <c r="H46" s="14"/>
      <c r="I46" s="14"/>
      <c r="J46" s="14"/>
      <c r="K46" s="14"/>
      <c r="L46" s="14"/>
      <c r="M46" s="14"/>
      <c r="N46" s="14"/>
    </row>
    <row r="47" spans="1:20">
      <c r="A47" s="829"/>
      <c r="B47" s="148" t="s">
        <v>147</v>
      </c>
      <c r="C47" s="14"/>
      <c r="D47" s="153">
        <v>0.17</v>
      </c>
      <c r="E47" s="153">
        <v>0.06</v>
      </c>
      <c r="F47" s="154">
        <f>D47+E47</f>
        <v>0.23</v>
      </c>
      <c r="G47" s="149"/>
      <c r="H47" s="14" t="s">
        <v>81</v>
      </c>
      <c r="I47" s="14"/>
      <c r="J47" s="14"/>
      <c r="K47" s="14"/>
      <c r="L47" s="14"/>
      <c r="M47" s="14"/>
      <c r="N47" s="14"/>
    </row>
    <row r="48" spans="1:20">
      <c r="A48" s="829"/>
      <c r="B48" s="148" t="s">
        <v>202</v>
      </c>
      <c r="C48" s="153"/>
      <c r="D48" s="153">
        <v>11.2</v>
      </c>
      <c r="E48" s="153">
        <v>2.15</v>
      </c>
      <c r="F48" s="154">
        <f t="shared" ref="F48" si="11">D48+E48</f>
        <v>13.35</v>
      </c>
      <c r="G48" s="149">
        <f>F46+F47+F48</f>
        <v>92.259999999999991</v>
      </c>
      <c r="H48" s="14"/>
      <c r="I48" s="14"/>
      <c r="J48" s="14"/>
      <c r="K48" s="14"/>
      <c r="L48" s="14"/>
      <c r="M48" s="14"/>
      <c r="N48" s="14"/>
    </row>
    <row r="49" spans="1:14">
      <c r="A49" s="829"/>
      <c r="B49" s="148" t="s">
        <v>131</v>
      </c>
      <c r="C49" s="14"/>
      <c r="D49" s="14">
        <v>42.9</v>
      </c>
      <c r="E49" s="14"/>
      <c r="F49" s="154">
        <f t="shared" ref="F49:F57" si="12">D49+E49</f>
        <v>42.9</v>
      </c>
      <c r="G49" s="149"/>
      <c r="H49" s="14"/>
      <c r="I49" s="14"/>
      <c r="J49" s="14"/>
      <c r="K49" s="14"/>
      <c r="L49" s="14"/>
      <c r="M49" s="14"/>
      <c r="N49" s="14"/>
    </row>
    <row r="50" spans="1:14">
      <c r="A50" s="829"/>
      <c r="B50" s="148" t="s">
        <v>132</v>
      </c>
      <c r="C50" s="14"/>
      <c r="D50" s="14">
        <v>42.9</v>
      </c>
      <c r="E50" s="14"/>
      <c r="F50" s="154">
        <f t="shared" ref="F50:F55" si="13">D50+E50</f>
        <v>42.9</v>
      </c>
      <c r="G50" s="149"/>
      <c r="H50" s="14"/>
      <c r="I50" s="14"/>
      <c r="J50" s="14"/>
      <c r="K50" s="14"/>
      <c r="L50" s="14"/>
      <c r="M50" s="14"/>
      <c r="N50" s="14"/>
    </row>
    <row r="51" spans="1:14">
      <c r="A51" s="829"/>
      <c r="B51" s="148" t="s">
        <v>149</v>
      </c>
      <c r="C51" s="153"/>
      <c r="D51" s="153">
        <v>13</v>
      </c>
      <c r="E51" s="153"/>
      <c r="F51" s="154">
        <f t="shared" ref="F51" si="14">D51+E51</f>
        <v>13</v>
      </c>
      <c r="G51" s="149">
        <f>F49+F50+F51</f>
        <v>98.8</v>
      </c>
      <c r="H51" s="14"/>
      <c r="I51" s="14"/>
      <c r="J51" s="14"/>
      <c r="K51" s="14"/>
      <c r="L51" s="14"/>
      <c r="M51" s="14"/>
      <c r="N51" s="14"/>
    </row>
    <row r="52" spans="1:14">
      <c r="A52" s="829"/>
      <c r="B52" s="148" t="s">
        <v>200</v>
      </c>
      <c r="C52" s="153"/>
      <c r="D52" s="153">
        <v>0.01</v>
      </c>
      <c r="E52" s="153">
        <v>0.57999999999999996</v>
      </c>
      <c r="F52" s="154">
        <f t="shared" si="13"/>
        <v>0.59</v>
      </c>
      <c r="G52" s="149"/>
      <c r="H52" s="14"/>
      <c r="I52" s="14"/>
      <c r="J52" s="14"/>
      <c r="K52" s="14"/>
      <c r="L52" s="14"/>
      <c r="M52" s="14"/>
      <c r="N52" s="14"/>
    </row>
    <row r="53" spans="1:14">
      <c r="A53" s="829"/>
      <c r="B53" s="148" t="s">
        <v>201</v>
      </c>
      <c r="C53" s="153"/>
      <c r="D53" s="153">
        <v>0.06</v>
      </c>
      <c r="E53" s="153">
        <v>0.7</v>
      </c>
      <c r="F53" s="154">
        <f t="shared" si="13"/>
        <v>0.76</v>
      </c>
      <c r="G53" s="149">
        <f>F52+F53</f>
        <v>1.35</v>
      </c>
      <c r="H53" s="14"/>
      <c r="I53" s="14"/>
      <c r="J53" s="14"/>
      <c r="K53" s="14"/>
      <c r="L53" s="14"/>
      <c r="M53" s="14"/>
      <c r="N53" s="14"/>
    </row>
    <row r="54" spans="1:14">
      <c r="A54" s="829"/>
      <c r="B54" s="148" t="s">
        <v>198</v>
      </c>
      <c r="C54" s="153"/>
      <c r="D54" s="153">
        <v>11.12</v>
      </c>
      <c r="E54" s="153">
        <v>2.13</v>
      </c>
      <c r="F54" s="154">
        <f t="shared" si="13"/>
        <v>13.25</v>
      </c>
      <c r="G54" s="149"/>
      <c r="H54" s="14"/>
      <c r="I54" s="14"/>
      <c r="J54" s="14"/>
      <c r="K54" s="14"/>
      <c r="L54" s="14"/>
      <c r="M54" s="14"/>
      <c r="N54" s="14"/>
    </row>
    <row r="55" spans="1:14">
      <c r="A55" s="829"/>
      <c r="B55" s="148" t="s">
        <v>199</v>
      </c>
      <c r="C55" s="153"/>
      <c r="D55" s="153">
        <v>17.66</v>
      </c>
      <c r="E55" s="153">
        <v>3.38</v>
      </c>
      <c r="F55" s="154">
        <f t="shared" si="13"/>
        <v>21.04</v>
      </c>
      <c r="G55" s="149"/>
      <c r="H55" s="14"/>
      <c r="I55" s="14"/>
      <c r="J55" s="14"/>
      <c r="K55" s="14"/>
      <c r="L55" s="14"/>
      <c r="M55" s="14"/>
      <c r="N55" s="14"/>
    </row>
    <row r="56" spans="1:14">
      <c r="A56" s="829"/>
      <c r="B56" s="148" t="s">
        <v>197</v>
      </c>
      <c r="C56" s="153"/>
      <c r="D56" s="153">
        <v>44.06</v>
      </c>
      <c r="E56" s="153">
        <v>8.4700000000000006</v>
      </c>
      <c r="F56" s="159">
        <f t="shared" si="12"/>
        <v>52.53</v>
      </c>
      <c r="G56" s="149">
        <f>F54+F55+F56</f>
        <v>86.82</v>
      </c>
      <c r="H56" s="14"/>
      <c r="I56" s="14"/>
      <c r="J56" s="14"/>
      <c r="K56" s="14"/>
      <c r="L56" s="14"/>
      <c r="M56" s="14"/>
      <c r="N56" s="14"/>
    </row>
    <row r="57" spans="1:14">
      <c r="A57" s="806">
        <v>2008</v>
      </c>
      <c r="B57" s="148" t="s">
        <v>196</v>
      </c>
      <c r="C57" s="153"/>
      <c r="D57" s="153"/>
      <c r="E57" s="161">
        <v>6.01</v>
      </c>
      <c r="F57" s="152">
        <f t="shared" si="12"/>
        <v>6.01</v>
      </c>
      <c r="G57" s="12"/>
    </row>
    <row r="58" spans="1:14">
      <c r="A58" s="806"/>
      <c r="B58" s="148" t="s">
        <v>95</v>
      </c>
      <c r="C58" s="153"/>
      <c r="D58" s="14">
        <v>87.84</v>
      </c>
      <c r="E58" s="8">
        <v>9.34</v>
      </c>
      <c r="F58" s="155">
        <f t="shared" ref="F58" si="15">D58+E58</f>
        <v>97.18</v>
      </c>
      <c r="G58" s="12"/>
    </row>
    <row r="59" spans="1:14">
      <c r="A59" s="806"/>
      <c r="B59" s="148" t="s">
        <v>194</v>
      </c>
      <c r="C59" s="153"/>
      <c r="D59" s="153"/>
      <c r="E59" s="161">
        <v>0.33</v>
      </c>
      <c r="F59" s="155">
        <f t="shared" ref="F59:F72" si="16">D59+E59</f>
        <v>0.33</v>
      </c>
      <c r="G59" s="12"/>
    </row>
    <row r="60" spans="1:14">
      <c r="A60" s="806"/>
      <c r="B60" s="148" t="s">
        <v>193</v>
      </c>
      <c r="C60" s="153"/>
      <c r="D60" s="153"/>
      <c r="E60" s="161">
        <v>3.58</v>
      </c>
      <c r="F60" s="155">
        <f t="shared" si="16"/>
        <v>3.58</v>
      </c>
      <c r="G60" s="12"/>
    </row>
    <row r="61" spans="1:14">
      <c r="A61" s="806"/>
      <c r="B61" s="148" t="s">
        <v>192</v>
      </c>
      <c r="C61" s="153"/>
      <c r="D61" s="153"/>
      <c r="E61" s="161">
        <v>1.57</v>
      </c>
      <c r="F61" s="155">
        <f t="shared" si="16"/>
        <v>1.57</v>
      </c>
      <c r="G61" s="149">
        <f>F58+F59+F60+F61</f>
        <v>102.66</v>
      </c>
    </row>
    <row r="62" spans="1:14">
      <c r="A62" s="806"/>
      <c r="B62" s="148" t="s">
        <v>191</v>
      </c>
      <c r="C62" s="153"/>
      <c r="D62" s="153">
        <v>20.54</v>
      </c>
      <c r="E62" s="161">
        <v>3.95</v>
      </c>
      <c r="F62" s="155">
        <f t="shared" si="16"/>
        <v>24.49</v>
      </c>
      <c r="G62" s="12"/>
    </row>
    <row r="63" spans="1:14">
      <c r="A63" s="806"/>
      <c r="B63" s="148" t="s">
        <v>97</v>
      </c>
      <c r="C63" s="153"/>
      <c r="D63" s="14">
        <v>0.39</v>
      </c>
      <c r="E63" s="8">
        <v>0.7</v>
      </c>
      <c r="F63" s="155">
        <f t="shared" ref="F63:F65" si="17">D63+E63</f>
        <v>1.0899999999999999</v>
      </c>
    </row>
    <row r="64" spans="1:14">
      <c r="A64" s="806"/>
      <c r="B64" s="148" t="s">
        <v>203</v>
      </c>
      <c r="C64" s="153"/>
      <c r="D64" s="153">
        <v>20.23</v>
      </c>
      <c r="E64" s="161">
        <v>5.43</v>
      </c>
      <c r="F64" s="155">
        <f t="shared" si="17"/>
        <v>25.66</v>
      </c>
      <c r="G64" s="149">
        <f>F62+F63+F64</f>
        <v>51.239999999999995</v>
      </c>
    </row>
    <row r="65" spans="1:8">
      <c r="A65" s="806"/>
      <c r="B65" s="148" t="s">
        <v>94</v>
      </c>
      <c r="C65" s="153"/>
      <c r="D65" s="14">
        <v>19.5</v>
      </c>
      <c r="E65" s="8">
        <v>3.75</v>
      </c>
      <c r="F65" s="155">
        <f t="shared" si="17"/>
        <v>23.25</v>
      </c>
    </row>
    <row r="66" spans="1:8">
      <c r="A66" s="806"/>
      <c r="B66" s="148" t="s">
        <v>96</v>
      </c>
      <c r="C66" s="14"/>
      <c r="D66" s="14">
        <v>21.85</v>
      </c>
      <c r="F66" s="155">
        <f t="shared" si="16"/>
        <v>21.85</v>
      </c>
      <c r="G66" s="149">
        <f>F65+F66</f>
        <v>45.1</v>
      </c>
    </row>
    <row r="67" spans="1:8">
      <c r="A67" s="806"/>
      <c r="B67" s="57" t="s">
        <v>99</v>
      </c>
      <c r="C67" s="14"/>
      <c r="D67" s="14">
        <v>28.51</v>
      </c>
      <c r="F67" s="152">
        <f t="shared" si="16"/>
        <v>28.51</v>
      </c>
    </row>
    <row r="68" spans="1:8">
      <c r="A68" s="806"/>
      <c r="B68" s="57" t="s">
        <v>100</v>
      </c>
      <c r="C68" s="14"/>
      <c r="D68" s="14">
        <v>11.21</v>
      </c>
      <c r="E68" s="8">
        <v>2.16</v>
      </c>
      <c r="F68" s="152">
        <f t="shared" si="16"/>
        <v>13.370000000000001</v>
      </c>
    </row>
    <row r="69" spans="1:8">
      <c r="A69" s="808">
        <v>2009</v>
      </c>
      <c r="B69" s="57" t="s">
        <v>122</v>
      </c>
      <c r="C69" s="14"/>
      <c r="D69" s="14">
        <v>108.88</v>
      </c>
      <c r="F69" s="152">
        <f t="shared" si="16"/>
        <v>108.88</v>
      </c>
      <c r="H69" s="8" t="s">
        <v>123</v>
      </c>
    </row>
    <row r="70" spans="1:8">
      <c r="A70" s="808"/>
      <c r="B70" s="57" t="s">
        <v>103</v>
      </c>
      <c r="C70" s="14"/>
      <c r="D70" s="14">
        <v>4.68</v>
      </c>
      <c r="E70" s="8">
        <v>0.9</v>
      </c>
      <c r="F70" s="152">
        <f t="shared" si="16"/>
        <v>5.58</v>
      </c>
    </row>
    <row r="71" spans="1:8">
      <c r="A71" s="808"/>
      <c r="B71" s="57" t="s">
        <v>102</v>
      </c>
      <c r="C71" s="14"/>
      <c r="D71" s="14">
        <v>138.54</v>
      </c>
      <c r="E71" s="8">
        <v>26.64</v>
      </c>
      <c r="F71" s="152">
        <f t="shared" si="16"/>
        <v>165.18</v>
      </c>
    </row>
    <row r="72" spans="1:8">
      <c r="A72" s="806">
        <v>2010</v>
      </c>
      <c r="B72" s="148" t="s">
        <v>189</v>
      </c>
      <c r="C72" s="153"/>
      <c r="D72" s="153">
        <v>240.46</v>
      </c>
      <c r="E72" s="161">
        <v>46.24</v>
      </c>
      <c r="F72" s="150">
        <f t="shared" si="16"/>
        <v>286.7</v>
      </c>
      <c r="H72" s="8" t="s">
        <v>190</v>
      </c>
    </row>
    <row r="73" spans="1:8">
      <c r="A73" s="806"/>
      <c r="B73" s="148" t="s">
        <v>188</v>
      </c>
      <c r="C73" s="153"/>
      <c r="D73" s="153">
        <v>3.25</v>
      </c>
      <c r="E73" s="161">
        <v>0.63</v>
      </c>
      <c r="F73" s="154">
        <f t="shared" ref="F73" si="18">D73+E73</f>
        <v>3.88</v>
      </c>
    </row>
    <row r="74" spans="1:8">
      <c r="A74" s="806"/>
      <c r="B74" s="57" t="s">
        <v>104</v>
      </c>
      <c r="C74" s="14"/>
      <c r="D74" s="14">
        <v>7.3</v>
      </c>
      <c r="E74" s="8">
        <v>1.4</v>
      </c>
      <c r="F74" s="154">
        <f t="shared" ref="F74" si="19">D74+E74</f>
        <v>8.6999999999999993</v>
      </c>
      <c r="G74" s="149">
        <f>F73+F74</f>
        <v>12.579999999999998</v>
      </c>
    </row>
    <row r="75" spans="1:8">
      <c r="A75" s="806"/>
      <c r="B75" s="57" t="s">
        <v>105</v>
      </c>
      <c r="C75" s="14"/>
      <c r="D75" s="14">
        <v>6.76</v>
      </c>
      <c r="F75" s="150">
        <f t="shared" ref="F75:F92" si="20">D75+E75</f>
        <v>6.76</v>
      </c>
    </row>
    <row r="76" spans="1:8">
      <c r="A76" s="806"/>
      <c r="B76" s="148" t="s">
        <v>186</v>
      </c>
      <c r="C76" s="14"/>
      <c r="D76" s="14">
        <v>567.45000000000005</v>
      </c>
      <c r="E76" s="8">
        <v>109.13</v>
      </c>
      <c r="F76" s="150">
        <f t="shared" si="20"/>
        <v>676.58</v>
      </c>
    </row>
    <row r="77" spans="1:8">
      <c r="A77" s="806"/>
      <c r="B77" s="57" t="s">
        <v>106</v>
      </c>
      <c r="C77" s="14"/>
      <c r="D77" s="14">
        <v>44.06</v>
      </c>
      <c r="E77" s="8">
        <v>8.4700000000000006</v>
      </c>
      <c r="F77" s="14">
        <f t="shared" si="20"/>
        <v>52.53</v>
      </c>
      <c r="H77" s="8" t="s">
        <v>107</v>
      </c>
    </row>
    <row r="78" spans="1:8">
      <c r="A78" s="806"/>
      <c r="B78" s="57" t="s">
        <v>108</v>
      </c>
      <c r="C78" s="14"/>
      <c r="D78" s="14">
        <v>88.16</v>
      </c>
      <c r="E78" s="8">
        <v>16.95</v>
      </c>
      <c r="F78" s="14">
        <f t="shared" ref="F78" si="21">D78+E78</f>
        <v>105.11</v>
      </c>
      <c r="G78" s="149"/>
      <c r="H78" s="8" t="s">
        <v>156</v>
      </c>
    </row>
    <row r="79" spans="1:8">
      <c r="A79" s="806"/>
      <c r="B79" s="148" t="s">
        <v>185</v>
      </c>
      <c r="C79" s="153"/>
      <c r="D79" s="153">
        <v>0.4</v>
      </c>
      <c r="E79" s="161"/>
      <c r="F79" s="154">
        <f t="shared" si="20"/>
        <v>0.4</v>
      </c>
      <c r="G79" s="149">
        <f>F77+F78+F79</f>
        <v>158.04</v>
      </c>
    </row>
    <row r="80" spans="1:8">
      <c r="A80" s="808">
        <v>2011</v>
      </c>
      <c r="B80" s="148" t="s">
        <v>174</v>
      </c>
      <c r="C80" s="153"/>
      <c r="D80" s="153"/>
      <c r="E80" s="161">
        <v>2.72</v>
      </c>
      <c r="F80" s="154">
        <f t="shared" si="20"/>
        <v>2.72</v>
      </c>
    </row>
    <row r="81" spans="1:13">
      <c r="A81" s="808"/>
      <c r="B81" s="148" t="s">
        <v>173</v>
      </c>
      <c r="C81" s="153"/>
      <c r="D81" s="153">
        <v>0.26</v>
      </c>
      <c r="E81" s="161"/>
      <c r="F81" s="154">
        <f t="shared" si="20"/>
        <v>0.26</v>
      </c>
      <c r="G81" s="149">
        <f>F80+F81</f>
        <v>2.9800000000000004</v>
      </c>
    </row>
    <row r="82" spans="1:13">
      <c r="A82" s="808"/>
      <c r="B82" s="148" t="s">
        <v>175</v>
      </c>
      <c r="C82" s="153"/>
      <c r="D82" s="153">
        <v>1.05</v>
      </c>
      <c r="E82" s="161"/>
      <c r="F82" s="150">
        <f t="shared" si="20"/>
        <v>1.05</v>
      </c>
      <c r="H82" s="8" t="s">
        <v>176</v>
      </c>
    </row>
    <row r="83" spans="1:13">
      <c r="A83" s="808"/>
      <c r="B83" s="148" t="s">
        <v>116</v>
      </c>
      <c r="C83" s="153"/>
      <c r="D83" s="153"/>
      <c r="E83" s="161">
        <v>0.12</v>
      </c>
      <c r="F83" s="150">
        <f t="shared" ref="F83" si="22">D83+E83</f>
        <v>0.12</v>
      </c>
    </row>
    <row r="84" spans="1:13">
      <c r="A84" s="808"/>
      <c r="B84" s="148" t="s">
        <v>171</v>
      </c>
      <c r="C84" s="153"/>
      <c r="D84" s="153">
        <v>0.02</v>
      </c>
      <c r="E84" s="161">
        <v>0.01</v>
      </c>
      <c r="F84" s="154">
        <f t="shared" si="20"/>
        <v>0.03</v>
      </c>
    </row>
    <row r="85" spans="1:13">
      <c r="A85" s="808"/>
      <c r="B85" s="148" t="s">
        <v>170</v>
      </c>
      <c r="C85" s="153"/>
      <c r="D85" s="153">
        <v>7.0000000000000007E-2</v>
      </c>
      <c r="E85" s="161">
        <v>0.01</v>
      </c>
      <c r="F85" s="154">
        <f t="shared" ref="F85" si="23">D85+E85</f>
        <v>0.08</v>
      </c>
    </row>
    <row r="86" spans="1:13">
      <c r="A86" s="808"/>
      <c r="B86" s="148" t="s">
        <v>169</v>
      </c>
      <c r="C86" s="153"/>
      <c r="D86" s="153">
        <v>7.0000000000000007E-2</v>
      </c>
      <c r="E86" s="161">
        <v>0.01</v>
      </c>
      <c r="F86" s="154">
        <f t="shared" si="20"/>
        <v>0.08</v>
      </c>
      <c r="G86" s="149">
        <f>F85+F86+F84</f>
        <v>0.19</v>
      </c>
    </row>
    <row r="87" spans="1:13">
      <c r="A87" s="129">
        <v>2012</v>
      </c>
      <c r="B87" s="148" t="s">
        <v>168</v>
      </c>
      <c r="C87" s="153"/>
      <c r="D87" s="153">
        <v>1.6</v>
      </c>
      <c r="E87" s="161">
        <v>0.32</v>
      </c>
      <c r="F87" s="150">
        <f t="shared" si="20"/>
        <v>1.9200000000000002</v>
      </c>
    </row>
    <row r="88" spans="1:13">
      <c r="A88" s="129"/>
      <c r="B88" s="148" t="s">
        <v>172</v>
      </c>
      <c r="C88" s="153"/>
      <c r="D88" s="153"/>
      <c r="E88" s="161">
        <v>19.690000000000001</v>
      </c>
      <c r="F88" s="150">
        <f t="shared" si="20"/>
        <v>19.690000000000001</v>
      </c>
    </row>
    <row r="89" spans="1:13">
      <c r="A89" s="129"/>
      <c r="B89" s="148" t="s">
        <v>167</v>
      </c>
      <c r="C89" s="153"/>
      <c r="D89" s="153"/>
      <c r="E89" s="161">
        <v>0.05</v>
      </c>
      <c r="F89" s="150">
        <f t="shared" si="20"/>
        <v>0.05</v>
      </c>
    </row>
    <row r="90" spans="1:13">
      <c r="B90" s="57"/>
      <c r="C90" s="14"/>
      <c r="D90" s="14"/>
      <c r="F90" s="14">
        <f t="shared" si="20"/>
        <v>0</v>
      </c>
    </row>
    <row r="91" spans="1:13">
      <c r="C91" s="14"/>
      <c r="D91" s="14"/>
      <c r="F91" s="14">
        <f t="shared" si="20"/>
        <v>0</v>
      </c>
    </row>
    <row r="92" spans="1:13">
      <c r="D92" s="14"/>
      <c r="F92" s="14">
        <f t="shared" si="20"/>
        <v>0</v>
      </c>
    </row>
    <row r="93" spans="1:13">
      <c r="B93" s="51"/>
      <c r="C93" s="51"/>
      <c r="D93" s="156"/>
      <c r="E93" s="156"/>
      <c r="F93" s="156"/>
      <c r="G93" s="51"/>
      <c r="H93" s="1"/>
      <c r="I93" s="1"/>
      <c r="J93" s="1"/>
      <c r="K93" s="1"/>
      <c r="L93" s="1"/>
      <c r="M93" s="1"/>
    </row>
    <row r="94" spans="1:13">
      <c r="D94" s="14"/>
    </row>
  </sheetData>
  <mergeCells count="23">
    <mergeCell ref="A35:A36"/>
    <mergeCell ref="A80:A86"/>
    <mergeCell ref="M1:M2"/>
    <mergeCell ref="A31:A34"/>
    <mergeCell ref="A57:A68"/>
    <mergeCell ref="A69:A71"/>
    <mergeCell ref="A41:A43"/>
    <mergeCell ref="A23:A30"/>
    <mergeCell ref="A21:N21"/>
    <mergeCell ref="A1:A2"/>
    <mergeCell ref="B1:B2"/>
    <mergeCell ref="C1:C2"/>
    <mergeCell ref="D1:D2"/>
    <mergeCell ref="E1:E2"/>
    <mergeCell ref="A72:A79"/>
    <mergeCell ref="A44:A56"/>
    <mergeCell ref="K1:K2"/>
    <mergeCell ref="L1:L2"/>
    <mergeCell ref="H1:H2"/>
    <mergeCell ref="I1:I2"/>
    <mergeCell ref="F1:F2"/>
    <mergeCell ref="G1:G2"/>
    <mergeCell ref="J1:J2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C17"/>
  <sheetViews>
    <sheetView workbookViewId="0">
      <selection activeCell="O11" sqref="O11"/>
    </sheetView>
  </sheetViews>
  <sheetFormatPr defaultRowHeight="12.75"/>
  <cols>
    <col min="1" max="1" width="5" style="8" bestFit="1" customWidth="1"/>
    <col min="2" max="3" width="5.6640625" style="8" bestFit="1" customWidth="1"/>
    <col min="4" max="4" width="6.44140625" style="8" bestFit="1" customWidth="1"/>
    <col min="5" max="10" width="5.6640625" style="8" bestFit="1" customWidth="1"/>
    <col min="11" max="13" width="6.44140625" style="8" bestFit="1" customWidth="1"/>
    <col min="14" max="14" width="7.21875" style="8" bestFit="1" customWidth="1"/>
    <col min="15" max="15" width="7.44140625" style="8" bestFit="1" customWidth="1"/>
    <col min="16" max="16" width="4.33203125" style="8" customWidth="1"/>
    <col min="17" max="17" width="5.21875" style="8" bestFit="1" customWidth="1"/>
    <col min="18" max="18" width="4.44140625" style="8" bestFit="1" customWidth="1"/>
    <col min="19" max="19" width="5.21875" style="8" bestFit="1" customWidth="1"/>
    <col min="20" max="20" width="4.44140625" style="8" bestFit="1" customWidth="1"/>
    <col min="21" max="21" width="3.6640625" style="8" bestFit="1" customWidth="1"/>
    <col min="22" max="28" width="4.44140625" style="8" bestFit="1" customWidth="1"/>
    <col min="29" max="16384" width="8.88671875" style="8"/>
  </cols>
  <sheetData>
    <row r="1" spans="1:29" ht="15" customHeight="1" thickBot="1">
      <c r="A1" s="142"/>
      <c r="B1" s="124" t="s">
        <v>18</v>
      </c>
      <c r="C1" s="126" t="s">
        <v>19</v>
      </c>
      <c r="D1" s="124" t="s">
        <v>20</v>
      </c>
      <c r="E1" s="125" t="s">
        <v>21</v>
      </c>
      <c r="F1" s="124" t="s">
        <v>2</v>
      </c>
      <c r="G1" s="126" t="s">
        <v>22</v>
      </c>
      <c r="H1" s="124" t="s">
        <v>23</v>
      </c>
      <c r="I1" s="125" t="s">
        <v>24</v>
      </c>
      <c r="J1" s="124" t="s">
        <v>25</v>
      </c>
      <c r="K1" s="126" t="s">
        <v>26</v>
      </c>
      <c r="L1" s="124" t="s">
        <v>27</v>
      </c>
      <c r="M1" s="125" t="s">
        <v>28</v>
      </c>
      <c r="N1" s="143" t="s">
        <v>16</v>
      </c>
      <c r="O1" s="140" t="s">
        <v>54</v>
      </c>
      <c r="Q1" s="144">
        <v>1</v>
      </c>
      <c r="R1" s="144">
        <v>2</v>
      </c>
      <c r="S1" s="8">
        <v>3</v>
      </c>
      <c r="T1" s="8">
        <v>4</v>
      </c>
      <c r="U1" s="8">
        <v>5</v>
      </c>
      <c r="V1" s="8">
        <v>6</v>
      </c>
      <c r="W1" s="8">
        <v>7</v>
      </c>
      <c r="X1" s="8">
        <v>8</v>
      </c>
      <c r="Y1" s="8">
        <v>9</v>
      </c>
      <c r="Z1" s="8">
        <v>10</v>
      </c>
      <c r="AA1" s="8">
        <v>11</v>
      </c>
      <c r="AB1" s="8">
        <v>12</v>
      </c>
    </row>
    <row r="2" spans="1:29">
      <c r="A2" s="15">
        <v>1998</v>
      </c>
      <c r="B2" s="114"/>
      <c r="C2" s="114"/>
      <c r="D2" s="114"/>
      <c r="E2" s="114"/>
      <c r="F2" s="114"/>
      <c r="G2" s="114"/>
      <c r="H2" s="114"/>
      <c r="I2" s="115"/>
      <c r="J2" s="115"/>
      <c r="K2" s="115">
        <v>17.11</v>
      </c>
      <c r="L2" s="115">
        <v>15.14</v>
      </c>
      <c r="M2" s="115">
        <v>21.13</v>
      </c>
      <c r="N2" s="115">
        <f>SUM(B2:M2)</f>
        <v>53.379999999999995</v>
      </c>
      <c r="O2" s="421">
        <f>AC2</f>
        <v>630</v>
      </c>
      <c r="P2" s="14"/>
      <c r="Q2" s="422"/>
      <c r="R2" s="422"/>
      <c r="S2" s="423"/>
      <c r="T2" s="424"/>
      <c r="U2" s="424"/>
      <c r="V2" s="424"/>
      <c r="W2" s="424"/>
      <c r="Z2" s="8">
        <v>206</v>
      </c>
      <c r="AA2" s="8">
        <v>179</v>
      </c>
      <c r="AB2" s="8">
        <v>245</v>
      </c>
      <c r="AC2" s="404">
        <f>SUM(Q2:AB2)</f>
        <v>630</v>
      </c>
    </row>
    <row r="3" spans="1:29">
      <c r="A3" s="7">
        <v>1999</v>
      </c>
      <c r="B3" s="9">
        <v>8.98</v>
      </c>
      <c r="C3" s="9"/>
      <c r="D3" s="9">
        <v>24.56</v>
      </c>
      <c r="E3" s="9"/>
      <c r="F3" s="9"/>
      <c r="G3" s="9">
        <v>2.0499999999999998</v>
      </c>
      <c r="H3" s="9">
        <v>4.67</v>
      </c>
      <c r="I3" s="9">
        <v>1.76</v>
      </c>
      <c r="J3" s="9">
        <v>0.32</v>
      </c>
      <c r="K3" s="9"/>
      <c r="L3" s="9"/>
      <c r="M3" s="9"/>
      <c r="N3" s="115">
        <f>SUM(B3:M3)</f>
        <v>42.339999999999996</v>
      </c>
      <c r="O3" s="421">
        <f t="shared" ref="O3:O8" si="0">AC3</f>
        <v>461</v>
      </c>
      <c r="P3" s="14"/>
      <c r="Q3" s="57">
        <v>101</v>
      </c>
      <c r="R3" s="57"/>
      <c r="S3" s="57">
        <v>270</v>
      </c>
      <c r="T3" s="57"/>
      <c r="U3" s="57"/>
      <c r="V3" s="57">
        <v>21</v>
      </c>
      <c r="W3" s="57">
        <v>48</v>
      </c>
      <c r="X3" s="57">
        <v>18</v>
      </c>
      <c r="Y3" s="57">
        <v>3</v>
      </c>
      <c r="Z3" s="57"/>
      <c r="AA3" s="57"/>
      <c r="AB3" s="57"/>
      <c r="AC3" s="404">
        <f>SUM(Q3:AB3)</f>
        <v>461</v>
      </c>
    </row>
    <row r="4" spans="1:29">
      <c r="A4" s="7">
        <v>2000</v>
      </c>
      <c r="B4" s="9"/>
      <c r="C4" s="9"/>
      <c r="D4" s="9"/>
      <c r="E4" s="9"/>
      <c r="F4" s="9"/>
      <c r="G4" s="9">
        <v>0.32</v>
      </c>
      <c r="H4" s="9"/>
      <c r="I4" s="9"/>
      <c r="J4" s="9"/>
      <c r="K4" s="9"/>
      <c r="L4" s="9"/>
      <c r="M4" s="9"/>
      <c r="N4" s="115">
        <f>SUM(B4:M4)</f>
        <v>0.32</v>
      </c>
      <c r="O4" s="421">
        <f t="shared" si="0"/>
        <v>3</v>
      </c>
      <c r="P4" s="14"/>
      <c r="Q4" s="57"/>
      <c r="R4" s="57"/>
      <c r="S4" s="57"/>
      <c r="T4" s="57"/>
      <c r="U4" s="57"/>
      <c r="V4" s="57">
        <v>3</v>
      </c>
      <c r="W4" s="57"/>
      <c r="X4" s="57"/>
      <c r="Y4" s="57"/>
      <c r="Z4" s="57"/>
      <c r="AA4" s="57"/>
      <c r="AB4" s="57"/>
      <c r="AC4" s="404">
        <f t="shared" ref="AC4:AC8" si="1">SUM(Q4:AB4)</f>
        <v>3</v>
      </c>
    </row>
    <row r="5" spans="1:29">
      <c r="A5" s="7">
        <v>2001</v>
      </c>
      <c r="B5" s="9">
        <v>1.6</v>
      </c>
      <c r="C5" s="9"/>
      <c r="D5" s="9"/>
      <c r="E5" s="9">
        <v>6.71</v>
      </c>
      <c r="F5" s="9"/>
      <c r="G5" s="9"/>
      <c r="H5" s="9"/>
      <c r="I5" s="9">
        <v>1.35</v>
      </c>
      <c r="J5" s="9"/>
      <c r="K5" s="9"/>
      <c r="L5" s="9">
        <v>6.37</v>
      </c>
      <c r="M5" s="9">
        <v>2.85</v>
      </c>
      <c r="N5" s="115">
        <f>SUM(B5:M5)</f>
        <v>18.880000000000003</v>
      </c>
      <c r="O5" s="421">
        <f t="shared" si="0"/>
        <v>139</v>
      </c>
      <c r="P5" s="14"/>
      <c r="Q5" s="57">
        <v>13</v>
      </c>
      <c r="R5" s="57"/>
      <c r="S5" s="57"/>
      <c r="T5" s="57">
        <v>51</v>
      </c>
      <c r="U5" s="57"/>
      <c r="V5" s="57"/>
      <c r="W5" s="57"/>
      <c r="X5" s="57">
        <v>10</v>
      </c>
      <c r="Y5" s="57"/>
      <c r="Z5" s="57"/>
      <c r="AA5" s="57">
        <v>45</v>
      </c>
      <c r="AB5" s="57">
        <v>20</v>
      </c>
      <c r="AC5" s="404">
        <f t="shared" si="1"/>
        <v>139</v>
      </c>
    </row>
    <row r="6" spans="1:29">
      <c r="A6" s="7">
        <v>2002</v>
      </c>
      <c r="B6" s="9">
        <v>3.26</v>
      </c>
      <c r="C6" s="9">
        <v>0.96</v>
      </c>
      <c r="D6" s="9">
        <v>12.92</v>
      </c>
      <c r="E6" s="9"/>
      <c r="F6" s="9"/>
      <c r="G6" s="9"/>
      <c r="H6" s="9">
        <v>6.25</v>
      </c>
      <c r="I6" s="9">
        <v>0.32</v>
      </c>
      <c r="J6" s="9">
        <v>1.6</v>
      </c>
      <c r="K6" s="9">
        <v>5.36</v>
      </c>
      <c r="L6" s="9">
        <v>5.36</v>
      </c>
      <c r="M6" s="9">
        <v>6.84</v>
      </c>
      <c r="N6" s="115">
        <f t="shared" ref="N6:N7" si="2">SUM(B6:M6)</f>
        <v>42.870000000000005</v>
      </c>
      <c r="O6" s="421">
        <f t="shared" si="0"/>
        <v>282</v>
      </c>
      <c r="P6" s="14"/>
      <c r="Q6" s="57">
        <v>23</v>
      </c>
      <c r="R6" s="57">
        <v>7</v>
      </c>
      <c r="S6" s="57">
        <v>88</v>
      </c>
      <c r="T6" s="57"/>
      <c r="U6" s="57"/>
      <c r="V6" s="57"/>
      <c r="W6" s="57">
        <v>41</v>
      </c>
      <c r="X6" s="57">
        <v>2</v>
      </c>
      <c r="Y6" s="57">
        <v>10</v>
      </c>
      <c r="Z6" s="57">
        <v>34</v>
      </c>
      <c r="AA6" s="57">
        <v>34</v>
      </c>
      <c r="AB6" s="57">
        <v>43</v>
      </c>
      <c r="AC6" s="404">
        <f t="shared" si="1"/>
        <v>282</v>
      </c>
    </row>
    <row r="7" spans="1:29">
      <c r="A7" s="7">
        <v>2003</v>
      </c>
      <c r="B7" s="9">
        <v>0.64</v>
      </c>
      <c r="C7" s="9"/>
      <c r="D7" s="9">
        <v>5.85</v>
      </c>
      <c r="E7" s="9">
        <v>5.6</v>
      </c>
      <c r="F7" s="9"/>
      <c r="G7" s="9">
        <v>0.2</v>
      </c>
      <c r="H7" s="9"/>
      <c r="I7" s="9"/>
      <c r="J7" s="9"/>
      <c r="K7" s="9"/>
      <c r="L7" s="9"/>
      <c r="M7" s="9"/>
      <c r="N7" s="115">
        <f t="shared" si="2"/>
        <v>12.29</v>
      </c>
      <c r="O7" s="421">
        <f t="shared" si="0"/>
        <v>75</v>
      </c>
      <c r="P7" s="14"/>
      <c r="Q7" s="57">
        <v>4</v>
      </c>
      <c r="R7" s="57"/>
      <c r="S7" s="57">
        <v>36</v>
      </c>
      <c r="T7" s="57">
        <v>34</v>
      </c>
      <c r="U7" s="57"/>
      <c r="V7" s="57">
        <v>1</v>
      </c>
      <c r="W7" s="57"/>
      <c r="X7" s="57"/>
      <c r="Y7" s="57"/>
      <c r="Z7" s="57"/>
      <c r="AA7" s="57"/>
      <c r="AB7" s="57"/>
      <c r="AC7" s="404">
        <f t="shared" si="1"/>
        <v>75</v>
      </c>
    </row>
    <row r="8" spans="1:29">
      <c r="A8" s="7">
        <v>2004</v>
      </c>
      <c r="B8" s="9"/>
      <c r="C8" s="9"/>
      <c r="D8" s="9"/>
      <c r="E8" s="9">
        <v>1.28</v>
      </c>
      <c r="F8" s="9"/>
      <c r="G8" s="9">
        <v>0.47</v>
      </c>
      <c r="H8" s="9"/>
      <c r="I8" s="9"/>
      <c r="J8" s="9"/>
      <c r="K8" s="9">
        <v>0.44</v>
      </c>
      <c r="L8" s="9"/>
      <c r="M8" s="9"/>
      <c r="N8" s="115">
        <f t="shared" ref="N8" si="3">SUM(B8:M8)</f>
        <v>2.19</v>
      </c>
      <c r="O8" s="421">
        <f t="shared" si="0"/>
        <v>12</v>
      </c>
      <c r="P8" s="14"/>
      <c r="Q8" s="57"/>
      <c r="R8" s="57"/>
      <c r="S8" s="57"/>
      <c r="T8" s="57">
        <v>7</v>
      </c>
      <c r="U8" s="57"/>
      <c r="V8" s="57">
        <v>3</v>
      </c>
      <c r="W8" s="57"/>
      <c r="X8" s="57"/>
      <c r="Y8" s="57"/>
      <c r="Z8" s="57">
        <v>2</v>
      </c>
      <c r="AA8" s="57"/>
      <c r="AB8" s="57"/>
      <c r="AC8" s="404">
        <f t="shared" si="1"/>
        <v>12</v>
      </c>
    </row>
    <row r="9" spans="1:29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9">
        <f>SUM(N2:N8)</f>
        <v>172.26999999999998</v>
      </c>
      <c r="O9" s="169">
        <f>SUM(O2:O8)</f>
        <v>1602</v>
      </c>
    </row>
    <row r="10" spans="1:29">
      <c r="O10" s="492">
        <v>3898</v>
      </c>
    </row>
    <row r="11" spans="1:29">
      <c r="N11" s="111">
        <v>46065</v>
      </c>
      <c r="O11" s="245" t="s">
        <v>389</v>
      </c>
    </row>
    <row r="12" spans="1:29">
      <c r="A12" s="807" t="s">
        <v>282</v>
      </c>
      <c r="B12" s="807"/>
      <c r="C12" s="807"/>
      <c r="D12" s="807"/>
      <c r="E12" s="807"/>
      <c r="F12" s="807"/>
      <c r="G12" s="807"/>
      <c r="H12" s="807"/>
      <c r="I12" s="807"/>
      <c r="J12" s="807"/>
      <c r="K12" s="807"/>
      <c r="L12" s="807"/>
      <c r="M12" s="807"/>
      <c r="N12" s="807"/>
      <c r="O12" s="137"/>
      <c r="P12" s="145" t="s">
        <v>550</v>
      </c>
      <c r="Q12" s="137"/>
      <c r="R12" s="137"/>
    </row>
    <row r="16" spans="1:29">
      <c r="K16" s="14"/>
    </row>
    <row r="17" spans="7:7">
      <c r="G17" s="14"/>
    </row>
  </sheetData>
  <mergeCells count="1">
    <mergeCell ref="A12: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48"/>
  <sheetViews>
    <sheetView topLeftCell="F1" workbookViewId="0">
      <selection activeCell="A24" sqref="A24:S24"/>
    </sheetView>
  </sheetViews>
  <sheetFormatPr defaultRowHeight="12.75"/>
  <cols>
    <col min="1" max="1" width="3.88671875" style="8" bestFit="1" customWidth="1"/>
    <col min="2" max="3" width="7" style="8" bestFit="1" customWidth="1"/>
    <col min="4" max="4" width="8.109375" style="8" bestFit="1" customWidth="1"/>
    <col min="5" max="5" width="7.6640625" style="8" customWidth="1"/>
    <col min="6" max="6" width="8.109375" style="8" bestFit="1" customWidth="1"/>
    <col min="7" max="7" width="7" style="8" bestFit="1" customWidth="1"/>
    <col min="8" max="8" width="8.109375" style="8" bestFit="1" customWidth="1"/>
    <col min="9" max="9" width="7" style="8" bestFit="1" customWidth="1"/>
    <col min="10" max="10" width="8.109375" style="8" bestFit="1" customWidth="1"/>
    <col min="11" max="11" width="7" style="8" bestFit="1" customWidth="1"/>
    <col min="12" max="12" width="8.109375" style="8" bestFit="1" customWidth="1"/>
    <col min="13" max="13" width="7.88671875" style="8" bestFit="1" customWidth="1"/>
    <col min="14" max="14" width="8.109375" style="8" bestFit="1" customWidth="1"/>
    <col min="15" max="15" width="7" style="8" customWidth="1"/>
    <col min="16" max="18" width="8.109375" style="8" bestFit="1" customWidth="1"/>
    <col min="19" max="19" width="7" style="8" bestFit="1" customWidth="1"/>
    <col min="20" max="20" width="8.109375" style="8" bestFit="1" customWidth="1"/>
    <col min="21" max="21" width="7" style="8" bestFit="1" customWidth="1"/>
    <col min="22" max="22" width="8.109375" style="8" bestFit="1" customWidth="1"/>
    <col min="23" max="23" width="7.21875" style="8" bestFit="1" customWidth="1"/>
    <col min="24" max="24" width="8.109375" style="8" bestFit="1" customWidth="1"/>
    <col min="25" max="25" width="7" style="8" bestFit="1" customWidth="1"/>
    <col min="26" max="27" width="8.88671875" style="8" bestFit="1" customWidth="1"/>
    <col min="28" max="28" width="8.88671875" style="8" customWidth="1"/>
    <col min="29" max="29" width="8.44140625" style="8" bestFit="1" customWidth="1"/>
    <col min="30" max="30" width="8.88671875" style="8"/>
    <col min="31" max="31" width="5.6640625" style="8" bestFit="1" customWidth="1"/>
    <col min="32" max="32" width="1.44140625" style="8" bestFit="1" customWidth="1"/>
    <col min="33" max="42" width="5.6640625" style="8" bestFit="1" customWidth="1"/>
    <col min="43" max="43" width="6.33203125" style="8" bestFit="1" customWidth="1"/>
    <col min="44" max="16384" width="8.88671875" style="8"/>
  </cols>
  <sheetData>
    <row r="1" spans="1:43">
      <c r="A1" s="756"/>
      <c r="B1" s="752" t="s">
        <v>18</v>
      </c>
      <c r="C1" s="753"/>
      <c r="D1" s="750" t="s">
        <v>19</v>
      </c>
      <c r="E1" s="751"/>
      <c r="F1" s="752" t="s">
        <v>20</v>
      </c>
      <c r="G1" s="753"/>
      <c r="H1" s="754" t="s">
        <v>21</v>
      </c>
      <c r="I1" s="755"/>
      <c r="J1" s="752" t="s">
        <v>2</v>
      </c>
      <c r="K1" s="753"/>
      <c r="L1" s="750" t="s">
        <v>22</v>
      </c>
      <c r="M1" s="751"/>
      <c r="N1" s="752" t="s">
        <v>23</v>
      </c>
      <c r="O1" s="753"/>
      <c r="P1" s="754" t="s">
        <v>24</v>
      </c>
      <c r="Q1" s="755"/>
      <c r="R1" s="752" t="s">
        <v>25</v>
      </c>
      <c r="S1" s="753"/>
      <c r="T1" s="750" t="s">
        <v>26</v>
      </c>
      <c r="U1" s="751"/>
      <c r="V1" s="752" t="s">
        <v>27</v>
      </c>
      <c r="W1" s="753"/>
      <c r="X1" s="754" t="s">
        <v>28</v>
      </c>
      <c r="Y1" s="758"/>
      <c r="Z1" s="759" t="s">
        <v>16</v>
      </c>
      <c r="AA1" s="760"/>
      <c r="AB1" s="760"/>
    </row>
    <row r="2" spans="1:43" s="225" customFormat="1" ht="11.25" customHeight="1" thickBot="1">
      <c r="A2" s="757"/>
      <c r="B2" s="16" t="s">
        <v>29</v>
      </c>
      <c r="C2" s="17" t="s">
        <v>30</v>
      </c>
      <c r="D2" s="16" t="s">
        <v>29</v>
      </c>
      <c r="E2" s="18" t="s">
        <v>30</v>
      </c>
      <c r="F2" s="16" t="s">
        <v>29</v>
      </c>
      <c r="G2" s="17" t="s">
        <v>30</v>
      </c>
      <c r="H2" s="16" t="s">
        <v>29</v>
      </c>
      <c r="I2" s="19" t="s">
        <v>30</v>
      </c>
      <c r="J2" s="16" t="s">
        <v>29</v>
      </c>
      <c r="K2" s="17" t="s">
        <v>30</v>
      </c>
      <c r="L2" s="16" t="s">
        <v>29</v>
      </c>
      <c r="M2" s="18" t="s">
        <v>30</v>
      </c>
      <c r="N2" s="16" t="s">
        <v>29</v>
      </c>
      <c r="O2" s="17" t="s">
        <v>30</v>
      </c>
      <c r="P2" s="16" t="s">
        <v>29</v>
      </c>
      <c r="Q2" s="19" t="s">
        <v>30</v>
      </c>
      <c r="R2" s="16" t="s">
        <v>29</v>
      </c>
      <c r="S2" s="17" t="s">
        <v>30</v>
      </c>
      <c r="T2" s="16" t="s">
        <v>29</v>
      </c>
      <c r="U2" s="18" t="s">
        <v>30</v>
      </c>
      <c r="V2" s="16" t="s">
        <v>29</v>
      </c>
      <c r="W2" s="17" t="s">
        <v>30</v>
      </c>
      <c r="X2" s="16" t="s">
        <v>29</v>
      </c>
      <c r="Y2" s="20" t="s">
        <v>30</v>
      </c>
      <c r="Z2" s="16" t="s">
        <v>31</v>
      </c>
      <c r="AA2" s="16" t="s">
        <v>32</v>
      </c>
      <c r="AB2" s="35" t="s">
        <v>54</v>
      </c>
      <c r="AC2" s="225" t="s">
        <v>62</v>
      </c>
      <c r="AE2" s="505">
        <v>1</v>
      </c>
      <c r="AF2" s="505">
        <v>2</v>
      </c>
      <c r="AG2" s="505">
        <v>3</v>
      </c>
      <c r="AH2" s="505">
        <v>4</v>
      </c>
      <c r="AI2" s="505">
        <v>5</v>
      </c>
      <c r="AJ2" s="505">
        <v>6</v>
      </c>
      <c r="AK2" s="505">
        <v>7</v>
      </c>
      <c r="AL2" s="505">
        <v>8</v>
      </c>
      <c r="AM2" s="505">
        <v>9</v>
      </c>
      <c r="AN2" s="505">
        <v>10</v>
      </c>
      <c r="AO2" s="505">
        <v>11</v>
      </c>
      <c r="AP2" s="505">
        <v>12</v>
      </c>
    </row>
    <row r="3" spans="1:43">
      <c r="A3" s="15">
        <v>1998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39">
        <v>746.45</v>
      </c>
      <c r="U3" s="39">
        <v>344.76</v>
      </c>
      <c r="V3" s="39">
        <v>152.72</v>
      </c>
      <c r="W3" s="39">
        <v>144.19999999999999</v>
      </c>
      <c r="X3" s="39">
        <v>441.18</v>
      </c>
      <c r="Y3" s="39">
        <v>441.18</v>
      </c>
      <c r="Z3" s="39">
        <f>B3+D3+F3+H3+J3+L3+N3+P3+R3+T3+V3+X3</f>
        <v>1340.3500000000001</v>
      </c>
      <c r="AA3" s="39">
        <f>C3+E3+G3+I3+K3+M3+O3+Q3+S3+U3+W3+Y3</f>
        <v>930.14</v>
      </c>
      <c r="AB3" s="487">
        <f>AQ3</f>
        <v>21092</v>
      </c>
      <c r="AC3" s="235">
        <v>82.45</v>
      </c>
      <c r="AE3" s="237"/>
      <c r="AF3" s="237"/>
      <c r="AG3" s="237"/>
      <c r="AH3" s="237"/>
      <c r="AI3" s="237"/>
      <c r="AJ3" s="237"/>
      <c r="AK3" s="237"/>
      <c r="AL3" s="237"/>
      <c r="AM3" s="237"/>
      <c r="AN3" s="237">
        <v>7982</v>
      </c>
      <c r="AO3" s="237">
        <v>3276</v>
      </c>
      <c r="AP3" s="237">
        <v>9834</v>
      </c>
      <c r="AQ3" s="489">
        <f>SUM(AE3:AP3)</f>
        <v>21092</v>
      </c>
    </row>
    <row r="4" spans="1:43">
      <c r="A4" s="7">
        <v>1999</v>
      </c>
      <c r="B4" s="40">
        <v>261.48</v>
      </c>
      <c r="C4" s="43"/>
      <c r="D4" s="40">
        <v>9.6</v>
      </c>
      <c r="E4" s="68"/>
      <c r="F4" s="40">
        <v>265.72000000000003</v>
      </c>
      <c r="G4" s="43"/>
      <c r="H4" s="40">
        <v>18.829999999999998</v>
      </c>
      <c r="I4" s="68"/>
      <c r="J4" s="68"/>
      <c r="K4" s="68"/>
      <c r="L4" s="40">
        <v>305.51</v>
      </c>
      <c r="M4" s="43"/>
      <c r="N4" s="40">
        <v>350.19</v>
      </c>
      <c r="O4" s="43"/>
      <c r="P4" s="40">
        <v>562.19000000000005</v>
      </c>
      <c r="Q4" s="43"/>
      <c r="R4" s="40">
        <v>350.73</v>
      </c>
      <c r="S4" s="43"/>
      <c r="T4" s="68"/>
      <c r="U4" s="68"/>
      <c r="V4" s="68"/>
      <c r="W4" s="68"/>
      <c r="X4" s="40">
        <v>208.94</v>
      </c>
      <c r="Y4" s="43"/>
      <c r="Z4" s="40">
        <f t="shared" ref="Z4:AA18" si="0">B4+D4+F4+H4+J4+L4+N4+P4+R4+T4+V4+X4</f>
        <v>2333.19</v>
      </c>
      <c r="AA4" s="39">
        <f t="shared" si="0"/>
        <v>0</v>
      </c>
      <c r="AB4" s="487">
        <f t="shared" ref="AB4:AB18" si="1">AQ4</f>
        <v>0</v>
      </c>
      <c r="AC4" s="235">
        <f>B4+F4+L4+N4+P4+R4+X4</f>
        <v>2304.7600000000002</v>
      </c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489">
        <f t="shared" ref="AQ4:AQ18" si="2">SUM(AE4:AP4)</f>
        <v>0</v>
      </c>
    </row>
    <row r="5" spans="1:43">
      <c r="A5" s="7">
        <v>2000</v>
      </c>
      <c r="B5" s="96"/>
      <c r="C5" s="96"/>
      <c r="D5" s="96"/>
      <c r="E5" s="96"/>
      <c r="F5" s="96"/>
      <c r="G5" s="96"/>
      <c r="H5" s="96"/>
      <c r="I5" s="96"/>
      <c r="J5" s="40">
        <v>346.58</v>
      </c>
      <c r="K5" s="43"/>
      <c r="L5" s="40">
        <v>254.83</v>
      </c>
      <c r="M5" s="43"/>
      <c r="N5" s="40">
        <v>194.85</v>
      </c>
      <c r="O5" s="43"/>
      <c r="P5" s="40">
        <v>557.21</v>
      </c>
      <c r="Q5" s="43"/>
      <c r="R5" s="40">
        <v>382.68</v>
      </c>
      <c r="S5" s="43"/>
      <c r="T5" s="40">
        <v>471</v>
      </c>
      <c r="U5" s="43"/>
      <c r="V5" s="40">
        <v>404.86</v>
      </c>
      <c r="W5" s="43"/>
      <c r="X5" s="40">
        <v>443.23</v>
      </c>
      <c r="Y5" s="43"/>
      <c r="Z5" s="40">
        <f t="shared" si="0"/>
        <v>3055.2400000000002</v>
      </c>
      <c r="AA5" s="39">
        <f t="shared" si="0"/>
        <v>0</v>
      </c>
      <c r="AB5" s="487">
        <f t="shared" si="1"/>
        <v>0</v>
      </c>
      <c r="AC5" s="235">
        <f>J5+L5+N5+P5+R5+T5+V5+X5</f>
        <v>3055.2400000000002</v>
      </c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489">
        <f t="shared" si="2"/>
        <v>0</v>
      </c>
    </row>
    <row r="6" spans="1:43">
      <c r="A6" s="7">
        <v>2001</v>
      </c>
      <c r="B6" s="40">
        <v>305.27</v>
      </c>
      <c r="C6" s="43"/>
      <c r="D6" s="40">
        <v>517.62</v>
      </c>
      <c r="E6" s="43"/>
      <c r="F6" s="40">
        <v>530.99</v>
      </c>
      <c r="G6" s="43"/>
      <c r="H6" s="40">
        <v>329.3</v>
      </c>
      <c r="I6" s="43"/>
      <c r="J6" s="40">
        <v>198.41</v>
      </c>
      <c r="K6" s="43"/>
      <c r="L6" s="40">
        <v>385.56</v>
      </c>
      <c r="M6" s="43"/>
      <c r="N6" s="40">
        <v>288.43</v>
      </c>
      <c r="O6" s="43"/>
      <c r="P6" s="40">
        <v>564.78</v>
      </c>
      <c r="Q6" s="43"/>
      <c r="R6" s="40">
        <v>182.21</v>
      </c>
      <c r="S6" s="43"/>
      <c r="T6" s="40">
        <v>120.86</v>
      </c>
      <c r="U6" s="43"/>
      <c r="V6" s="40">
        <v>447.79</v>
      </c>
      <c r="W6" s="43"/>
      <c r="X6" s="40">
        <v>569.16</v>
      </c>
      <c r="Y6" s="43"/>
      <c r="Z6" s="40">
        <f t="shared" si="0"/>
        <v>4440.38</v>
      </c>
      <c r="AA6" s="39">
        <f t="shared" si="0"/>
        <v>0</v>
      </c>
      <c r="AB6" s="487">
        <f t="shared" si="1"/>
        <v>0</v>
      </c>
      <c r="AC6" s="235">
        <f>B6+D6+F6+H6+J6+L6+N6+P6+R6+T6+V6+X6</f>
        <v>4440.38</v>
      </c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489">
        <f t="shared" si="2"/>
        <v>0</v>
      </c>
    </row>
    <row r="7" spans="1:43">
      <c r="A7" s="7">
        <v>2002</v>
      </c>
      <c r="B7" s="40">
        <v>121.33</v>
      </c>
      <c r="C7" s="43"/>
      <c r="D7" s="40">
        <v>187.28</v>
      </c>
      <c r="E7" s="43"/>
      <c r="F7" s="40">
        <v>242.04</v>
      </c>
      <c r="G7" s="43"/>
      <c r="H7" s="40">
        <v>4.68</v>
      </c>
      <c r="I7" s="96"/>
      <c r="J7" s="40">
        <v>4.82</v>
      </c>
      <c r="K7" s="96"/>
      <c r="L7" s="40">
        <v>252.34</v>
      </c>
      <c r="M7" s="43"/>
      <c r="N7" s="40">
        <v>484.15</v>
      </c>
      <c r="O7" s="43"/>
      <c r="P7" s="40">
        <v>433.79</v>
      </c>
      <c r="Q7" s="43"/>
      <c r="R7" s="40">
        <v>213.51</v>
      </c>
      <c r="S7" s="43"/>
      <c r="T7" s="40">
        <v>311.39</v>
      </c>
      <c r="U7" s="43"/>
      <c r="V7" s="40">
        <v>409.58</v>
      </c>
      <c r="W7" s="43"/>
      <c r="X7" s="40">
        <v>460.27</v>
      </c>
      <c r="Y7" s="43"/>
      <c r="Z7" s="40">
        <f t="shared" si="0"/>
        <v>3125.18</v>
      </c>
      <c r="AA7" s="39">
        <f t="shared" si="0"/>
        <v>0</v>
      </c>
      <c r="AB7" s="487">
        <f t="shared" si="1"/>
        <v>0</v>
      </c>
      <c r="AC7" s="235">
        <f>B7+D7+F7+L7+N7+P7+R7+T7+V7+X7</f>
        <v>3115.68</v>
      </c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489">
        <f t="shared" si="2"/>
        <v>0</v>
      </c>
    </row>
    <row r="8" spans="1:43">
      <c r="A8" s="7">
        <v>2003</v>
      </c>
      <c r="B8" s="99">
        <v>224.36</v>
      </c>
      <c r="C8" s="100"/>
      <c r="D8" s="99">
        <v>182.47</v>
      </c>
      <c r="E8" s="100"/>
      <c r="F8" s="99">
        <v>300.68</v>
      </c>
      <c r="G8" s="100"/>
      <c r="H8" s="99">
        <v>514.24</v>
      </c>
      <c r="I8" s="100"/>
      <c r="J8" s="99">
        <v>397.35</v>
      </c>
      <c r="K8" s="100"/>
      <c r="L8" s="99">
        <v>812.77</v>
      </c>
      <c r="M8" s="100"/>
      <c r="N8" s="99">
        <v>586.34</v>
      </c>
      <c r="O8" s="100"/>
      <c r="P8" s="99">
        <v>611.29</v>
      </c>
      <c r="Q8" s="100"/>
      <c r="R8" s="99">
        <v>552.45000000000005</v>
      </c>
      <c r="S8" s="100"/>
      <c r="T8" s="99">
        <v>1017.6</v>
      </c>
      <c r="U8" s="100"/>
      <c r="V8" s="99">
        <v>710.2</v>
      </c>
      <c r="W8" s="100"/>
      <c r="X8" s="99">
        <v>951.33</v>
      </c>
      <c r="Y8" s="100"/>
      <c r="Z8" s="40">
        <f t="shared" si="0"/>
        <v>6861.08</v>
      </c>
      <c r="AA8" s="39">
        <f t="shared" si="0"/>
        <v>0</v>
      </c>
      <c r="AB8" s="487">
        <f t="shared" si="1"/>
        <v>0</v>
      </c>
      <c r="AC8" s="235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489">
        <f t="shared" si="2"/>
        <v>0</v>
      </c>
    </row>
    <row r="9" spans="1:43">
      <c r="A9" s="7">
        <v>2004</v>
      </c>
      <c r="B9" s="99">
        <v>548.59</v>
      </c>
      <c r="C9" s="100"/>
      <c r="D9" s="99">
        <v>1273.73</v>
      </c>
      <c r="E9" s="100"/>
      <c r="F9" s="99">
        <v>540.49</v>
      </c>
      <c r="G9" s="100"/>
      <c r="H9" s="99">
        <v>930.31</v>
      </c>
      <c r="I9" s="100"/>
      <c r="J9" s="99">
        <v>516.78</v>
      </c>
      <c r="K9" s="100"/>
      <c r="L9" s="99">
        <v>519.45000000000005</v>
      </c>
      <c r="M9" s="100"/>
      <c r="N9" s="99">
        <v>812.46</v>
      </c>
      <c r="O9" s="100"/>
      <c r="P9" s="99">
        <v>702.22</v>
      </c>
      <c r="Q9" s="100"/>
      <c r="R9" s="99">
        <v>1071.17</v>
      </c>
      <c r="S9" s="100"/>
      <c r="T9" s="99">
        <v>1167.48</v>
      </c>
      <c r="U9" s="100"/>
      <c r="V9" s="99">
        <v>680.41</v>
      </c>
      <c r="W9" s="100"/>
      <c r="X9" s="99">
        <v>1084.8</v>
      </c>
      <c r="Y9" s="100"/>
      <c r="Z9" s="40">
        <f t="shared" si="0"/>
        <v>9847.89</v>
      </c>
      <c r="AA9" s="39">
        <f t="shared" si="0"/>
        <v>0</v>
      </c>
      <c r="AB9" s="487">
        <f t="shared" si="1"/>
        <v>0</v>
      </c>
      <c r="AC9" s="235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489">
        <f t="shared" si="2"/>
        <v>0</v>
      </c>
    </row>
    <row r="10" spans="1:43">
      <c r="A10" s="7">
        <v>2005</v>
      </c>
      <c r="B10" s="40">
        <v>282.04000000000002</v>
      </c>
      <c r="C10" s="96"/>
      <c r="D10" s="40">
        <v>200.74</v>
      </c>
      <c r="E10" s="96"/>
      <c r="F10" s="40">
        <v>753.03</v>
      </c>
      <c r="G10" s="96"/>
      <c r="H10" s="40">
        <v>229.8</v>
      </c>
      <c r="I10" s="96"/>
      <c r="J10" s="40">
        <v>486.7</v>
      </c>
      <c r="K10" s="96"/>
      <c r="L10" s="40">
        <v>405.71</v>
      </c>
      <c r="M10" s="96"/>
      <c r="N10" s="40">
        <v>1000.69</v>
      </c>
      <c r="O10" s="96"/>
      <c r="P10" s="40">
        <v>835.42</v>
      </c>
      <c r="Q10" s="96"/>
      <c r="R10" s="40">
        <v>1260.01</v>
      </c>
      <c r="S10" s="96"/>
      <c r="T10" s="40">
        <v>694.81</v>
      </c>
      <c r="U10" s="96"/>
      <c r="V10" s="40">
        <v>1406.93</v>
      </c>
      <c r="W10" s="96"/>
      <c r="X10" s="40">
        <v>1066.8599999999999</v>
      </c>
      <c r="Y10" s="96"/>
      <c r="Z10" s="40">
        <f t="shared" si="0"/>
        <v>8622.7400000000016</v>
      </c>
      <c r="AA10" s="39">
        <f t="shared" si="0"/>
        <v>0</v>
      </c>
      <c r="AB10" s="487">
        <f t="shared" si="1"/>
        <v>0</v>
      </c>
      <c r="AC10" s="235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489">
        <f t="shared" si="2"/>
        <v>0</v>
      </c>
    </row>
    <row r="11" spans="1:43">
      <c r="A11" s="7">
        <v>2006</v>
      </c>
      <c r="B11" s="40">
        <v>825.5</v>
      </c>
      <c r="C11" s="96"/>
      <c r="D11" s="40">
        <v>1009.25</v>
      </c>
      <c r="E11" s="96"/>
      <c r="F11" s="40">
        <v>1172.04</v>
      </c>
      <c r="G11" s="96"/>
      <c r="H11" s="40">
        <v>946.8</v>
      </c>
      <c r="I11" s="96"/>
      <c r="J11" s="40">
        <v>1149.4100000000001</v>
      </c>
      <c r="K11" s="96"/>
      <c r="L11" s="40">
        <v>793.82</v>
      </c>
      <c r="M11" s="96"/>
      <c r="N11" s="40">
        <v>886.27</v>
      </c>
      <c r="O11" s="96"/>
      <c r="P11" s="40">
        <v>240.77</v>
      </c>
      <c r="Q11" s="96"/>
      <c r="R11" s="40">
        <v>457.93</v>
      </c>
      <c r="S11" s="96"/>
      <c r="T11" s="40">
        <v>887.14</v>
      </c>
      <c r="U11" s="96"/>
      <c r="V11" s="40">
        <v>835.04</v>
      </c>
      <c r="W11" s="96"/>
      <c r="X11" s="40">
        <v>1632.81</v>
      </c>
      <c r="Y11" s="96"/>
      <c r="Z11" s="40">
        <f t="shared" si="0"/>
        <v>10836.78</v>
      </c>
      <c r="AA11" s="39">
        <f t="shared" si="0"/>
        <v>0</v>
      </c>
      <c r="AB11" s="487">
        <f t="shared" si="1"/>
        <v>0</v>
      </c>
      <c r="AC11" s="235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489">
        <f t="shared" si="2"/>
        <v>0</v>
      </c>
    </row>
    <row r="12" spans="1:43">
      <c r="A12" s="7">
        <v>2007</v>
      </c>
      <c r="B12" s="40">
        <v>868.99</v>
      </c>
      <c r="C12" s="96"/>
      <c r="D12" s="40">
        <v>508.77</v>
      </c>
      <c r="E12" s="96"/>
      <c r="F12" s="40">
        <v>838.78</v>
      </c>
      <c r="G12" s="96"/>
      <c r="H12" s="40">
        <v>2372.98</v>
      </c>
      <c r="I12" s="96"/>
      <c r="J12" s="40">
        <v>329.13</v>
      </c>
      <c r="K12" s="96"/>
      <c r="L12" s="40">
        <v>854.18</v>
      </c>
      <c r="M12" s="96"/>
      <c r="N12" s="40">
        <v>1365.1</v>
      </c>
      <c r="O12" s="43"/>
      <c r="P12" s="40">
        <v>1243.43</v>
      </c>
      <c r="Q12" s="43"/>
      <c r="R12" s="40">
        <v>486.14</v>
      </c>
      <c r="S12" s="43"/>
      <c r="T12" s="40">
        <v>793.08</v>
      </c>
      <c r="U12" s="43"/>
      <c r="V12" s="40">
        <v>745.87</v>
      </c>
      <c r="W12" s="43"/>
      <c r="X12" s="40">
        <v>272.42</v>
      </c>
      <c r="Y12" s="40">
        <v>227.17</v>
      </c>
      <c r="Z12" s="40">
        <f t="shared" si="0"/>
        <v>10678.87</v>
      </c>
      <c r="AA12" s="39">
        <f t="shared" si="0"/>
        <v>227.17</v>
      </c>
      <c r="AB12" s="487">
        <f t="shared" si="1"/>
        <v>1637</v>
      </c>
      <c r="AC12" s="235">
        <f>N12+P12+R12+T12+V12</f>
        <v>4633.62</v>
      </c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>
        <v>1637</v>
      </c>
      <c r="AQ12" s="489">
        <f t="shared" si="2"/>
        <v>1637</v>
      </c>
    </row>
    <row r="13" spans="1:43">
      <c r="A13" s="7">
        <v>2008</v>
      </c>
      <c r="B13" s="40">
        <v>667.04</v>
      </c>
      <c r="C13" s="40">
        <v>557.23</v>
      </c>
      <c r="D13" s="96"/>
      <c r="E13" s="96"/>
      <c r="F13" s="96"/>
      <c r="G13" s="96"/>
      <c r="H13" s="40">
        <v>467.39</v>
      </c>
      <c r="I13" s="40">
        <v>381.6</v>
      </c>
      <c r="J13" s="40">
        <v>749.02</v>
      </c>
      <c r="K13" s="40">
        <v>758.11</v>
      </c>
      <c r="L13" s="40">
        <v>572.41999999999996</v>
      </c>
      <c r="M13" s="40">
        <v>426.49</v>
      </c>
      <c r="N13" s="68"/>
      <c r="O13" s="68"/>
      <c r="P13" s="40">
        <v>1235.8800000000001</v>
      </c>
      <c r="Q13" s="40">
        <v>1115.3699999999999</v>
      </c>
      <c r="R13" s="40">
        <v>597.61</v>
      </c>
      <c r="S13" s="40">
        <v>357.58</v>
      </c>
      <c r="T13" s="40">
        <v>637.38</v>
      </c>
      <c r="U13" s="40">
        <v>614.20000000000005</v>
      </c>
      <c r="V13" s="40">
        <v>990.93</v>
      </c>
      <c r="W13" s="40">
        <v>899.37</v>
      </c>
      <c r="X13" s="40">
        <v>702.89</v>
      </c>
      <c r="Y13" s="40">
        <v>631.29</v>
      </c>
      <c r="Z13" s="40">
        <f t="shared" si="0"/>
        <v>6620.56</v>
      </c>
      <c r="AA13" s="39">
        <f t="shared" si="0"/>
        <v>5741.24</v>
      </c>
      <c r="AB13" s="487">
        <f t="shared" si="1"/>
        <v>38298</v>
      </c>
      <c r="AC13" s="235"/>
      <c r="AE13" s="237">
        <v>3976</v>
      </c>
      <c r="AF13" s="237"/>
      <c r="AG13" s="237"/>
      <c r="AH13" s="237">
        <v>2643</v>
      </c>
      <c r="AI13" s="237">
        <v>5136</v>
      </c>
      <c r="AJ13" s="237">
        <v>2895</v>
      </c>
      <c r="AK13" s="237"/>
      <c r="AL13" s="237">
        <v>7419</v>
      </c>
      <c r="AM13" s="237">
        <v>2355</v>
      </c>
      <c r="AN13" s="237">
        <v>4008</v>
      </c>
      <c r="AO13" s="237">
        <v>5817</v>
      </c>
      <c r="AP13" s="237">
        <v>4049</v>
      </c>
      <c r="AQ13" s="489">
        <f t="shared" si="2"/>
        <v>38298</v>
      </c>
    </row>
    <row r="14" spans="1:43" s="161" customFormat="1">
      <c r="A14" s="405">
        <v>2009</v>
      </c>
      <c r="B14" s="40">
        <v>391.38</v>
      </c>
      <c r="C14" s="40">
        <v>339.94</v>
      </c>
      <c r="D14" s="467"/>
      <c r="E14" s="467"/>
      <c r="F14" s="40">
        <v>498.41</v>
      </c>
      <c r="G14" s="40">
        <v>382.88</v>
      </c>
      <c r="H14" s="40">
        <v>400.48</v>
      </c>
      <c r="I14" s="40">
        <v>230.3</v>
      </c>
      <c r="J14" s="40">
        <v>406.31</v>
      </c>
      <c r="K14" s="40">
        <v>338.36</v>
      </c>
      <c r="L14" s="40">
        <v>156.08000000000001</v>
      </c>
      <c r="M14" s="40">
        <v>115.69</v>
      </c>
      <c r="N14" s="40">
        <v>616.11</v>
      </c>
      <c r="O14" s="40">
        <v>366.7</v>
      </c>
      <c r="P14" s="40">
        <v>662.64</v>
      </c>
      <c r="Q14" s="40">
        <v>585.99</v>
      </c>
      <c r="R14" s="40">
        <v>1040.44</v>
      </c>
      <c r="S14" s="40">
        <v>537.36</v>
      </c>
      <c r="T14" s="40">
        <v>636.15</v>
      </c>
      <c r="U14" s="40">
        <v>431.03</v>
      </c>
      <c r="V14" s="40">
        <v>893.08</v>
      </c>
      <c r="W14" s="40">
        <v>761.9</v>
      </c>
      <c r="X14" s="40">
        <v>702.58</v>
      </c>
      <c r="Y14" s="40">
        <v>506.24</v>
      </c>
      <c r="Z14" s="40">
        <f t="shared" si="0"/>
        <v>6403.66</v>
      </c>
      <c r="AA14" s="39">
        <f>C14+E14+G14+I14+K14+M14+O14+Q14+S14+U14+W14+Y14</f>
        <v>4596.3900000000003</v>
      </c>
      <c r="AB14" s="487">
        <f t="shared" si="1"/>
        <v>27822</v>
      </c>
      <c r="AC14" s="95"/>
      <c r="AE14" s="109">
        <v>2163</v>
      </c>
      <c r="AF14" s="109"/>
      <c r="AG14" s="109">
        <v>2398</v>
      </c>
      <c r="AH14" s="109">
        <v>1432</v>
      </c>
      <c r="AI14" s="109">
        <v>2089</v>
      </c>
      <c r="AJ14" s="109">
        <v>708</v>
      </c>
      <c r="AK14" s="109">
        <v>2231</v>
      </c>
      <c r="AL14" s="109">
        <v>3540</v>
      </c>
      <c r="AM14" s="109">
        <v>3222</v>
      </c>
      <c r="AN14" s="109">
        <v>2566</v>
      </c>
      <c r="AO14" s="109">
        <v>4503</v>
      </c>
      <c r="AP14" s="109">
        <v>2970</v>
      </c>
      <c r="AQ14" s="489">
        <f t="shared" si="2"/>
        <v>27822</v>
      </c>
    </row>
    <row r="15" spans="1:43">
      <c r="A15" s="7">
        <v>2010</v>
      </c>
      <c r="B15" s="40">
        <v>494.05</v>
      </c>
      <c r="C15" s="43"/>
      <c r="D15" s="40">
        <v>520.02</v>
      </c>
      <c r="E15" s="43"/>
      <c r="F15" s="40">
        <v>776.9</v>
      </c>
      <c r="G15" s="43"/>
      <c r="H15" s="40">
        <v>1203.4100000000001</v>
      </c>
      <c r="I15" s="43"/>
      <c r="J15" s="40">
        <v>767.95</v>
      </c>
      <c r="K15" s="43"/>
      <c r="L15" s="40">
        <v>1034.7</v>
      </c>
      <c r="M15" s="43"/>
      <c r="N15" s="40">
        <v>31.77</v>
      </c>
      <c r="O15" s="96"/>
      <c r="P15" s="40">
        <v>49.8</v>
      </c>
      <c r="Q15" s="96"/>
      <c r="R15" s="40">
        <v>35.369999999999997</v>
      </c>
      <c r="S15" s="96"/>
      <c r="T15" s="40">
        <v>66.7</v>
      </c>
      <c r="U15" s="96"/>
      <c r="V15" s="96"/>
      <c r="W15" s="96"/>
      <c r="X15" s="40">
        <v>443</v>
      </c>
      <c r="Y15" s="40">
        <v>302.12</v>
      </c>
      <c r="Z15" s="40">
        <f t="shared" si="0"/>
        <v>5423.67</v>
      </c>
      <c r="AA15" s="39">
        <f t="shared" si="0"/>
        <v>302.12</v>
      </c>
      <c r="AB15" s="487">
        <f t="shared" si="1"/>
        <v>1625</v>
      </c>
      <c r="AC15" s="235">
        <f>B15+D15+F15+H15+J15+L15</f>
        <v>4797.03</v>
      </c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>
        <v>1625</v>
      </c>
      <c r="AQ15" s="489">
        <f t="shared" si="2"/>
        <v>1625</v>
      </c>
    </row>
    <row r="16" spans="1:43">
      <c r="A16" s="7">
        <v>2011</v>
      </c>
      <c r="B16" s="40">
        <v>200.69</v>
      </c>
      <c r="C16" s="96"/>
      <c r="D16" s="40">
        <v>60.86</v>
      </c>
      <c r="E16" s="96"/>
      <c r="F16" s="40">
        <v>31.24</v>
      </c>
      <c r="G16" s="96"/>
      <c r="H16" s="40">
        <v>31.19</v>
      </c>
      <c r="I16" s="96"/>
      <c r="J16" s="40">
        <v>41.5</v>
      </c>
      <c r="K16" s="96"/>
      <c r="L16" s="40">
        <v>35.96</v>
      </c>
      <c r="M16" s="96"/>
      <c r="N16" s="40">
        <v>32.119999999999997</v>
      </c>
      <c r="O16" s="96"/>
      <c r="P16" s="40">
        <v>122.62</v>
      </c>
      <c r="Q16" s="96"/>
      <c r="R16" s="40">
        <v>46.67</v>
      </c>
      <c r="S16" s="96"/>
      <c r="T16" s="40">
        <v>8.58</v>
      </c>
      <c r="U16" s="96"/>
      <c r="V16" s="40">
        <v>22.31</v>
      </c>
      <c r="W16" s="96"/>
      <c r="X16" s="40">
        <v>32.03</v>
      </c>
      <c r="Y16" s="96"/>
      <c r="Z16" s="40">
        <f t="shared" si="0"/>
        <v>665.77</v>
      </c>
      <c r="AA16" s="39">
        <f t="shared" si="0"/>
        <v>0</v>
      </c>
      <c r="AB16" s="487">
        <f t="shared" si="1"/>
        <v>0</v>
      </c>
      <c r="AC16" s="235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489">
        <f t="shared" si="2"/>
        <v>0</v>
      </c>
    </row>
    <row r="17" spans="1:43">
      <c r="A17" s="7">
        <v>2012</v>
      </c>
      <c r="B17" s="40">
        <v>9.01</v>
      </c>
      <c r="C17" s="96"/>
      <c r="D17" s="40">
        <v>9</v>
      </c>
      <c r="E17" s="96"/>
      <c r="F17" s="40">
        <v>27</v>
      </c>
      <c r="G17" s="96"/>
      <c r="H17" s="40">
        <v>7.2</v>
      </c>
      <c r="I17" s="96"/>
      <c r="J17" s="40">
        <v>16.2</v>
      </c>
      <c r="K17" s="96"/>
      <c r="L17" s="96"/>
      <c r="M17" s="96"/>
      <c r="N17" s="40">
        <v>253.22</v>
      </c>
      <c r="O17" s="96"/>
      <c r="P17" s="96"/>
      <c r="Q17" s="96"/>
      <c r="R17" s="96"/>
      <c r="S17" s="96"/>
      <c r="T17" s="96"/>
      <c r="U17" s="96"/>
      <c r="V17" s="40">
        <v>2.12</v>
      </c>
      <c r="W17" s="96"/>
      <c r="X17" s="96"/>
      <c r="Y17" s="96"/>
      <c r="Z17" s="40">
        <f t="shared" si="0"/>
        <v>323.75</v>
      </c>
      <c r="AA17" s="39">
        <f t="shared" si="0"/>
        <v>0</v>
      </c>
      <c r="AB17" s="487">
        <f t="shared" si="1"/>
        <v>0</v>
      </c>
      <c r="AC17" s="235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489">
        <f t="shared" si="2"/>
        <v>0</v>
      </c>
    </row>
    <row r="18" spans="1:43">
      <c r="A18" s="7">
        <v>2013</v>
      </c>
      <c r="B18" s="66"/>
      <c r="C18" s="66"/>
      <c r="D18" s="66"/>
      <c r="E18" s="66"/>
      <c r="F18" s="66"/>
      <c r="G18" s="66"/>
      <c r="H18" s="9">
        <v>71.599999999999994</v>
      </c>
      <c r="I18" s="66"/>
      <c r="J18" s="66"/>
      <c r="K18" s="66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">
        <f t="shared" si="0"/>
        <v>71.599999999999994</v>
      </c>
      <c r="AA18" s="39">
        <f t="shared" si="0"/>
        <v>0</v>
      </c>
      <c r="AB18" s="487">
        <f t="shared" si="1"/>
        <v>0</v>
      </c>
      <c r="AC18" s="235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489">
        <f t="shared" si="2"/>
        <v>0</v>
      </c>
    </row>
    <row r="19" spans="1:43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41">
        <f>SUM(Z3:Z18)</f>
        <v>80650.710000000021</v>
      </c>
      <c r="AA19" s="41">
        <f t="shared" ref="AA19:AB19" si="3">SUM(AA3:AA18)</f>
        <v>11797.06</v>
      </c>
      <c r="AB19" s="486">
        <f t="shared" si="3"/>
        <v>90474</v>
      </c>
      <c r="AC19" s="235">
        <f>SUM(AC3:AC18)</f>
        <v>22429.16</v>
      </c>
      <c r="AD19" s="245" t="s">
        <v>389</v>
      </c>
    </row>
    <row r="20" spans="1:43">
      <c r="Z20" s="42"/>
      <c r="AA20" s="42"/>
      <c r="AB20" s="713">
        <v>113814</v>
      </c>
      <c r="AC20" s="14"/>
      <c r="AD20" s="111">
        <v>46060</v>
      </c>
    </row>
    <row r="21" spans="1:43">
      <c r="Z21" s="42"/>
      <c r="AA21" s="42"/>
      <c r="AB21" s="372"/>
    </row>
    <row r="22" spans="1:43" ht="15.75">
      <c r="A22" s="748" t="s">
        <v>554</v>
      </c>
      <c r="B22" s="748"/>
      <c r="C22" s="748"/>
      <c r="D22" s="748"/>
      <c r="E22" s="748"/>
      <c r="F22" s="748"/>
      <c r="G22" s="748"/>
      <c r="H22" s="748"/>
      <c r="I22" s="748"/>
      <c r="J22" s="748"/>
      <c r="K22" s="748"/>
      <c r="L22" s="748"/>
      <c r="M22" s="748"/>
      <c r="N22" s="748"/>
      <c r="O22" s="748"/>
      <c r="P22" s="748"/>
      <c r="Q22" s="748"/>
      <c r="R22" s="748"/>
      <c r="S22" s="748"/>
      <c r="AB22" s="245"/>
    </row>
    <row r="23" spans="1:43">
      <c r="AB23" s="57">
        <v>92460</v>
      </c>
      <c r="AD23" s="111">
        <v>45669</v>
      </c>
    </row>
    <row r="24" spans="1:43" ht="15.75">
      <c r="A24" s="748" t="s">
        <v>555</v>
      </c>
      <c r="B24" s="748"/>
      <c r="C24" s="748"/>
      <c r="D24" s="748"/>
      <c r="E24" s="748"/>
      <c r="F24" s="748"/>
      <c r="G24" s="748"/>
      <c r="H24" s="748"/>
      <c r="I24" s="748"/>
      <c r="J24" s="748"/>
      <c r="K24" s="748"/>
      <c r="L24" s="748"/>
      <c r="M24" s="748"/>
      <c r="N24" s="748"/>
      <c r="O24" s="748"/>
      <c r="P24" s="748"/>
      <c r="Q24" s="748"/>
      <c r="R24" s="748"/>
      <c r="S24" s="748"/>
    </row>
    <row r="26" spans="1:43" ht="15">
      <c r="A26" s="749" t="s">
        <v>34</v>
      </c>
      <c r="B26" s="749"/>
      <c r="C26" s="749"/>
      <c r="D26" s="749"/>
      <c r="E26" s="749"/>
      <c r="F26" s="749"/>
      <c r="G26" s="749"/>
      <c r="H26" s="749"/>
      <c r="I26" s="749"/>
      <c r="J26" s="749"/>
      <c r="K26" s="749"/>
      <c r="L26" s="749"/>
      <c r="M26" s="749"/>
      <c r="N26" s="749"/>
      <c r="O26" s="749"/>
      <c r="P26" s="749"/>
      <c r="Q26" s="749"/>
      <c r="R26" s="749"/>
      <c r="S26" s="749"/>
      <c r="T26" s="749"/>
      <c r="U26" s="749"/>
      <c r="V26" s="749"/>
      <c r="W26" s="749"/>
      <c r="X26" s="749"/>
      <c r="Y26" s="749"/>
      <c r="Z26" s="749"/>
      <c r="AA26" s="749"/>
      <c r="AB26" s="504"/>
    </row>
    <row r="29" spans="1:43">
      <c r="Q29" s="101" t="s">
        <v>61</v>
      </c>
      <c r="AA29" s="57"/>
      <c r="AB29" s="57"/>
    </row>
    <row r="30" spans="1:43">
      <c r="Q30" s="8" t="s">
        <v>540</v>
      </c>
      <c r="AA30" s="14"/>
      <c r="AB30" s="14"/>
    </row>
    <row r="32" spans="1:43">
      <c r="C32" s="12" t="s">
        <v>564</v>
      </c>
      <c r="M32" s="12" t="s">
        <v>580</v>
      </c>
    </row>
    <row r="33" spans="1:13">
      <c r="A33" s="129">
        <v>1998</v>
      </c>
      <c r="B33" s="593"/>
      <c r="C33" s="424"/>
      <c r="D33" s="424"/>
      <c r="E33" s="424"/>
      <c r="F33" s="424"/>
      <c r="G33" s="424"/>
      <c r="H33" s="424"/>
      <c r="I33" s="424"/>
      <c r="J33" s="8">
        <v>9</v>
      </c>
      <c r="K33" s="8">
        <v>10</v>
      </c>
      <c r="L33" s="8">
        <v>11</v>
      </c>
      <c r="M33" s="8">
        <v>12</v>
      </c>
    </row>
    <row r="34" spans="1:13">
      <c r="A34" s="522">
        <v>1999</v>
      </c>
      <c r="B34" s="444"/>
      <c r="C34" s="8">
        <v>2</v>
      </c>
      <c r="E34" s="8">
        <v>4</v>
      </c>
      <c r="F34" s="8">
        <v>5</v>
      </c>
      <c r="K34" s="8">
        <v>10</v>
      </c>
      <c r="L34" s="8">
        <v>11</v>
      </c>
    </row>
    <row r="35" spans="1:13">
      <c r="A35" s="129">
        <v>2000</v>
      </c>
      <c r="B35" s="444">
        <v>1</v>
      </c>
      <c r="C35" s="8">
        <v>2</v>
      </c>
      <c r="D35" s="8">
        <v>3</v>
      </c>
      <c r="E35" s="8">
        <v>4</v>
      </c>
    </row>
    <row r="36" spans="1:13">
      <c r="A36" s="522">
        <v>2001</v>
      </c>
      <c r="B36" s="444"/>
    </row>
    <row r="37" spans="1:13">
      <c r="A37" s="129">
        <v>2002</v>
      </c>
      <c r="B37" s="444"/>
      <c r="E37" s="8">
        <v>4</v>
      </c>
      <c r="F37" s="8">
        <v>5</v>
      </c>
    </row>
    <row r="38" spans="1:13">
      <c r="A38" s="522">
        <v>2003</v>
      </c>
      <c r="B38" s="444"/>
    </row>
    <row r="39" spans="1:13">
      <c r="A39" s="129">
        <v>2004</v>
      </c>
      <c r="B39" s="444"/>
    </row>
    <row r="40" spans="1:13">
      <c r="A40" s="522">
        <v>2005</v>
      </c>
      <c r="B40" s="444"/>
    </row>
    <row r="41" spans="1:13">
      <c r="A41" s="129">
        <v>2006</v>
      </c>
      <c r="B41" s="444"/>
    </row>
    <row r="42" spans="1:13">
      <c r="A42" s="522">
        <v>2007</v>
      </c>
      <c r="B42" s="444"/>
      <c r="M42" s="8">
        <v>12</v>
      </c>
    </row>
    <row r="43" spans="1:13">
      <c r="A43" s="129">
        <v>2008</v>
      </c>
      <c r="B43" s="444">
        <v>1</v>
      </c>
      <c r="C43" s="8">
        <v>2</v>
      </c>
      <c r="D43" s="8">
        <v>3</v>
      </c>
      <c r="E43" s="8">
        <v>4</v>
      </c>
      <c r="F43" s="8">
        <v>5</v>
      </c>
      <c r="G43" s="8">
        <v>6</v>
      </c>
      <c r="H43" s="8">
        <v>7</v>
      </c>
      <c r="I43" s="8">
        <v>8</v>
      </c>
      <c r="J43" s="8">
        <v>9</v>
      </c>
      <c r="K43" s="8">
        <v>10</v>
      </c>
      <c r="L43" s="8">
        <v>11</v>
      </c>
      <c r="M43" s="8">
        <v>12</v>
      </c>
    </row>
    <row r="44" spans="1:13">
      <c r="A44" s="522">
        <v>2009</v>
      </c>
      <c r="B44" s="444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</row>
    <row r="45" spans="1:13">
      <c r="A45" s="129">
        <v>2010</v>
      </c>
      <c r="B45" s="444"/>
      <c r="H45" s="8">
        <v>7</v>
      </c>
      <c r="I45" s="8">
        <v>8</v>
      </c>
      <c r="J45" s="8">
        <v>9</v>
      </c>
      <c r="K45" s="8">
        <v>10</v>
      </c>
      <c r="L45" s="8">
        <v>11</v>
      </c>
      <c r="M45" s="8">
        <v>12</v>
      </c>
    </row>
    <row r="46" spans="1:13">
      <c r="A46" s="522">
        <v>2011</v>
      </c>
      <c r="B46" s="444">
        <v>1</v>
      </c>
      <c r="C46" s="8">
        <v>2</v>
      </c>
      <c r="D46" s="8">
        <v>3</v>
      </c>
      <c r="E46" s="8">
        <v>4</v>
      </c>
      <c r="F46" s="8">
        <v>5</v>
      </c>
      <c r="G46" s="8">
        <v>6</v>
      </c>
      <c r="H46" s="8">
        <v>7</v>
      </c>
      <c r="I46" s="8">
        <v>8</v>
      </c>
      <c r="J46" s="8">
        <v>9</v>
      </c>
      <c r="K46" s="8">
        <v>10</v>
      </c>
      <c r="L46" s="8">
        <v>11</v>
      </c>
      <c r="M46" s="8">
        <v>12</v>
      </c>
    </row>
    <row r="47" spans="1:13">
      <c r="A47" s="129">
        <v>2012</v>
      </c>
      <c r="B47" s="444">
        <v>1</v>
      </c>
      <c r="C47" s="8">
        <v>2</v>
      </c>
      <c r="D47" s="8">
        <v>3</v>
      </c>
      <c r="E47" s="8">
        <v>4</v>
      </c>
      <c r="F47" s="8">
        <v>5</v>
      </c>
      <c r="G47" s="8">
        <v>6</v>
      </c>
      <c r="I47" s="8">
        <v>8</v>
      </c>
      <c r="J47" s="8">
        <v>9</v>
      </c>
      <c r="K47" s="8">
        <v>10</v>
      </c>
      <c r="L47" s="8">
        <v>11</v>
      </c>
      <c r="M47" s="8">
        <v>12</v>
      </c>
    </row>
    <row r="48" spans="1:13">
      <c r="A48" s="522">
        <v>2013</v>
      </c>
      <c r="B48" s="444">
        <v>1</v>
      </c>
      <c r="C48" s="8">
        <v>2</v>
      </c>
      <c r="D48" s="8">
        <v>3</v>
      </c>
      <c r="E48" s="8">
        <v>4</v>
      </c>
      <c r="F48" s="8">
        <v>5</v>
      </c>
      <c r="G48" s="424"/>
      <c r="H48" s="424"/>
      <c r="I48" s="424"/>
      <c r="J48" s="424"/>
      <c r="K48" s="424"/>
      <c r="L48" s="424"/>
      <c r="M48" s="424"/>
    </row>
  </sheetData>
  <mergeCells count="17">
    <mergeCell ref="Z1:AB1"/>
    <mergeCell ref="A22:S22"/>
    <mergeCell ref="A24:S24"/>
    <mergeCell ref="A26:AA26"/>
    <mergeCell ref="L1:M1"/>
    <mergeCell ref="N1:O1"/>
    <mergeCell ref="P1:Q1"/>
    <mergeCell ref="R1:S1"/>
    <mergeCell ref="T1:U1"/>
    <mergeCell ref="V1:W1"/>
    <mergeCell ref="A1:A2"/>
    <mergeCell ref="B1:C1"/>
    <mergeCell ref="D1:E1"/>
    <mergeCell ref="F1:G1"/>
    <mergeCell ref="H1:I1"/>
    <mergeCell ref="J1:K1"/>
    <mergeCell ref="X1:Y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I37" sqref="I37"/>
    </sheetView>
  </sheetViews>
  <sheetFormatPr defaultRowHeight="12.75"/>
  <cols>
    <col min="1" max="1" width="3.88671875" style="8" bestFit="1" customWidth="1"/>
    <col min="2" max="2" width="9.21875" style="8" bestFit="1" customWidth="1"/>
    <col min="3" max="5" width="9.21875" style="8" customWidth="1"/>
    <col min="6" max="9" width="8.21875" style="8" customWidth="1"/>
    <col min="10" max="10" width="9.21875" style="8" bestFit="1" customWidth="1"/>
    <col min="11" max="16384" width="8.88671875" style="8"/>
  </cols>
  <sheetData>
    <row r="1" spans="1:10" ht="15">
      <c r="A1" s="579" t="s">
        <v>0</v>
      </c>
      <c r="B1" s="653" t="s">
        <v>14</v>
      </c>
      <c r="C1" s="654" t="s">
        <v>54</v>
      </c>
      <c r="D1" s="665" t="s">
        <v>59</v>
      </c>
      <c r="E1" s="654" t="s">
        <v>54</v>
      </c>
      <c r="F1" s="655" t="s">
        <v>15</v>
      </c>
      <c r="G1" s="656" t="s">
        <v>54</v>
      </c>
      <c r="H1" s="664" t="s">
        <v>59</v>
      </c>
      <c r="I1" s="656" t="s">
        <v>54</v>
      </c>
    </row>
    <row r="2" spans="1:10">
      <c r="A2" s="7">
        <v>1998</v>
      </c>
      <c r="B2" s="9"/>
      <c r="C2" s="169"/>
      <c r="D2" s="169"/>
      <c r="E2" s="169"/>
      <c r="F2" s="9"/>
      <c r="G2" s="9"/>
      <c r="H2" s="9"/>
      <c r="I2" s="169"/>
      <c r="J2" s="479">
        <v>0.3</v>
      </c>
    </row>
    <row r="3" spans="1:10">
      <c r="A3" s="7">
        <v>1999</v>
      </c>
      <c r="B3" s="9"/>
      <c r="C3" s="169"/>
      <c r="D3" s="169"/>
      <c r="E3" s="169"/>
      <c r="F3" s="9"/>
      <c r="G3" s="9"/>
      <c r="H3" s="9"/>
      <c r="I3" s="169"/>
      <c r="J3" s="479">
        <v>0.4</v>
      </c>
    </row>
    <row r="4" spans="1:10">
      <c r="A4" s="7">
        <v>2000</v>
      </c>
      <c r="B4" s="9"/>
      <c r="C4" s="169"/>
      <c r="D4" s="169"/>
      <c r="E4" s="169"/>
      <c r="F4" s="9"/>
      <c r="G4" s="9"/>
      <c r="H4" s="9"/>
      <c r="I4" s="169"/>
      <c r="J4" s="479">
        <v>0.45</v>
      </c>
    </row>
    <row r="5" spans="1:10">
      <c r="A5" s="7">
        <v>2001</v>
      </c>
      <c r="B5" s="9"/>
      <c r="C5" s="169"/>
      <c r="D5" s="169"/>
      <c r="E5" s="169"/>
      <c r="F5" s="9"/>
      <c r="G5" s="9"/>
      <c r="H5" s="9"/>
      <c r="I5" s="169"/>
      <c r="J5" s="479">
        <v>0.4</v>
      </c>
    </row>
    <row r="6" spans="1:10">
      <c r="A6" s="7">
        <v>2002</v>
      </c>
      <c r="B6" s="9"/>
      <c r="C6" s="169"/>
      <c r="D6" s="169"/>
      <c r="E6" s="169"/>
      <c r="F6" s="9"/>
      <c r="G6" s="9"/>
      <c r="H6" s="9"/>
      <c r="I6" s="169"/>
      <c r="J6" s="479">
        <v>0.4</v>
      </c>
    </row>
    <row r="7" spans="1:10">
      <c r="A7" s="7">
        <v>2003</v>
      </c>
      <c r="B7" s="9"/>
      <c r="C7" s="169"/>
      <c r="D7" s="169"/>
      <c r="E7" s="169"/>
      <c r="F7" s="9"/>
      <c r="G7" s="9"/>
      <c r="H7" s="9"/>
      <c r="I7" s="169"/>
      <c r="J7" s="479">
        <v>0.4</v>
      </c>
    </row>
    <row r="8" spans="1:10">
      <c r="A8" s="7">
        <v>2004</v>
      </c>
      <c r="B8" s="9"/>
      <c r="C8" s="169"/>
      <c r="D8" s="169"/>
      <c r="E8" s="169"/>
      <c r="F8" s="9"/>
      <c r="G8" s="9"/>
      <c r="H8" s="9"/>
      <c r="I8" s="169"/>
      <c r="J8" s="479">
        <v>0.4</v>
      </c>
    </row>
    <row r="9" spans="1:10">
      <c r="A9" s="7">
        <v>2005</v>
      </c>
      <c r="B9" s="9"/>
      <c r="C9" s="169"/>
      <c r="D9" s="169"/>
      <c r="E9" s="169"/>
      <c r="F9" s="9"/>
      <c r="G9" s="9"/>
      <c r="H9" s="9"/>
      <c r="I9" s="169"/>
      <c r="J9" s="479">
        <v>0.4</v>
      </c>
    </row>
    <row r="10" spans="1:10">
      <c r="A10" s="7">
        <v>2006</v>
      </c>
      <c r="B10" s="9"/>
      <c r="C10" s="169"/>
      <c r="D10" s="169"/>
      <c r="E10" s="169"/>
      <c r="F10" s="9"/>
      <c r="G10" s="9"/>
      <c r="H10" s="9"/>
      <c r="I10" s="169"/>
      <c r="J10" s="479">
        <v>0.4</v>
      </c>
    </row>
    <row r="11" spans="1:10">
      <c r="A11" s="7">
        <v>2007</v>
      </c>
      <c r="B11" s="10"/>
      <c r="C11" s="647"/>
      <c r="D11" s="647"/>
      <c r="E11" s="647"/>
      <c r="F11" s="10"/>
      <c r="G11" s="10"/>
      <c r="H11" s="10"/>
      <c r="I11" s="647"/>
      <c r="J11" s="479">
        <v>0.4</v>
      </c>
    </row>
    <row r="12" spans="1:10">
      <c r="A12" s="7">
        <v>2008</v>
      </c>
      <c r="B12" s="10"/>
      <c r="C12" s="647"/>
      <c r="D12" s="647"/>
      <c r="E12" s="647"/>
      <c r="F12" s="648">
        <v>3000</v>
      </c>
      <c r="G12" s="652">
        <v>25766</v>
      </c>
      <c r="H12" s="648">
        <f>F12*J12</f>
        <v>1200</v>
      </c>
      <c r="I12" s="652">
        <f>G12*J12</f>
        <v>10306.400000000001</v>
      </c>
      <c r="J12" s="479">
        <v>0.4</v>
      </c>
    </row>
    <row r="13" spans="1:10">
      <c r="A13" s="7">
        <v>2009</v>
      </c>
      <c r="B13" s="10"/>
      <c r="C13" s="647"/>
      <c r="D13" s="647"/>
      <c r="E13" s="647"/>
      <c r="F13" s="10"/>
      <c r="G13" s="647"/>
      <c r="H13" s="130">
        <f t="shared" ref="H13:H15" si="0">F13*J13</f>
        <v>0</v>
      </c>
      <c r="I13" s="666">
        <f t="shared" ref="I13:I15" si="1">G13*J13</f>
        <v>0</v>
      </c>
      <c r="J13" s="479">
        <v>0.35</v>
      </c>
    </row>
    <row r="14" spans="1:10">
      <c r="A14" s="7">
        <v>2010</v>
      </c>
      <c r="B14" s="10"/>
      <c r="C14" s="647"/>
      <c r="D14" s="647"/>
      <c r="E14" s="647"/>
      <c r="F14" s="10"/>
      <c r="G14" s="647"/>
      <c r="H14" s="130">
        <f t="shared" si="0"/>
        <v>0</v>
      </c>
      <c r="I14" s="666">
        <f t="shared" si="1"/>
        <v>0</v>
      </c>
      <c r="J14" s="479">
        <v>0.45</v>
      </c>
    </row>
    <row r="15" spans="1:10">
      <c r="A15" s="7">
        <v>2011</v>
      </c>
      <c r="B15" s="10"/>
      <c r="C15" s="647"/>
      <c r="D15" s="647"/>
      <c r="E15" s="647"/>
      <c r="F15" s="648">
        <v>2000</v>
      </c>
      <c r="G15" s="652">
        <v>12824</v>
      </c>
      <c r="H15" s="648">
        <f t="shared" si="0"/>
        <v>700</v>
      </c>
      <c r="I15" s="652">
        <f t="shared" si="1"/>
        <v>4488.3999999999996</v>
      </c>
      <c r="J15" s="479">
        <v>0.35</v>
      </c>
    </row>
    <row r="16" spans="1:10">
      <c r="A16" s="7">
        <v>2012</v>
      </c>
      <c r="B16" s="10"/>
      <c r="C16" s="647"/>
      <c r="D16" s="647"/>
      <c r="E16" s="647"/>
      <c r="F16" s="10"/>
      <c r="G16" s="10"/>
      <c r="H16" s="10"/>
      <c r="I16" s="647"/>
      <c r="J16" s="479">
        <v>0.18</v>
      </c>
    </row>
    <row r="17" spans="1:10">
      <c r="A17" s="830">
        <v>2013</v>
      </c>
      <c r="B17" s="9">
        <v>13536.06</v>
      </c>
      <c r="C17" s="169">
        <v>75731</v>
      </c>
      <c r="D17" s="9">
        <f>B17*J17</f>
        <v>3519.3755999999998</v>
      </c>
      <c r="E17" s="169">
        <f>C17*J17</f>
        <v>19690.060000000001</v>
      </c>
      <c r="F17" s="10"/>
      <c r="G17" s="10"/>
      <c r="H17" s="10"/>
      <c r="I17" s="647"/>
      <c r="J17" s="479">
        <v>0.26</v>
      </c>
    </row>
    <row r="18" spans="1:10">
      <c r="A18" s="831"/>
      <c r="B18" s="9">
        <v>10000</v>
      </c>
      <c r="C18" s="169">
        <v>56743</v>
      </c>
      <c r="D18" s="9">
        <f>B18*J18</f>
        <v>2600</v>
      </c>
      <c r="E18" s="169">
        <f>C18*J18</f>
        <v>14753.18</v>
      </c>
      <c r="F18" s="10"/>
      <c r="G18" s="10"/>
      <c r="H18" s="10"/>
      <c r="I18" s="647"/>
      <c r="J18" s="479">
        <v>0.26</v>
      </c>
    </row>
    <row r="19" spans="1:10">
      <c r="A19" s="7">
        <v>2014</v>
      </c>
      <c r="B19" s="10"/>
      <c r="C19" s="647"/>
      <c r="D19" s="647"/>
      <c r="E19" s="647"/>
      <c r="F19" s="10"/>
      <c r="G19" s="10"/>
      <c r="H19" s="10"/>
      <c r="I19" s="647"/>
      <c r="J19" s="479">
        <v>0.33</v>
      </c>
    </row>
    <row r="20" spans="1:10">
      <c r="A20" s="7">
        <v>2015</v>
      </c>
      <c r="B20" s="10"/>
      <c r="C20" s="647"/>
      <c r="D20" s="647"/>
      <c r="E20" s="647"/>
      <c r="F20" s="10"/>
      <c r="G20" s="10"/>
      <c r="H20" s="10"/>
      <c r="I20" s="647"/>
      <c r="J20" s="479">
        <v>0.45</v>
      </c>
    </row>
    <row r="21" spans="1:10">
      <c r="A21" s="7">
        <v>2016</v>
      </c>
      <c r="B21" s="10"/>
      <c r="C21" s="647"/>
      <c r="D21" s="647"/>
      <c r="E21" s="647"/>
      <c r="F21" s="10"/>
      <c r="G21" s="10"/>
      <c r="H21" s="10"/>
      <c r="I21" s="647"/>
      <c r="J21" s="479">
        <v>0.45</v>
      </c>
    </row>
    <row r="22" spans="1:10">
      <c r="A22" s="7">
        <v>2017</v>
      </c>
      <c r="B22" s="10"/>
      <c r="C22" s="647"/>
      <c r="D22" s="647"/>
      <c r="E22" s="647"/>
      <c r="F22" s="10"/>
      <c r="G22" s="10"/>
      <c r="H22" s="10"/>
      <c r="I22" s="647"/>
      <c r="J22" s="479">
        <v>0.45</v>
      </c>
    </row>
    <row r="23" spans="1:10">
      <c r="A23" s="7">
        <v>2018</v>
      </c>
      <c r="B23" s="10"/>
      <c r="C23" s="647"/>
      <c r="D23" s="647"/>
      <c r="E23" s="647"/>
      <c r="F23" s="10"/>
      <c r="G23" s="10"/>
      <c r="H23" s="10"/>
      <c r="I23" s="647"/>
      <c r="J23" s="479">
        <v>0.45</v>
      </c>
    </row>
    <row r="24" spans="1:10">
      <c r="A24" s="7">
        <v>2019</v>
      </c>
      <c r="B24" s="10"/>
      <c r="C24" s="647"/>
      <c r="D24" s="647"/>
      <c r="E24" s="647"/>
      <c r="F24" s="10"/>
      <c r="G24" s="10"/>
      <c r="H24" s="10"/>
      <c r="I24" s="647"/>
      <c r="J24" s="479">
        <v>0.36</v>
      </c>
    </row>
    <row r="25" spans="1:10">
      <c r="A25" s="7">
        <v>2020</v>
      </c>
      <c r="B25" s="10"/>
      <c r="C25" s="647"/>
      <c r="D25" s="647"/>
      <c r="E25" s="647"/>
      <c r="F25" s="10"/>
      <c r="G25" s="10"/>
      <c r="H25" s="10"/>
      <c r="I25" s="647"/>
      <c r="J25" s="479">
        <v>0.44</v>
      </c>
    </row>
    <row r="26" spans="1:10">
      <c r="A26" s="7">
        <v>2021</v>
      </c>
      <c r="B26" s="10"/>
      <c r="C26" s="647"/>
      <c r="D26" s="647"/>
      <c r="E26" s="647"/>
      <c r="F26" s="10"/>
      <c r="G26" s="10"/>
      <c r="H26" s="10"/>
      <c r="I26" s="647"/>
      <c r="J26" s="479">
        <v>0.44</v>
      </c>
    </row>
    <row r="27" spans="1:10">
      <c r="A27" s="7">
        <v>2022</v>
      </c>
      <c r="B27" s="10"/>
      <c r="C27" s="647"/>
      <c r="D27" s="647"/>
      <c r="E27" s="647"/>
      <c r="F27" s="10"/>
      <c r="G27" s="10"/>
      <c r="H27" s="10"/>
      <c r="I27" s="647"/>
    </row>
    <row r="28" spans="1:10">
      <c r="A28" s="7">
        <v>2023</v>
      </c>
      <c r="B28" s="10"/>
      <c r="C28" s="647"/>
      <c r="D28" s="647"/>
      <c r="E28" s="647"/>
      <c r="F28" s="10"/>
      <c r="G28" s="10"/>
      <c r="H28" s="10"/>
      <c r="I28" s="647"/>
    </row>
    <row r="29" spans="1:10">
      <c r="A29" s="7">
        <v>2024</v>
      </c>
      <c r="B29" s="10"/>
      <c r="C29" s="647"/>
      <c r="D29" s="647"/>
      <c r="E29" s="647"/>
      <c r="F29" s="10"/>
      <c r="G29" s="10"/>
      <c r="H29" s="10"/>
      <c r="I29" s="647"/>
    </row>
    <row r="30" spans="1:10">
      <c r="A30" s="649"/>
      <c r="B30" s="659">
        <f>SUM(B2:B29)</f>
        <v>23536.059999999998</v>
      </c>
      <c r="C30" s="660">
        <f>SUM(C2:C29)</f>
        <v>132474</v>
      </c>
      <c r="D30" s="659">
        <f t="shared" ref="D30:E30" si="2">SUM(D2:D29)</f>
        <v>6119.3755999999994</v>
      </c>
      <c r="E30" s="660">
        <f t="shared" si="2"/>
        <v>34443.240000000005</v>
      </c>
      <c r="F30" s="657">
        <f>SUM(F2:F29)</f>
        <v>5000</v>
      </c>
      <c r="G30" s="658">
        <f t="shared" ref="G30:H30" si="3">SUM(G2:G29)</f>
        <v>38590</v>
      </c>
      <c r="H30" s="657">
        <f t="shared" si="3"/>
        <v>1900</v>
      </c>
      <c r="I30" s="658">
        <f>SUM(I2:I29)</f>
        <v>14794.800000000001</v>
      </c>
    </row>
    <row r="32" spans="1:10" ht="15">
      <c r="C32" s="650" t="s">
        <v>389</v>
      </c>
      <c r="D32" s="650"/>
      <c r="E32" s="650"/>
      <c r="F32" s="651">
        <v>46062</v>
      </c>
      <c r="G32" s="651"/>
      <c r="H32" s="651"/>
      <c r="I32" s="650" t="s">
        <v>389</v>
      </c>
    </row>
    <row r="34" spans="1:11" ht="15.75">
      <c r="A34" s="832" t="s">
        <v>588</v>
      </c>
      <c r="B34" s="832"/>
      <c r="C34" s="832"/>
      <c r="D34" s="832"/>
      <c r="E34" s="832"/>
      <c r="F34" s="832"/>
      <c r="G34" s="832"/>
      <c r="H34" s="832"/>
      <c r="I34" s="832"/>
      <c r="J34" s="832"/>
      <c r="K34" s="832"/>
    </row>
    <row r="35" spans="1:11" ht="15.75">
      <c r="A35" s="833" t="s">
        <v>589</v>
      </c>
      <c r="B35" s="833"/>
      <c r="C35" s="833"/>
      <c r="D35" s="833"/>
      <c r="E35" s="833"/>
      <c r="F35" s="833"/>
      <c r="G35" s="833"/>
      <c r="H35" s="833"/>
      <c r="I35" s="833"/>
      <c r="J35" s="833"/>
      <c r="K35" s="833"/>
    </row>
  </sheetData>
  <mergeCells count="3">
    <mergeCell ref="A17:A18"/>
    <mergeCell ref="A34:K34"/>
    <mergeCell ref="A35:K3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P175"/>
  <sheetViews>
    <sheetView workbookViewId="0">
      <pane ySplit="2" topLeftCell="A15" activePane="bottomLeft" state="frozen"/>
      <selection pane="bottomLeft" activeCell="P23" sqref="P23"/>
    </sheetView>
  </sheetViews>
  <sheetFormatPr defaultRowHeight="12.75"/>
  <cols>
    <col min="1" max="1" width="5.88671875" style="8" bestFit="1" customWidth="1"/>
    <col min="2" max="2" width="6.44140625" style="8" customWidth="1"/>
    <col min="3" max="3" width="8.44140625" style="8" bestFit="1" customWidth="1"/>
    <col min="4" max="5" width="9" style="8" bestFit="1" customWidth="1"/>
    <col min="6" max="7" width="7.21875" style="8" bestFit="1" customWidth="1"/>
    <col min="8" max="8" width="7.33203125" style="8" customWidth="1"/>
    <col min="9" max="9" width="7.21875" style="8" bestFit="1" customWidth="1"/>
    <col min="10" max="10" width="6.44140625" style="8" bestFit="1" customWidth="1"/>
    <col min="11" max="11" width="7.21875" style="8" bestFit="1" customWidth="1"/>
    <col min="12" max="12" width="6.44140625" style="8" bestFit="1" customWidth="1"/>
    <col min="13" max="13" width="7.21875" style="8" bestFit="1" customWidth="1"/>
    <col min="14" max="14" width="8.44140625" style="8" bestFit="1" customWidth="1"/>
    <col min="15" max="15" width="7.88671875" style="8" customWidth="1"/>
    <col min="16" max="16" width="7.5546875" style="8" customWidth="1"/>
    <col min="17" max="17" width="8.21875" style="8" customWidth="1"/>
    <col min="18" max="18" width="10" style="8" bestFit="1" customWidth="1"/>
    <col min="19" max="19" width="7.33203125" style="8" customWidth="1"/>
    <col min="20" max="20" width="5.88671875" style="8" bestFit="1" customWidth="1"/>
    <col min="21" max="21" width="5.6640625" style="8" customWidth="1"/>
    <col min="22" max="22" width="5.88671875" style="8" customWidth="1"/>
    <col min="23" max="24" width="6.44140625" style="8" bestFit="1" customWidth="1"/>
    <col min="25" max="25" width="4.44140625" style="8" bestFit="1" customWidth="1"/>
    <col min="26" max="31" width="5.21875" style="8" bestFit="1" customWidth="1"/>
    <col min="32" max="32" width="6.44140625" style="8" bestFit="1" customWidth="1"/>
    <col min="33" max="33" width="3.88671875" style="8" customWidth="1"/>
    <col min="34" max="34" width="8.88671875" style="8"/>
    <col min="35" max="35" width="2.5546875" style="8" customWidth="1"/>
    <col min="36" max="36" width="8.88671875" style="8"/>
    <col min="37" max="38" width="5.6640625" style="8" bestFit="1" customWidth="1"/>
    <col min="39" max="39" width="2.33203125" style="8" customWidth="1"/>
    <col min="40" max="40" width="8.88671875" style="8"/>
    <col min="41" max="41" width="2.44140625" style="8" customWidth="1"/>
    <col min="42" max="42" width="11" style="8" customWidth="1"/>
    <col min="43" max="16384" width="8.88671875" style="8"/>
  </cols>
  <sheetData>
    <row r="1" spans="1:42">
      <c r="A1" s="756"/>
      <c r="B1" s="822" t="s">
        <v>18</v>
      </c>
      <c r="C1" s="820" t="s">
        <v>19</v>
      </c>
      <c r="D1" s="822" t="s">
        <v>20</v>
      </c>
      <c r="E1" s="824" t="s">
        <v>21</v>
      </c>
      <c r="F1" s="822" t="s">
        <v>2</v>
      </c>
      <c r="G1" s="820" t="s">
        <v>22</v>
      </c>
      <c r="H1" s="822" t="s">
        <v>23</v>
      </c>
      <c r="I1" s="824" t="s">
        <v>24</v>
      </c>
      <c r="J1" s="822" t="s">
        <v>25</v>
      </c>
      <c r="K1" s="820" t="s">
        <v>26</v>
      </c>
      <c r="L1" s="822" t="s">
        <v>27</v>
      </c>
      <c r="M1" s="824" t="s">
        <v>28</v>
      </c>
      <c r="N1" s="433"/>
      <c r="Q1" s="639">
        <v>299</v>
      </c>
    </row>
    <row r="2" spans="1:42" ht="13.5" thickBot="1">
      <c r="A2" s="757"/>
      <c r="B2" s="823"/>
      <c r="C2" s="821"/>
      <c r="D2" s="823"/>
      <c r="E2" s="825"/>
      <c r="F2" s="823"/>
      <c r="G2" s="821"/>
      <c r="H2" s="823"/>
      <c r="I2" s="825"/>
      <c r="J2" s="823"/>
      <c r="K2" s="821"/>
      <c r="L2" s="823"/>
      <c r="M2" s="825"/>
      <c r="N2" s="147" t="s">
        <v>68</v>
      </c>
      <c r="O2" s="140" t="s">
        <v>54</v>
      </c>
      <c r="P2" s="57"/>
      <c r="Q2" s="147" t="s">
        <v>68</v>
      </c>
      <c r="R2" s="140" t="s">
        <v>54</v>
      </c>
      <c r="T2" s="57">
        <v>1</v>
      </c>
      <c r="U2" s="8">
        <v>2</v>
      </c>
      <c r="V2" s="8">
        <v>3</v>
      </c>
      <c r="W2" s="8">
        <v>4</v>
      </c>
      <c r="X2" s="8">
        <v>5</v>
      </c>
      <c r="Y2" s="8">
        <v>6</v>
      </c>
      <c r="Z2" s="8">
        <v>7</v>
      </c>
      <c r="AA2" s="8">
        <v>8</v>
      </c>
      <c r="AB2" s="8">
        <v>9</v>
      </c>
      <c r="AC2" s="8">
        <v>10</v>
      </c>
      <c r="AD2" s="8">
        <v>11</v>
      </c>
      <c r="AE2" s="8">
        <v>12</v>
      </c>
    </row>
    <row r="3" spans="1:42">
      <c r="A3" s="15">
        <v>1998</v>
      </c>
      <c r="B3" s="146"/>
      <c r="C3" s="146"/>
      <c r="D3" s="146"/>
      <c r="E3" s="146"/>
      <c r="F3" s="146"/>
      <c r="G3" s="146"/>
      <c r="H3" s="146"/>
      <c r="I3" s="115">
        <f>N53</f>
        <v>1.4900000000000002</v>
      </c>
      <c r="J3" s="115">
        <f>N54</f>
        <v>6.54</v>
      </c>
      <c r="K3" s="115">
        <f>N55</f>
        <v>7.6899999999999995</v>
      </c>
      <c r="L3" s="115">
        <f>N56</f>
        <v>4.66</v>
      </c>
      <c r="M3" s="115">
        <f>N57</f>
        <v>10.950000000000001</v>
      </c>
      <c r="N3" s="116">
        <f>SUM(I3:M3)</f>
        <v>31.330000000000005</v>
      </c>
      <c r="O3" s="168">
        <f>AF3</f>
        <v>376</v>
      </c>
      <c r="P3" s="638">
        <v>0.3</v>
      </c>
      <c r="Q3" s="9">
        <f>N3*P3</f>
        <v>9.3990000000000009</v>
      </c>
      <c r="R3" s="168">
        <f>O3*30%</f>
        <v>112.8</v>
      </c>
      <c r="S3" s="166"/>
      <c r="T3" s="148"/>
      <c r="U3" s="148"/>
      <c r="V3" s="166"/>
      <c r="W3" s="166"/>
      <c r="X3" s="148"/>
      <c r="Y3" s="166"/>
      <c r="Z3" s="148"/>
      <c r="AA3" s="166">
        <v>19</v>
      </c>
      <c r="AB3" s="166">
        <v>81</v>
      </c>
      <c r="AC3" s="161">
        <v>93</v>
      </c>
      <c r="AD3" s="161">
        <v>55</v>
      </c>
      <c r="AE3" s="161">
        <v>128</v>
      </c>
      <c r="AF3" s="404">
        <f t="shared" ref="AF3:AF7" si="0">SUM(T3:AE3)</f>
        <v>376</v>
      </c>
    </row>
    <row r="4" spans="1:42">
      <c r="A4" s="7">
        <v>1999</v>
      </c>
      <c r="B4" s="9"/>
      <c r="C4" s="9">
        <f>N58</f>
        <v>4.99</v>
      </c>
      <c r="D4" s="9"/>
      <c r="E4" s="9">
        <f>N59</f>
        <v>15.31</v>
      </c>
      <c r="F4" s="9">
        <f>N60</f>
        <v>6.13</v>
      </c>
      <c r="G4" s="9"/>
      <c r="H4" s="9"/>
      <c r="I4" s="9"/>
      <c r="J4" s="9"/>
      <c r="K4" s="9">
        <f>N61</f>
        <v>9.1999999999999993</v>
      </c>
      <c r="L4" s="9">
        <f>N62</f>
        <v>3.3600000000000003</v>
      </c>
      <c r="M4" s="9"/>
      <c r="N4" s="116">
        <f>SUM(B4:M4)</f>
        <v>38.989999999999995</v>
      </c>
      <c r="O4" s="168">
        <f t="shared" ref="O4:O21" si="1">AF4</f>
        <v>409</v>
      </c>
      <c r="P4" s="638">
        <v>0.4</v>
      </c>
      <c r="Q4" s="9">
        <f t="shared" ref="Q4:Q21" si="2">N4*P4</f>
        <v>15.595999999999998</v>
      </c>
      <c r="R4" s="168">
        <f t="shared" ref="R4:R21" si="3">O4*30%</f>
        <v>122.69999999999999</v>
      </c>
      <c r="S4" s="166"/>
      <c r="T4" s="148"/>
      <c r="U4" s="148">
        <v>56</v>
      </c>
      <c r="V4" s="166"/>
      <c r="W4" s="166">
        <v>166</v>
      </c>
      <c r="X4" s="148">
        <v>65</v>
      </c>
      <c r="Y4" s="166"/>
      <c r="Z4" s="148"/>
      <c r="AA4" s="166"/>
      <c r="AB4" s="161"/>
      <c r="AC4" s="161">
        <v>90</v>
      </c>
      <c r="AD4" s="161">
        <v>32</v>
      </c>
      <c r="AE4" s="161"/>
      <c r="AF4" s="404">
        <f t="shared" si="0"/>
        <v>409</v>
      </c>
    </row>
    <row r="5" spans="1:42">
      <c r="A5" s="7">
        <v>2000</v>
      </c>
      <c r="B5" s="9">
        <f>N63</f>
        <v>1.6100000000000003</v>
      </c>
      <c r="C5" s="9">
        <f>N64</f>
        <v>7.49</v>
      </c>
      <c r="D5" s="9">
        <f>N65</f>
        <v>10.46</v>
      </c>
      <c r="E5" s="9">
        <f>N66</f>
        <v>5.0600000000000005</v>
      </c>
      <c r="F5" s="9"/>
      <c r="G5" s="9"/>
      <c r="H5" s="9"/>
      <c r="I5" s="9"/>
      <c r="J5" s="9"/>
      <c r="K5" s="9"/>
      <c r="L5" s="9"/>
      <c r="M5" s="9"/>
      <c r="N5" s="116">
        <f t="shared" ref="N5:N21" si="4">SUM(B5:M5)</f>
        <v>24.620000000000005</v>
      </c>
      <c r="O5" s="168">
        <f t="shared" si="1"/>
        <v>226</v>
      </c>
      <c r="P5" s="638">
        <v>0.45</v>
      </c>
      <c r="Q5" s="9">
        <f t="shared" si="2"/>
        <v>11.079000000000002</v>
      </c>
      <c r="R5" s="168">
        <f t="shared" si="3"/>
        <v>67.8</v>
      </c>
      <c r="S5" s="166"/>
      <c r="T5" s="148">
        <v>15</v>
      </c>
      <c r="U5" s="148">
        <v>68</v>
      </c>
      <c r="V5" s="166">
        <v>97</v>
      </c>
      <c r="W5" s="166">
        <v>46</v>
      </c>
      <c r="X5" s="148"/>
      <c r="Y5" s="166"/>
      <c r="Z5" s="148"/>
      <c r="AA5" s="166"/>
      <c r="AB5" s="161"/>
      <c r="AC5" s="161"/>
      <c r="AD5" s="161"/>
      <c r="AE5" s="161"/>
      <c r="AF5" s="404">
        <f t="shared" si="0"/>
        <v>226</v>
      </c>
    </row>
    <row r="6" spans="1:42" ht="13.5" customHeight="1">
      <c r="A6" s="7">
        <v>2001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16">
        <f t="shared" si="4"/>
        <v>0</v>
      </c>
      <c r="O6" s="168">
        <f t="shared" si="1"/>
        <v>0</v>
      </c>
      <c r="P6" s="638">
        <v>0.4</v>
      </c>
      <c r="Q6" s="9">
        <f t="shared" si="2"/>
        <v>0</v>
      </c>
      <c r="R6" s="168">
        <f t="shared" si="3"/>
        <v>0</v>
      </c>
      <c r="S6" s="166"/>
      <c r="T6" s="148"/>
      <c r="U6" s="148"/>
      <c r="V6" s="166"/>
      <c r="W6" s="166"/>
      <c r="X6" s="148"/>
      <c r="Y6" s="166"/>
      <c r="Z6" s="148"/>
      <c r="AA6" s="166"/>
      <c r="AB6" s="161"/>
      <c r="AC6" s="161"/>
      <c r="AD6" s="161"/>
      <c r="AE6" s="161"/>
      <c r="AF6" s="404">
        <f t="shared" si="0"/>
        <v>0</v>
      </c>
      <c r="AI6" s="237"/>
      <c r="AJ6" s="485" t="s">
        <v>547</v>
      </c>
      <c r="AK6" s="623"/>
      <c r="AL6" s="482" t="s">
        <v>542</v>
      </c>
      <c r="AM6" s="623"/>
      <c r="AN6" s="623" t="s">
        <v>16</v>
      </c>
      <c r="AO6" s="623"/>
      <c r="AP6" s="623" t="s">
        <v>546</v>
      </c>
    </row>
    <row r="7" spans="1:42">
      <c r="A7" s="7">
        <v>2002</v>
      </c>
      <c r="B7" s="9"/>
      <c r="C7" s="9"/>
      <c r="D7" s="9"/>
      <c r="E7" s="9">
        <v>7.46</v>
      </c>
      <c r="F7" s="9">
        <v>17.53</v>
      </c>
      <c r="G7" s="9"/>
      <c r="H7" s="9"/>
      <c r="I7" s="9"/>
      <c r="J7" s="9"/>
      <c r="K7" s="9"/>
      <c r="L7" s="9"/>
      <c r="M7" s="9"/>
      <c r="N7" s="116">
        <f t="shared" si="4"/>
        <v>24.990000000000002</v>
      </c>
      <c r="O7" s="168">
        <f t="shared" si="1"/>
        <v>169</v>
      </c>
      <c r="P7" s="638">
        <v>0.4</v>
      </c>
      <c r="Q7" s="9">
        <f t="shared" si="2"/>
        <v>9.9960000000000022</v>
      </c>
      <c r="R7" s="168">
        <f t="shared" si="3"/>
        <v>50.699999999999996</v>
      </c>
      <c r="S7" s="166"/>
      <c r="T7" s="148"/>
      <c r="U7" s="148"/>
      <c r="V7" s="166"/>
      <c r="W7" s="166">
        <v>51</v>
      </c>
      <c r="X7" s="148">
        <v>118</v>
      </c>
      <c r="Y7" s="166"/>
      <c r="Z7" s="148"/>
      <c r="AA7" s="166"/>
      <c r="AB7" s="161"/>
      <c r="AC7" s="161"/>
      <c r="AD7" s="161"/>
      <c r="AE7" s="161"/>
      <c r="AF7" s="404">
        <f t="shared" si="0"/>
        <v>169</v>
      </c>
      <c r="AI7" s="237"/>
      <c r="AJ7" s="481" t="s">
        <v>543</v>
      </c>
      <c r="AK7" s="484">
        <v>5555</v>
      </c>
      <c r="AL7" s="109">
        <v>4444</v>
      </c>
      <c r="AM7" s="237"/>
      <c r="AN7" s="237">
        <f>AK7*AL7</f>
        <v>24686420</v>
      </c>
      <c r="AO7" s="225"/>
      <c r="AP7" s="237">
        <f>(O22*AN7/N22)*2</f>
        <v>148458612.72505391</v>
      </c>
    </row>
    <row r="8" spans="1:42">
      <c r="A8" s="7">
        <v>2003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16">
        <f t="shared" si="4"/>
        <v>0</v>
      </c>
      <c r="O8" s="168">
        <f t="shared" si="1"/>
        <v>0</v>
      </c>
      <c r="P8" s="638">
        <v>0.4</v>
      </c>
      <c r="Q8" s="9">
        <f t="shared" si="2"/>
        <v>0</v>
      </c>
      <c r="R8" s="168">
        <f t="shared" si="3"/>
        <v>0</v>
      </c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404">
        <f t="shared" ref="AF8:AF21" si="5">SUM(T8:AE8)</f>
        <v>0</v>
      </c>
      <c r="AI8" s="237"/>
      <c r="AJ8" s="481" t="s">
        <v>544</v>
      </c>
      <c r="AK8" s="109">
        <v>5555</v>
      </c>
      <c r="AL8" s="109">
        <v>2222</v>
      </c>
      <c r="AM8" s="237"/>
      <c r="AN8" s="237">
        <f>AK8*AL8</f>
        <v>12343210</v>
      </c>
      <c r="AO8" s="237"/>
      <c r="AP8" s="237">
        <v>155555555</v>
      </c>
    </row>
    <row r="9" spans="1:42">
      <c r="A9" s="7">
        <v>2004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16">
        <f t="shared" si="4"/>
        <v>0</v>
      </c>
      <c r="O9" s="168">
        <f t="shared" si="1"/>
        <v>0</v>
      </c>
      <c r="P9" s="638">
        <v>0.4</v>
      </c>
      <c r="Q9" s="9">
        <f t="shared" si="2"/>
        <v>0</v>
      </c>
      <c r="R9" s="168">
        <f t="shared" si="3"/>
        <v>0</v>
      </c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404">
        <f t="shared" si="5"/>
        <v>0</v>
      </c>
      <c r="AI9" s="237"/>
      <c r="AJ9" s="481" t="s">
        <v>545</v>
      </c>
      <c r="AK9" s="109">
        <v>5555</v>
      </c>
      <c r="AL9" s="109">
        <v>1111</v>
      </c>
      <c r="AM9" s="237"/>
      <c r="AN9" s="237">
        <f>AK9*AL9</f>
        <v>6171605</v>
      </c>
      <c r="AO9" s="237"/>
      <c r="AP9" s="237">
        <v>166666666</v>
      </c>
    </row>
    <row r="10" spans="1:42">
      <c r="A10" s="7">
        <v>2005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16">
        <f t="shared" si="4"/>
        <v>0</v>
      </c>
      <c r="O10" s="168">
        <f t="shared" si="1"/>
        <v>0</v>
      </c>
      <c r="P10" s="638">
        <v>0.4</v>
      </c>
      <c r="Q10" s="9">
        <f t="shared" si="2"/>
        <v>0</v>
      </c>
      <c r="R10" s="168">
        <f t="shared" si="3"/>
        <v>0</v>
      </c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404">
        <f t="shared" si="5"/>
        <v>0</v>
      </c>
      <c r="AI10" s="237"/>
      <c r="AJ10" s="235"/>
      <c r="AK10" s="483"/>
      <c r="AL10" s="237"/>
      <c r="AM10" s="237"/>
      <c r="AN10" s="237">
        <f t="shared" ref="AN10" si="6">SUM(AN7:AN9)</f>
        <v>43201235</v>
      </c>
      <c r="AO10" s="237"/>
      <c r="AP10" s="237">
        <f>SUM(AP7:AP9)</f>
        <v>470680833.72505391</v>
      </c>
    </row>
    <row r="11" spans="1:42">
      <c r="A11" s="7">
        <v>2006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16">
        <f t="shared" si="4"/>
        <v>0</v>
      </c>
      <c r="O11" s="168">
        <f t="shared" si="1"/>
        <v>0</v>
      </c>
      <c r="P11" s="638">
        <v>0.4</v>
      </c>
      <c r="Q11" s="9">
        <f t="shared" si="2"/>
        <v>0</v>
      </c>
      <c r="R11" s="168">
        <f t="shared" si="3"/>
        <v>0</v>
      </c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404">
        <f t="shared" si="5"/>
        <v>0</v>
      </c>
    </row>
    <row r="12" spans="1:42">
      <c r="A12" s="7">
        <v>2007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>
        <f>N69</f>
        <v>6.72</v>
      </c>
      <c r="N12" s="116">
        <f t="shared" si="4"/>
        <v>6.72</v>
      </c>
      <c r="O12" s="168">
        <f t="shared" si="1"/>
        <v>25</v>
      </c>
      <c r="P12" s="638">
        <v>0.4</v>
      </c>
      <c r="Q12" s="9">
        <f t="shared" si="2"/>
        <v>2.6880000000000002</v>
      </c>
      <c r="R12" s="168">
        <f t="shared" si="3"/>
        <v>7.5</v>
      </c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>
        <v>25</v>
      </c>
      <c r="AF12" s="404">
        <f t="shared" si="5"/>
        <v>25</v>
      </c>
    </row>
    <row r="13" spans="1:42">
      <c r="A13" s="7">
        <v>2008</v>
      </c>
      <c r="B13" s="9">
        <f>N70</f>
        <v>11.52</v>
      </c>
      <c r="C13" s="9">
        <f>N71</f>
        <v>18.72</v>
      </c>
      <c r="D13" s="9">
        <f>N72</f>
        <v>13.44</v>
      </c>
      <c r="E13" s="9">
        <f>N73</f>
        <v>13.92</v>
      </c>
      <c r="F13" s="9">
        <f>N74</f>
        <v>13.44</v>
      </c>
      <c r="G13" s="9">
        <f>N75</f>
        <v>6.72</v>
      </c>
      <c r="H13" s="9">
        <f>N76</f>
        <v>12</v>
      </c>
      <c r="I13" s="9">
        <f>N77</f>
        <v>17.759999999999998</v>
      </c>
      <c r="J13" s="9">
        <f>N78</f>
        <v>14.399999999999999</v>
      </c>
      <c r="K13" s="9">
        <f>N79</f>
        <v>11.04</v>
      </c>
      <c r="L13" s="9">
        <f>N80</f>
        <v>14.399999999999999</v>
      </c>
      <c r="M13" s="9">
        <f>N81</f>
        <v>12.959999999999999</v>
      </c>
      <c r="N13" s="116">
        <f t="shared" si="4"/>
        <v>160.32000000000002</v>
      </c>
      <c r="O13" s="168">
        <f t="shared" si="1"/>
        <v>563</v>
      </c>
      <c r="P13" s="638">
        <v>0.4</v>
      </c>
      <c r="Q13" s="9">
        <f t="shared" si="2"/>
        <v>64.128000000000014</v>
      </c>
      <c r="R13" s="168">
        <f t="shared" si="3"/>
        <v>168.9</v>
      </c>
      <c r="S13" s="166"/>
      <c r="T13" s="166">
        <v>43</v>
      </c>
      <c r="U13" s="166">
        <v>69</v>
      </c>
      <c r="V13" s="166">
        <v>49</v>
      </c>
      <c r="W13" s="166">
        <v>50</v>
      </c>
      <c r="X13" s="166">
        <v>48</v>
      </c>
      <c r="Y13" s="166">
        <v>24</v>
      </c>
      <c r="Z13" s="166">
        <v>42</v>
      </c>
      <c r="AA13" s="166">
        <v>61</v>
      </c>
      <c r="AB13" s="166">
        <v>49</v>
      </c>
      <c r="AC13" s="166">
        <v>37</v>
      </c>
      <c r="AD13" s="166">
        <v>48</v>
      </c>
      <c r="AE13" s="166">
        <v>43</v>
      </c>
      <c r="AF13" s="404">
        <f t="shared" si="5"/>
        <v>563</v>
      </c>
      <c r="AI13" s="237"/>
      <c r="AJ13" s="485" t="s">
        <v>548</v>
      </c>
      <c r="AK13" s="623"/>
      <c r="AL13" s="482" t="s">
        <v>542</v>
      </c>
      <c r="AM13" s="623"/>
      <c r="AN13" s="623" t="s">
        <v>16</v>
      </c>
      <c r="AO13" s="623"/>
      <c r="AP13" s="623" t="s">
        <v>546</v>
      </c>
    </row>
    <row r="14" spans="1:42">
      <c r="A14" s="7">
        <v>2009</v>
      </c>
      <c r="B14" s="9">
        <f>N82</f>
        <v>4.32</v>
      </c>
      <c r="C14" s="9">
        <f>N83</f>
        <v>4.32</v>
      </c>
      <c r="D14" s="9">
        <f>N84</f>
        <v>7.68</v>
      </c>
      <c r="E14" s="9">
        <f>N85</f>
        <v>8.64</v>
      </c>
      <c r="F14" s="9">
        <f>N86</f>
        <v>9.1199999999999992</v>
      </c>
      <c r="G14" s="9">
        <f>N87</f>
        <v>4.32</v>
      </c>
      <c r="H14" s="9">
        <f>N88</f>
        <v>13.92</v>
      </c>
      <c r="I14" s="9">
        <f>N89</f>
        <v>17.600000000000001</v>
      </c>
      <c r="J14" s="9">
        <f>N90</f>
        <v>36</v>
      </c>
      <c r="K14" s="9">
        <f>N91</f>
        <v>35.480000000000004</v>
      </c>
      <c r="L14" s="9">
        <f>N92</f>
        <v>28.8</v>
      </c>
      <c r="M14" s="9">
        <f>N93</f>
        <v>15.200000000000001</v>
      </c>
      <c r="N14" s="116">
        <f t="shared" si="4"/>
        <v>185.4</v>
      </c>
      <c r="O14" s="168">
        <f t="shared" si="1"/>
        <v>578</v>
      </c>
      <c r="P14" s="638">
        <v>0.35</v>
      </c>
      <c r="Q14" s="9">
        <f t="shared" si="2"/>
        <v>64.89</v>
      </c>
      <c r="R14" s="168">
        <f t="shared" si="3"/>
        <v>173.4</v>
      </c>
      <c r="S14" s="166"/>
      <c r="T14" s="166">
        <v>14</v>
      </c>
      <c r="U14" s="166">
        <v>14</v>
      </c>
      <c r="V14" s="166">
        <v>25</v>
      </c>
      <c r="W14" s="166">
        <v>28</v>
      </c>
      <c r="X14" s="166">
        <v>29</v>
      </c>
      <c r="Y14" s="166">
        <v>14</v>
      </c>
      <c r="Z14" s="166">
        <v>44</v>
      </c>
      <c r="AA14" s="166">
        <v>55</v>
      </c>
      <c r="AB14" s="166">
        <v>112</v>
      </c>
      <c r="AC14" s="166">
        <v>109</v>
      </c>
      <c r="AD14" s="166">
        <v>88</v>
      </c>
      <c r="AE14" s="166">
        <v>46</v>
      </c>
      <c r="AF14" s="404">
        <f t="shared" si="5"/>
        <v>578</v>
      </c>
      <c r="AI14" s="237"/>
      <c r="AJ14" s="481" t="s">
        <v>543</v>
      </c>
      <c r="AK14" s="109">
        <v>5555</v>
      </c>
      <c r="AL14" s="109">
        <v>5555</v>
      </c>
      <c r="AM14" s="237"/>
      <c r="AN14" s="237">
        <f>AK14*AL14</f>
        <v>30858025</v>
      </c>
      <c r="AO14" s="225"/>
      <c r="AP14" s="237">
        <f>(O49*AN14/N49)*2</f>
        <v>238716907.51753816</v>
      </c>
    </row>
    <row r="15" spans="1:42">
      <c r="A15" s="7">
        <v>2010</v>
      </c>
      <c r="B15" s="9"/>
      <c r="C15" s="9"/>
      <c r="D15" s="9"/>
      <c r="E15" s="9"/>
      <c r="F15" s="9"/>
      <c r="G15" s="9"/>
      <c r="H15" s="9">
        <f>N94</f>
        <v>12</v>
      </c>
      <c r="I15" s="9">
        <f>N95</f>
        <v>24.21</v>
      </c>
      <c r="J15" s="9">
        <f>N96</f>
        <v>23.410000000000004</v>
      </c>
      <c r="K15" s="9">
        <f>N97</f>
        <v>21.67</v>
      </c>
      <c r="L15" s="9">
        <f>N98</f>
        <v>19.200000000000003</v>
      </c>
      <c r="M15" s="9">
        <f>N99</f>
        <v>36.44</v>
      </c>
      <c r="N15" s="116">
        <f t="shared" si="4"/>
        <v>136.93</v>
      </c>
      <c r="O15" s="168">
        <f t="shared" si="1"/>
        <v>387</v>
      </c>
      <c r="P15" s="638">
        <v>0.45</v>
      </c>
      <c r="Q15" s="9">
        <f t="shared" si="2"/>
        <v>61.618500000000004</v>
      </c>
      <c r="R15" s="168">
        <f t="shared" si="3"/>
        <v>116.1</v>
      </c>
      <c r="S15" s="166"/>
      <c r="T15" s="166"/>
      <c r="U15" s="166"/>
      <c r="V15" s="166"/>
      <c r="W15" s="166"/>
      <c r="X15" s="166"/>
      <c r="Y15" s="166"/>
      <c r="Z15" s="166">
        <v>35</v>
      </c>
      <c r="AA15" s="166">
        <v>69</v>
      </c>
      <c r="AB15" s="166">
        <v>67</v>
      </c>
      <c r="AC15" s="166">
        <v>61</v>
      </c>
      <c r="AD15" s="166">
        <v>54</v>
      </c>
      <c r="AE15" s="166">
        <v>101</v>
      </c>
      <c r="AF15" s="404">
        <f t="shared" si="5"/>
        <v>387</v>
      </c>
      <c r="AI15" s="237"/>
      <c r="AJ15" s="481" t="s">
        <v>544</v>
      </c>
      <c r="AK15" s="109">
        <v>5555</v>
      </c>
      <c r="AL15" s="109">
        <v>2678</v>
      </c>
      <c r="AM15" s="237"/>
      <c r="AN15" s="237">
        <f>AK15*AL15</f>
        <v>14876290</v>
      </c>
      <c r="AO15" s="237"/>
      <c r="AP15" s="237">
        <v>255555555</v>
      </c>
    </row>
    <row r="16" spans="1:42">
      <c r="A16" s="7">
        <v>2011</v>
      </c>
      <c r="B16" s="9">
        <f>N100</f>
        <v>16.14</v>
      </c>
      <c r="C16" s="9">
        <f>N101</f>
        <v>36.4</v>
      </c>
      <c r="D16" s="9">
        <f>N102</f>
        <v>18.54</v>
      </c>
      <c r="E16" s="9">
        <f>N103</f>
        <v>27.01</v>
      </c>
      <c r="F16" s="9">
        <f>N104</f>
        <v>22.54</v>
      </c>
      <c r="G16" s="9">
        <f>N105</f>
        <v>13.600000000000001</v>
      </c>
      <c r="H16" s="9">
        <f>N106</f>
        <v>15.27</v>
      </c>
      <c r="I16" s="9">
        <f>N107</f>
        <v>23.200000000000003</v>
      </c>
      <c r="J16" s="9">
        <f>N108</f>
        <v>16</v>
      </c>
      <c r="K16" s="9">
        <f>N109</f>
        <v>2.4000000000000004</v>
      </c>
      <c r="L16" s="9">
        <f>N110</f>
        <v>8</v>
      </c>
      <c r="M16" s="9">
        <f>N111</f>
        <v>9.870000000000001</v>
      </c>
      <c r="N16" s="116">
        <f t="shared" si="4"/>
        <v>208.97</v>
      </c>
      <c r="O16" s="168">
        <f t="shared" si="1"/>
        <v>559</v>
      </c>
      <c r="P16" s="638">
        <v>0.35</v>
      </c>
      <c r="Q16" s="9">
        <f t="shared" si="2"/>
        <v>73.139499999999998</v>
      </c>
      <c r="R16" s="168">
        <f t="shared" si="3"/>
        <v>167.7</v>
      </c>
      <c r="S16" s="166"/>
      <c r="T16" s="166">
        <v>45</v>
      </c>
      <c r="U16" s="166">
        <v>100</v>
      </c>
      <c r="V16" s="166">
        <v>50</v>
      </c>
      <c r="W16" s="166">
        <v>73</v>
      </c>
      <c r="X16" s="166">
        <v>60</v>
      </c>
      <c r="Y16" s="166">
        <v>36</v>
      </c>
      <c r="Z16" s="166">
        <v>40</v>
      </c>
      <c r="AA16" s="166">
        <v>61</v>
      </c>
      <c r="AB16" s="166">
        <v>42</v>
      </c>
      <c r="AC16" s="166">
        <v>6</v>
      </c>
      <c r="AD16" s="166">
        <v>21</v>
      </c>
      <c r="AE16" s="166">
        <v>25</v>
      </c>
      <c r="AF16" s="404">
        <f t="shared" si="5"/>
        <v>559</v>
      </c>
      <c r="AI16" s="237"/>
      <c r="AJ16" s="481" t="s">
        <v>545</v>
      </c>
      <c r="AK16" s="109">
        <v>5555</v>
      </c>
      <c r="AL16" s="109">
        <v>1567</v>
      </c>
      <c r="AM16" s="237"/>
      <c r="AN16" s="237">
        <f>AK16*AL16</f>
        <v>8704685</v>
      </c>
      <c r="AO16" s="237"/>
      <c r="AP16" s="237">
        <v>299999999</v>
      </c>
    </row>
    <row r="17" spans="1:42" s="161" customFormat="1">
      <c r="A17" s="405">
        <v>2012</v>
      </c>
      <c r="B17" s="9">
        <f>N112</f>
        <v>17.2</v>
      </c>
      <c r="C17" s="9">
        <f>N113</f>
        <v>4</v>
      </c>
      <c r="D17" s="9">
        <f>N114</f>
        <v>18.54</v>
      </c>
      <c r="E17" s="9">
        <f>N115</f>
        <v>6.4700000000000006</v>
      </c>
      <c r="F17" s="9">
        <f>N116</f>
        <v>23.55</v>
      </c>
      <c r="G17" s="9">
        <f>N117</f>
        <v>20.350000000000001</v>
      </c>
      <c r="H17" s="9">
        <f>N118</f>
        <v>25.08</v>
      </c>
      <c r="I17" s="9">
        <f>N119</f>
        <v>35.550000000000004</v>
      </c>
      <c r="J17" s="9">
        <f>N120</f>
        <v>11.200000000000001</v>
      </c>
      <c r="K17" s="9">
        <f>N121</f>
        <v>4</v>
      </c>
      <c r="L17" s="9">
        <f>N122</f>
        <v>11.200000000000001</v>
      </c>
      <c r="M17" s="9">
        <f>N123</f>
        <v>25.01</v>
      </c>
      <c r="N17" s="724">
        <f t="shared" si="4"/>
        <v>202.14999999999995</v>
      </c>
      <c r="O17" s="168">
        <f t="shared" si="1"/>
        <v>489</v>
      </c>
      <c r="P17" s="638">
        <v>0.18</v>
      </c>
      <c r="Q17" s="9">
        <f t="shared" si="2"/>
        <v>36.386999999999986</v>
      </c>
      <c r="R17" s="168">
        <f t="shared" si="3"/>
        <v>146.69999999999999</v>
      </c>
      <c r="S17" s="166"/>
      <c r="T17" s="166">
        <v>43</v>
      </c>
      <c r="U17" s="166">
        <v>10</v>
      </c>
      <c r="V17" s="166">
        <v>46</v>
      </c>
      <c r="W17" s="166">
        <v>16</v>
      </c>
      <c r="X17" s="166">
        <v>58</v>
      </c>
      <c r="Y17" s="166">
        <v>50</v>
      </c>
      <c r="Z17" s="166">
        <v>61</v>
      </c>
      <c r="AA17" s="166">
        <v>85</v>
      </c>
      <c r="AB17" s="166">
        <v>27</v>
      </c>
      <c r="AC17" s="166">
        <v>9</v>
      </c>
      <c r="AD17" s="166">
        <v>26</v>
      </c>
      <c r="AE17" s="166">
        <v>58</v>
      </c>
      <c r="AF17" s="404">
        <f t="shared" si="5"/>
        <v>489</v>
      </c>
      <c r="AI17" s="237"/>
      <c r="AJ17" s="235"/>
      <c r="AK17" s="483"/>
      <c r="AL17" s="237"/>
      <c r="AM17" s="237"/>
      <c r="AN17" s="237">
        <f t="shared" ref="AN17" si="7">SUM(AN14:AN16)</f>
        <v>54439000</v>
      </c>
      <c r="AO17" s="237"/>
      <c r="AP17" s="237">
        <f>SUM(AP14:AP16)</f>
        <v>794272461.51753819</v>
      </c>
    </row>
    <row r="18" spans="1:42" s="161" customFormat="1">
      <c r="A18" s="405">
        <v>2013</v>
      </c>
      <c r="B18" s="9">
        <f>N124</f>
        <v>10.4</v>
      </c>
      <c r="C18" s="9">
        <f>N125</f>
        <v>7.8100000000000005</v>
      </c>
      <c r="D18" s="9">
        <f>N126</f>
        <v>28.02</v>
      </c>
      <c r="E18" s="9">
        <f>N127</f>
        <v>29.9</v>
      </c>
      <c r="F18" s="9">
        <f>N128</f>
        <v>34.21</v>
      </c>
      <c r="G18" s="9">
        <f>N129</f>
        <v>4.8499999999999996</v>
      </c>
      <c r="H18" s="9">
        <f>N130</f>
        <v>4.95</v>
      </c>
      <c r="I18" s="9">
        <f>N131</f>
        <v>8.9500000000000011</v>
      </c>
      <c r="J18" s="9">
        <f>N132</f>
        <v>18.18</v>
      </c>
      <c r="K18" s="9">
        <f>N133</f>
        <v>16.29</v>
      </c>
      <c r="L18" s="9">
        <f>N134</f>
        <v>14.91</v>
      </c>
      <c r="M18" s="9">
        <f>N135</f>
        <v>17.600000000000001</v>
      </c>
      <c r="N18" s="116">
        <f t="shared" si="4"/>
        <v>196.07</v>
      </c>
      <c r="O18" s="168">
        <f t="shared" si="1"/>
        <v>439</v>
      </c>
      <c r="P18" s="638">
        <v>0.26</v>
      </c>
      <c r="Q18" s="9">
        <f t="shared" si="2"/>
        <v>50.978200000000001</v>
      </c>
      <c r="R18" s="168">
        <f t="shared" si="3"/>
        <v>131.69999999999999</v>
      </c>
      <c r="S18" s="166"/>
      <c r="T18" s="166">
        <v>24</v>
      </c>
      <c r="U18" s="166">
        <v>18</v>
      </c>
      <c r="V18" s="166">
        <v>64</v>
      </c>
      <c r="W18" s="166">
        <v>68</v>
      </c>
      <c r="X18" s="166">
        <v>77</v>
      </c>
      <c r="Y18" s="166">
        <v>11</v>
      </c>
      <c r="Z18" s="166">
        <v>11</v>
      </c>
      <c r="AA18" s="166">
        <v>20</v>
      </c>
      <c r="AB18" s="166">
        <v>40</v>
      </c>
      <c r="AC18" s="166">
        <v>36</v>
      </c>
      <c r="AD18" s="166">
        <v>32</v>
      </c>
      <c r="AE18" s="166">
        <v>38</v>
      </c>
      <c r="AF18" s="404">
        <f t="shared" si="5"/>
        <v>439</v>
      </c>
    </row>
    <row r="19" spans="1:42" s="161" customFormat="1">
      <c r="A19" s="405">
        <v>2014</v>
      </c>
      <c r="B19" s="9">
        <f>N136</f>
        <v>5.0500000000000007</v>
      </c>
      <c r="C19" s="9">
        <f>N137</f>
        <v>4.45</v>
      </c>
      <c r="D19" s="9">
        <f>N138</f>
        <v>9.4700000000000006</v>
      </c>
      <c r="E19" s="9">
        <f>N139</f>
        <v>9.4700000000000006</v>
      </c>
      <c r="F19" s="9">
        <f>N140</f>
        <v>8.8000000000000007</v>
      </c>
      <c r="G19" s="9">
        <f>N141</f>
        <v>9.6000000000000014</v>
      </c>
      <c r="H19" s="9">
        <f>N142</f>
        <v>24.29</v>
      </c>
      <c r="I19" s="9">
        <f>N143</f>
        <v>10.4</v>
      </c>
      <c r="J19" s="9">
        <f>N144</f>
        <v>19.05</v>
      </c>
      <c r="K19" s="9">
        <f>N145</f>
        <v>22.400000000000002</v>
      </c>
      <c r="L19" s="9">
        <f>N146</f>
        <v>15.200000000000001</v>
      </c>
      <c r="M19" s="9">
        <f>N147</f>
        <v>31.130000000000003</v>
      </c>
      <c r="N19" s="116">
        <f t="shared" si="4"/>
        <v>169.31</v>
      </c>
      <c r="O19" s="168">
        <f t="shared" si="1"/>
        <v>346</v>
      </c>
      <c r="P19" s="638">
        <v>0.45</v>
      </c>
      <c r="Q19" s="9">
        <f t="shared" si="2"/>
        <v>76.18950000000001</v>
      </c>
      <c r="R19" s="168">
        <f t="shared" si="3"/>
        <v>103.8</v>
      </c>
      <c r="S19" s="166"/>
      <c r="T19" s="166">
        <v>11</v>
      </c>
      <c r="U19" s="166">
        <v>9</v>
      </c>
      <c r="V19" s="166">
        <v>20</v>
      </c>
      <c r="W19" s="166">
        <v>20</v>
      </c>
      <c r="X19" s="166">
        <v>18</v>
      </c>
      <c r="Y19" s="166">
        <v>20</v>
      </c>
      <c r="Z19" s="166">
        <v>50</v>
      </c>
      <c r="AA19" s="166">
        <v>21</v>
      </c>
      <c r="AB19" s="166">
        <v>39</v>
      </c>
      <c r="AC19" s="166">
        <v>45</v>
      </c>
      <c r="AD19" s="166">
        <v>31</v>
      </c>
      <c r="AE19" s="166">
        <v>62</v>
      </c>
      <c r="AF19" s="404">
        <f t="shared" si="5"/>
        <v>346</v>
      </c>
    </row>
    <row r="20" spans="1:42" s="161" customFormat="1">
      <c r="A20" s="405">
        <v>2015</v>
      </c>
      <c r="B20" s="9">
        <f>N148</f>
        <v>5.6000000000000005</v>
      </c>
      <c r="C20" s="9">
        <f>N149</f>
        <v>17.600000000000001</v>
      </c>
      <c r="D20" s="9">
        <f>N150</f>
        <v>11.4</v>
      </c>
      <c r="E20" s="9">
        <f>N151</f>
        <v>7.2</v>
      </c>
      <c r="F20" s="9">
        <f>N152</f>
        <v>12.75</v>
      </c>
      <c r="G20" s="9">
        <f>N153</f>
        <v>16</v>
      </c>
      <c r="H20" s="9">
        <f>N154</f>
        <v>15.940000000000001</v>
      </c>
      <c r="I20" s="9">
        <f>N155</f>
        <v>7.2</v>
      </c>
      <c r="J20" s="9">
        <f>N156</f>
        <v>19.200000000000003</v>
      </c>
      <c r="K20" s="9">
        <f>N157</f>
        <v>14.4</v>
      </c>
      <c r="L20" s="9">
        <f>N158</f>
        <v>13.17</v>
      </c>
      <c r="M20" s="9">
        <f>N159</f>
        <v>28.170000000000005</v>
      </c>
      <c r="N20" s="116">
        <f t="shared" si="4"/>
        <v>168.63000000000002</v>
      </c>
      <c r="O20" s="168">
        <f t="shared" si="1"/>
        <v>323</v>
      </c>
      <c r="P20" s="638">
        <v>0.45</v>
      </c>
      <c r="Q20" s="9">
        <f t="shared" si="2"/>
        <v>75.883500000000012</v>
      </c>
      <c r="R20" s="168">
        <f t="shared" si="3"/>
        <v>96.899999999999991</v>
      </c>
      <c r="S20" s="166"/>
      <c r="T20" s="166">
        <v>11</v>
      </c>
      <c r="U20" s="166">
        <v>35</v>
      </c>
      <c r="V20" s="166">
        <v>22</v>
      </c>
      <c r="W20" s="166">
        <v>14</v>
      </c>
      <c r="X20" s="166">
        <v>25</v>
      </c>
      <c r="Y20" s="166">
        <v>31</v>
      </c>
      <c r="Z20" s="166">
        <v>31</v>
      </c>
      <c r="AA20" s="166">
        <v>14</v>
      </c>
      <c r="AB20" s="166">
        <v>36</v>
      </c>
      <c r="AC20" s="166">
        <v>27</v>
      </c>
      <c r="AD20" s="166">
        <v>25</v>
      </c>
      <c r="AE20" s="166">
        <v>52</v>
      </c>
      <c r="AF20" s="404">
        <f t="shared" si="5"/>
        <v>323</v>
      </c>
    </row>
    <row r="21" spans="1:42" s="161" customFormat="1">
      <c r="A21" s="405">
        <v>2016</v>
      </c>
      <c r="B21" s="9">
        <f>N160</f>
        <v>4.8000000000000007</v>
      </c>
      <c r="C21" s="9">
        <f>N161</f>
        <v>5.6000000000000005</v>
      </c>
      <c r="D21" s="9">
        <f>N162</f>
        <v>11.04</v>
      </c>
      <c r="E21" s="9">
        <f>N163</f>
        <v>18.07</v>
      </c>
      <c r="F21" s="9">
        <f>N164</f>
        <v>13.870000000000001</v>
      </c>
      <c r="G21" s="9">
        <f>N165</f>
        <v>13.07</v>
      </c>
      <c r="H21" s="9">
        <f>N166</f>
        <v>14.4</v>
      </c>
      <c r="I21" s="9">
        <f>N167</f>
        <v>20.64</v>
      </c>
      <c r="J21" s="9">
        <f>N168</f>
        <v>16.84</v>
      </c>
      <c r="K21" s="9">
        <f>N169</f>
        <v>9.07</v>
      </c>
      <c r="L21" s="9">
        <f>N170</f>
        <v>12.8</v>
      </c>
      <c r="M21" s="9">
        <f>N171</f>
        <v>34.4</v>
      </c>
      <c r="N21" s="116">
        <f t="shared" si="4"/>
        <v>174.60000000000005</v>
      </c>
      <c r="O21" s="168">
        <f t="shared" si="1"/>
        <v>310</v>
      </c>
      <c r="P21" s="638">
        <v>0.45</v>
      </c>
      <c r="Q21" s="9">
        <f t="shared" si="2"/>
        <v>78.570000000000022</v>
      </c>
      <c r="R21" s="168">
        <f t="shared" si="3"/>
        <v>93</v>
      </c>
      <c r="S21" s="166"/>
      <c r="T21" s="166">
        <v>9</v>
      </c>
      <c r="U21" s="166">
        <v>10</v>
      </c>
      <c r="V21" s="166">
        <v>20</v>
      </c>
      <c r="W21" s="166">
        <v>33</v>
      </c>
      <c r="X21" s="166">
        <v>25</v>
      </c>
      <c r="Y21" s="166">
        <v>23</v>
      </c>
      <c r="Z21" s="166">
        <v>26</v>
      </c>
      <c r="AA21" s="166">
        <v>37</v>
      </c>
      <c r="AB21" s="166">
        <v>30</v>
      </c>
      <c r="AC21" s="166">
        <v>16</v>
      </c>
      <c r="AD21" s="166">
        <v>22</v>
      </c>
      <c r="AE21" s="166">
        <v>59</v>
      </c>
      <c r="AF21" s="404">
        <f t="shared" si="5"/>
        <v>310</v>
      </c>
    </row>
    <row r="22" spans="1:4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9">
        <f>SUM(N3:N21)</f>
        <v>1729.0300000000002</v>
      </c>
      <c r="O22" s="169">
        <f>SUM(O3:O21)</f>
        <v>5199</v>
      </c>
      <c r="P22" s="133"/>
      <c r="Q22" s="9">
        <f>SUM(Q3:Q21)</f>
        <v>630.54220000000009</v>
      </c>
      <c r="R22" s="169">
        <f>SUM(R3:R21)</f>
        <v>1559.7</v>
      </c>
      <c r="S22" s="167"/>
      <c r="T22" s="167"/>
      <c r="U22" s="132"/>
      <c r="V22" s="132"/>
      <c r="W22" s="132"/>
      <c r="AB22" s="493"/>
      <c r="AC22" s="161"/>
    </row>
    <row r="23" spans="1:42">
      <c r="K23" s="132">
        <f>O23*N23/N22</f>
        <v>12722.112213206245</v>
      </c>
      <c r="M23" s="506" t="s">
        <v>622</v>
      </c>
      <c r="N23" s="11">
        <f>SUM(N3:N16)+B18+C18+D18+E18+F18</f>
        <v>928.6099999999999</v>
      </c>
      <c r="O23" s="491">
        <v>23688</v>
      </c>
      <c r="P23" s="245" t="s">
        <v>389</v>
      </c>
      <c r="Q23" s="167"/>
      <c r="R23" s="167"/>
      <c r="S23" s="167"/>
      <c r="T23" s="167"/>
      <c r="U23" s="132"/>
      <c r="V23" s="132"/>
      <c r="W23" s="132"/>
      <c r="AB23" s="111"/>
      <c r="AC23" s="161"/>
    </row>
    <row r="24" spans="1:42">
      <c r="K24" s="132">
        <f>O23-K23</f>
        <v>10965.887786793755</v>
      </c>
      <c r="N24" s="11">
        <f>N22-N23</f>
        <v>800.4200000000003</v>
      </c>
      <c r="O24" s="11"/>
      <c r="P24" s="111">
        <v>46065</v>
      </c>
      <c r="Q24" s="111"/>
      <c r="R24" s="167"/>
      <c r="S24" s="167"/>
      <c r="T24" s="167"/>
      <c r="U24" s="132"/>
      <c r="V24" s="132"/>
      <c r="W24" s="132"/>
      <c r="AB24" s="111"/>
      <c r="AC24" s="161"/>
    </row>
    <row r="25" spans="1:42">
      <c r="N25" s="11"/>
      <c r="O25" s="11"/>
      <c r="P25" s="133"/>
      <c r="Q25" s="245"/>
      <c r="R25" s="167"/>
      <c r="S25" s="167"/>
      <c r="T25" s="167"/>
      <c r="U25" s="132"/>
      <c r="V25" s="132"/>
      <c r="W25" s="132"/>
      <c r="AB25" s="111"/>
      <c r="AC25" s="161"/>
    </row>
    <row r="26" spans="1:42" ht="15.75" customHeight="1">
      <c r="A26" s="807" t="s">
        <v>400</v>
      </c>
      <c r="B26" s="807"/>
      <c r="C26" s="807"/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7"/>
      <c r="O26" s="137"/>
      <c r="P26" s="137"/>
      <c r="Q26" s="137"/>
      <c r="AC26" s="161"/>
    </row>
    <row r="27" spans="1:42">
      <c r="D27" s="14"/>
      <c r="AC27" s="161"/>
    </row>
    <row r="28" spans="1:42">
      <c r="A28" s="807" t="s">
        <v>612</v>
      </c>
      <c r="B28" s="807"/>
      <c r="C28" s="807"/>
      <c r="D28" s="807"/>
      <c r="E28" s="807"/>
      <c r="F28" s="807"/>
      <c r="G28" s="807"/>
      <c r="H28" s="807"/>
      <c r="I28" s="807"/>
      <c r="J28" s="807"/>
      <c r="K28" s="807"/>
      <c r="L28" s="807"/>
      <c r="M28" s="807"/>
      <c r="N28" s="807"/>
      <c r="AC28" s="161"/>
    </row>
    <row r="29" spans="1:42">
      <c r="AC29" s="161"/>
    </row>
    <row r="30" spans="1:42">
      <c r="A30" s="7">
        <v>1998</v>
      </c>
      <c r="B30" s="66"/>
      <c r="C30" s="66"/>
      <c r="D30" s="66"/>
      <c r="E30" s="66"/>
      <c r="F30" s="66"/>
      <c r="G30" s="66"/>
      <c r="H30" s="66"/>
      <c r="I30" s="9">
        <f>I3*6/5</f>
        <v>1.7880000000000003</v>
      </c>
      <c r="J30" s="9">
        <f t="shared" ref="J30:M30" si="8">J3*6/5</f>
        <v>7.8480000000000008</v>
      </c>
      <c r="K30" s="9">
        <f t="shared" si="8"/>
        <v>9.2279999999999998</v>
      </c>
      <c r="L30" s="9">
        <f t="shared" si="8"/>
        <v>5.5920000000000005</v>
      </c>
      <c r="M30" s="9">
        <f t="shared" si="8"/>
        <v>13.14</v>
      </c>
      <c r="N30" s="116">
        <f>SUM(I30:M30)</f>
        <v>37.596000000000004</v>
      </c>
      <c r="O30" s="169">
        <f t="shared" ref="O30:O48" si="9">O3*6/5</f>
        <v>451.2</v>
      </c>
      <c r="Q30" s="9">
        <f>Q3*6/5</f>
        <v>11.2788</v>
      </c>
      <c r="R30" s="169">
        <f>R3*6/5</f>
        <v>135.35999999999999</v>
      </c>
      <c r="AC30" s="161"/>
    </row>
    <row r="31" spans="1:42">
      <c r="A31" s="7">
        <v>1999</v>
      </c>
      <c r="B31" s="9">
        <f>B4*6/5</f>
        <v>0</v>
      </c>
      <c r="C31" s="9">
        <f t="shared" ref="C31:M31" si="10">C4*6/5</f>
        <v>5.9880000000000004</v>
      </c>
      <c r="D31" s="9">
        <f t="shared" si="10"/>
        <v>0</v>
      </c>
      <c r="E31" s="9">
        <f t="shared" si="10"/>
        <v>18.372</v>
      </c>
      <c r="F31" s="9">
        <f t="shared" si="10"/>
        <v>7.3559999999999999</v>
      </c>
      <c r="G31" s="9">
        <f t="shared" si="10"/>
        <v>0</v>
      </c>
      <c r="H31" s="9">
        <f t="shared" si="10"/>
        <v>0</v>
      </c>
      <c r="I31" s="9">
        <f t="shared" si="10"/>
        <v>0</v>
      </c>
      <c r="J31" s="9">
        <f t="shared" si="10"/>
        <v>0</v>
      </c>
      <c r="K31" s="9">
        <f t="shared" si="10"/>
        <v>11.04</v>
      </c>
      <c r="L31" s="9">
        <f t="shared" si="10"/>
        <v>4.0320000000000009</v>
      </c>
      <c r="M31" s="9">
        <f t="shared" si="10"/>
        <v>0</v>
      </c>
      <c r="N31" s="116">
        <f t="shared" ref="N31:N48" si="11">N4*6/5</f>
        <v>46.787999999999997</v>
      </c>
      <c r="O31" s="169">
        <f t="shared" si="9"/>
        <v>490.8</v>
      </c>
      <c r="Q31" s="9">
        <f t="shared" ref="Q31:R48" si="12">Q4*6/5</f>
        <v>18.715199999999999</v>
      </c>
      <c r="R31" s="169">
        <f t="shared" si="12"/>
        <v>147.23999999999998</v>
      </c>
      <c r="AC31" s="161"/>
    </row>
    <row r="32" spans="1:42">
      <c r="A32" s="7">
        <v>2000</v>
      </c>
      <c r="B32" s="9">
        <f t="shared" ref="B32:M37" si="13">B5*6/5</f>
        <v>1.9320000000000004</v>
      </c>
      <c r="C32" s="9">
        <f t="shared" si="13"/>
        <v>8.9879999999999995</v>
      </c>
      <c r="D32" s="9">
        <f t="shared" si="13"/>
        <v>12.552000000000001</v>
      </c>
      <c r="E32" s="9">
        <f t="shared" si="13"/>
        <v>6.072000000000001</v>
      </c>
      <c r="F32" s="9">
        <f t="shared" si="13"/>
        <v>0</v>
      </c>
      <c r="G32" s="9">
        <f t="shared" si="13"/>
        <v>0</v>
      </c>
      <c r="H32" s="9">
        <f t="shared" si="13"/>
        <v>0</v>
      </c>
      <c r="I32" s="9">
        <f t="shared" si="13"/>
        <v>0</v>
      </c>
      <c r="J32" s="9">
        <f t="shared" si="13"/>
        <v>0</v>
      </c>
      <c r="K32" s="9">
        <f t="shared" si="13"/>
        <v>0</v>
      </c>
      <c r="L32" s="9">
        <f t="shared" si="13"/>
        <v>0</v>
      </c>
      <c r="M32" s="9">
        <f t="shared" si="13"/>
        <v>0</v>
      </c>
      <c r="N32" s="116">
        <f t="shared" si="11"/>
        <v>29.544000000000004</v>
      </c>
      <c r="O32" s="169">
        <f t="shared" si="9"/>
        <v>271.2</v>
      </c>
      <c r="Q32" s="9">
        <f t="shared" si="12"/>
        <v>13.294800000000004</v>
      </c>
      <c r="R32" s="169">
        <f t="shared" si="12"/>
        <v>81.359999999999985</v>
      </c>
    </row>
    <row r="33" spans="1:24">
      <c r="A33" s="7">
        <v>2001</v>
      </c>
      <c r="B33" s="9">
        <f t="shared" si="13"/>
        <v>0</v>
      </c>
      <c r="C33" s="9">
        <f t="shared" si="13"/>
        <v>0</v>
      </c>
      <c r="D33" s="9">
        <f t="shared" si="13"/>
        <v>0</v>
      </c>
      <c r="E33" s="9">
        <f t="shared" si="13"/>
        <v>0</v>
      </c>
      <c r="F33" s="9">
        <f t="shared" si="13"/>
        <v>0</v>
      </c>
      <c r="G33" s="9">
        <f t="shared" si="13"/>
        <v>0</v>
      </c>
      <c r="H33" s="9">
        <f t="shared" si="13"/>
        <v>0</v>
      </c>
      <c r="I33" s="9">
        <f t="shared" si="13"/>
        <v>0</v>
      </c>
      <c r="J33" s="9">
        <f t="shared" si="13"/>
        <v>0</v>
      </c>
      <c r="K33" s="9">
        <f t="shared" si="13"/>
        <v>0</v>
      </c>
      <c r="L33" s="9">
        <f t="shared" si="13"/>
        <v>0</v>
      </c>
      <c r="M33" s="9">
        <f t="shared" si="13"/>
        <v>0</v>
      </c>
      <c r="N33" s="116">
        <f t="shared" si="11"/>
        <v>0</v>
      </c>
      <c r="O33" s="169">
        <f t="shared" si="9"/>
        <v>0</v>
      </c>
      <c r="Q33" s="9">
        <f t="shared" si="12"/>
        <v>0</v>
      </c>
      <c r="R33" s="169">
        <f t="shared" si="12"/>
        <v>0</v>
      </c>
    </row>
    <row r="34" spans="1:24">
      <c r="A34" s="7">
        <v>2002</v>
      </c>
      <c r="B34" s="9">
        <f t="shared" si="13"/>
        <v>0</v>
      </c>
      <c r="C34" s="9">
        <f t="shared" si="13"/>
        <v>0</v>
      </c>
      <c r="D34" s="9">
        <f t="shared" si="13"/>
        <v>0</v>
      </c>
      <c r="E34" s="9">
        <f>E7*6/5+519.76</f>
        <v>528.71199999999999</v>
      </c>
      <c r="F34" s="9">
        <f>F7*6/5+127.7</f>
        <v>148.73599999999999</v>
      </c>
      <c r="G34" s="9">
        <f t="shared" ref="G34:M34" si="14">G7*6/5</f>
        <v>0</v>
      </c>
      <c r="H34" s="9">
        <f t="shared" si="14"/>
        <v>0</v>
      </c>
      <c r="I34" s="9">
        <f t="shared" si="14"/>
        <v>0</v>
      </c>
      <c r="J34" s="9">
        <f t="shared" si="14"/>
        <v>0</v>
      </c>
      <c r="K34" s="9">
        <f t="shared" si="14"/>
        <v>0</v>
      </c>
      <c r="L34" s="9">
        <f t="shared" si="14"/>
        <v>0</v>
      </c>
      <c r="M34" s="9">
        <f t="shared" si="14"/>
        <v>0</v>
      </c>
      <c r="N34" s="116">
        <f>(N7*6/5)+E34+F34</f>
        <v>707.43600000000004</v>
      </c>
      <c r="O34" s="169">
        <f>(O7*6/5)+W34+X34</f>
        <v>4609.8</v>
      </c>
      <c r="P34" s="638">
        <v>0.4</v>
      </c>
      <c r="Q34" s="9">
        <f>N34*P34</f>
        <v>282.9744</v>
      </c>
      <c r="R34" s="169">
        <f>O34*P34</f>
        <v>1843.92</v>
      </c>
      <c r="W34" s="166">
        <v>3544</v>
      </c>
      <c r="X34" s="166">
        <v>863</v>
      </c>
    </row>
    <row r="35" spans="1:24">
      <c r="A35" s="7">
        <v>2003</v>
      </c>
      <c r="B35" s="9">
        <f t="shared" si="13"/>
        <v>0</v>
      </c>
      <c r="C35" s="9">
        <f t="shared" si="13"/>
        <v>0</v>
      </c>
      <c r="D35" s="9">
        <f t="shared" si="13"/>
        <v>0</v>
      </c>
      <c r="E35" s="9">
        <f t="shared" si="13"/>
        <v>0</v>
      </c>
      <c r="F35" s="9">
        <f t="shared" si="13"/>
        <v>0</v>
      </c>
      <c r="G35" s="9">
        <f t="shared" si="13"/>
        <v>0</v>
      </c>
      <c r="H35" s="9">
        <f t="shared" si="13"/>
        <v>0</v>
      </c>
      <c r="I35" s="9">
        <f t="shared" si="13"/>
        <v>0</v>
      </c>
      <c r="J35" s="9">
        <f t="shared" si="13"/>
        <v>0</v>
      </c>
      <c r="K35" s="9">
        <f t="shared" si="13"/>
        <v>0</v>
      </c>
      <c r="L35" s="9">
        <f t="shared" si="13"/>
        <v>0</v>
      </c>
      <c r="M35" s="9">
        <f t="shared" si="13"/>
        <v>0</v>
      </c>
      <c r="N35" s="116">
        <f t="shared" si="11"/>
        <v>0</v>
      </c>
      <c r="O35" s="169">
        <f t="shared" si="9"/>
        <v>0</v>
      </c>
      <c r="Q35" s="9">
        <f t="shared" si="12"/>
        <v>0</v>
      </c>
      <c r="R35" s="169">
        <f t="shared" si="12"/>
        <v>0</v>
      </c>
    </row>
    <row r="36" spans="1:24">
      <c r="A36" s="7">
        <v>2004</v>
      </c>
      <c r="B36" s="9">
        <f t="shared" si="13"/>
        <v>0</v>
      </c>
      <c r="C36" s="9">
        <f t="shared" si="13"/>
        <v>0</v>
      </c>
      <c r="D36" s="9">
        <f t="shared" si="13"/>
        <v>0</v>
      </c>
      <c r="E36" s="9">
        <f t="shared" si="13"/>
        <v>0</v>
      </c>
      <c r="F36" s="9">
        <f t="shared" si="13"/>
        <v>0</v>
      </c>
      <c r="G36" s="9">
        <f t="shared" si="13"/>
        <v>0</v>
      </c>
      <c r="H36" s="9">
        <f t="shared" si="13"/>
        <v>0</v>
      </c>
      <c r="I36" s="9">
        <f t="shared" si="13"/>
        <v>0</v>
      </c>
      <c r="J36" s="9">
        <f t="shared" si="13"/>
        <v>0</v>
      </c>
      <c r="K36" s="9">
        <f t="shared" si="13"/>
        <v>0</v>
      </c>
      <c r="L36" s="9">
        <f t="shared" si="13"/>
        <v>0</v>
      </c>
      <c r="M36" s="9">
        <f t="shared" si="13"/>
        <v>0</v>
      </c>
      <c r="N36" s="116">
        <f t="shared" si="11"/>
        <v>0</v>
      </c>
      <c r="O36" s="169">
        <f t="shared" si="9"/>
        <v>0</v>
      </c>
      <c r="Q36" s="9">
        <f t="shared" si="12"/>
        <v>0</v>
      </c>
      <c r="R36" s="169">
        <f t="shared" si="12"/>
        <v>0</v>
      </c>
    </row>
    <row r="37" spans="1:24">
      <c r="A37" s="7">
        <v>2005</v>
      </c>
      <c r="B37" s="9">
        <f t="shared" si="13"/>
        <v>0</v>
      </c>
      <c r="C37" s="9">
        <f t="shared" si="13"/>
        <v>0</v>
      </c>
      <c r="D37" s="9">
        <f t="shared" si="13"/>
        <v>0</v>
      </c>
      <c r="E37" s="9">
        <f t="shared" si="13"/>
        <v>0</v>
      </c>
      <c r="F37" s="9">
        <f t="shared" si="13"/>
        <v>0</v>
      </c>
      <c r="G37" s="9">
        <f t="shared" si="13"/>
        <v>0</v>
      </c>
      <c r="H37" s="9">
        <f t="shared" si="13"/>
        <v>0</v>
      </c>
      <c r="I37" s="9">
        <f t="shared" si="13"/>
        <v>0</v>
      </c>
      <c r="J37" s="9">
        <f t="shared" si="13"/>
        <v>0</v>
      </c>
      <c r="K37" s="9">
        <f t="shared" si="13"/>
        <v>0</v>
      </c>
      <c r="L37" s="9">
        <f t="shared" si="13"/>
        <v>0</v>
      </c>
      <c r="M37" s="9">
        <f t="shared" si="13"/>
        <v>0</v>
      </c>
      <c r="N37" s="116">
        <f t="shared" si="11"/>
        <v>0</v>
      </c>
      <c r="O37" s="169">
        <f t="shared" si="9"/>
        <v>0</v>
      </c>
      <c r="Q37" s="9">
        <f t="shared" si="12"/>
        <v>0</v>
      </c>
      <c r="R37" s="169">
        <f t="shared" si="12"/>
        <v>0</v>
      </c>
    </row>
    <row r="38" spans="1:24">
      <c r="A38" s="7">
        <v>2006</v>
      </c>
      <c r="B38" s="9">
        <f t="shared" ref="B38" si="15">B11*6/5</f>
        <v>0</v>
      </c>
      <c r="C38" s="9">
        <f t="shared" ref="C38:M38" si="16">C11*6/5</f>
        <v>0</v>
      </c>
      <c r="D38" s="9">
        <f t="shared" si="16"/>
        <v>0</v>
      </c>
      <c r="E38" s="9">
        <f t="shared" si="16"/>
        <v>0</v>
      </c>
      <c r="F38" s="9">
        <f t="shared" si="16"/>
        <v>0</v>
      </c>
      <c r="G38" s="9">
        <f t="shared" si="16"/>
        <v>0</v>
      </c>
      <c r="H38" s="9">
        <f t="shared" si="16"/>
        <v>0</v>
      </c>
      <c r="I38" s="9">
        <f t="shared" si="16"/>
        <v>0</v>
      </c>
      <c r="J38" s="9">
        <f t="shared" si="16"/>
        <v>0</v>
      </c>
      <c r="K38" s="9">
        <f t="shared" si="16"/>
        <v>0</v>
      </c>
      <c r="L38" s="9">
        <f t="shared" si="16"/>
        <v>0</v>
      </c>
      <c r="M38" s="9">
        <f t="shared" si="16"/>
        <v>0</v>
      </c>
      <c r="N38" s="116">
        <f t="shared" si="11"/>
        <v>0</v>
      </c>
      <c r="O38" s="169">
        <f t="shared" si="9"/>
        <v>0</v>
      </c>
      <c r="Q38" s="9">
        <f t="shared" si="12"/>
        <v>0</v>
      </c>
      <c r="R38" s="169">
        <f t="shared" si="12"/>
        <v>0</v>
      </c>
    </row>
    <row r="39" spans="1:24">
      <c r="A39" s="7">
        <v>2007</v>
      </c>
      <c r="B39" s="9">
        <f t="shared" ref="B39" si="17">B12*6/5</f>
        <v>0</v>
      </c>
      <c r="C39" s="9">
        <f t="shared" ref="C39:M39" si="18">C12*6/5</f>
        <v>0</v>
      </c>
      <c r="D39" s="9">
        <f t="shared" si="18"/>
        <v>0</v>
      </c>
      <c r="E39" s="9">
        <f t="shared" si="18"/>
        <v>0</v>
      </c>
      <c r="F39" s="9">
        <f t="shared" si="18"/>
        <v>0</v>
      </c>
      <c r="G39" s="9">
        <f t="shared" si="18"/>
        <v>0</v>
      </c>
      <c r="H39" s="9">
        <f t="shared" si="18"/>
        <v>0</v>
      </c>
      <c r="I39" s="9">
        <f t="shared" si="18"/>
        <v>0</v>
      </c>
      <c r="J39" s="9">
        <f t="shared" si="18"/>
        <v>0</v>
      </c>
      <c r="K39" s="9">
        <f t="shared" si="18"/>
        <v>0</v>
      </c>
      <c r="L39" s="9">
        <f t="shared" si="18"/>
        <v>0</v>
      </c>
      <c r="M39" s="9">
        <f t="shared" si="18"/>
        <v>8.0640000000000001</v>
      </c>
      <c r="N39" s="116">
        <f t="shared" si="11"/>
        <v>8.0640000000000001</v>
      </c>
      <c r="O39" s="169">
        <f t="shared" si="9"/>
        <v>30</v>
      </c>
      <c r="Q39" s="9">
        <f t="shared" si="12"/>
        <v>3.2256</v>
      </c>
      <c r="R39" s="169">
        <f t="shared" si="12"/>
        <v>9</v>
      </c>
    </row>
    <row r="40" spans="1:24">
      <c r="A40" s="7">
        <v>2008</v>
      </c>
      <c r="B40" s="9">
        <f t="shared" ref="B40" si="19">B13*6/5</f>
        <v>13.824000000000002</v>
      </c>
      <c r="C40" s="9">
        <f t="shared" ref="C40:M40" si="20">C13*6/5</f>
        <v>22.463999999999999</v>
      </c>
      <c r="D40" s="9">
        <f t="shared" si="20"/>
        <v>16.128</v>
      </c>
      <c r="E40" s="9">
        <f t="shared" si="20"/>
        <v>16.704000000000001</v>
      </c>
      <c r="F40" s="9">
        <f t="shared" si="20"/>
        <v>16.128</v>
      </c>
      <c r="G40" s="9">
        <f t="shared" si="20"/>
        <v>8.0640000000000001</v>
      </c>
      <c r="H40" s="9">
        <f t="shared" si="20"/>
        <v>14.4</v>
      </c>
      <c r="I40" s="9">
        <f t="shared" si="20"/>
        <v>21.311999999999998</v>
      </c>
      <c r="J40" s="9">
        <f t="shared" si="20"/>
        <v>17.279999999999998</v>
      </c>
      <c r="K40" s="9">
        <f t="shared" si="20"/>
        <v>13.247999999999999</v>
      </c>
      <c r="L40" s="9">
        <f t="shared" si="20"/>
        <v>17.279999999999998</v>
      </c>
      <c r="M40" s="9">
        <f t="shared" si="20"/>
        <v>15.551999999999998</v>
      </c>
      <c r="N40" s="116">
        <f t="shared" si="11"/>
        <v>192.38400000000001</v>
      </c>
      <c r="O40" s="169">
        <f t="shared" si="9"/>
        <v>675.6</v>
      </c>
      <c r="Q40" s="9">
        <f t="shared" si="12"/>
        <v>76.953600000000023</v>
      </c>
      <c r="R40" s="169">
        <f t="shared" si="12"/>
        <v>202.68</v>
      </c>
    </row>
    <row r="41" spans="1:24">
      <c r="A41" s="7">
        <v>2009</v>
      </c>
      <c r="B41" s="9">
        <f t="shared" ref="B41:C41" si="21">B14*6/5</f>
        <v>5.1840000000000002</v>
      </c>
      <c r="C41" s="9">
        <f t="shared" si="21"/>
        <v>5.1840000000000002</v>
      </c>
      <c r="D41" s="9">
        <f t="shared" ref="D41:M41" si="22">D14*6/5</f>
        <v>9.2159999999999993</v>
      </c>
      <c r="E41" s="9">
        <f t="shared" si="22"/>
        <v>10.368</v>
      </c>
      <c r="F41" s="9">
        <f t="shared" si="22"/>
        <v>10.943999999999999</v>
      </c>
      <c r="G41" s="9">
        <f t="shared" si="22"/>
        <v>5.1840000000000002</v>
      </c>
      <c r="H41" s="9">
        <f t="shared" si="22"/>
        <v>16.704000000000001</v>
      </c>
      <c r="I41" s="9">
        <f t="shared" si="22"/>
        <v>21.12</v>
      </c>
      <c r="J41" s="9">
        <f t="shared" si="22"/>
        <v>43.2</v>
      </c>
      <c r="K41" s="9">
        <f t="shared" si="22"/>
        <v>42.576000000000008</v>
      </c>
      <c r="L41" s="9">
        <f t="shared" si="22"/>
        <v>34.56</v>
      </c>
      <c r="M41" s="9">
        <f t="shared" si="22"/>
        <v>18.240000000000002</v>
      </c>
      <c r="N41" s="116">
        <f t="shared" si="11"/>
        <v>222.48000000000002</v>
      </c>
      <c r="O41" s="169">
        <f t="shared" si="9"/>
        <v>693.6</v>
      </c>
      <c r="Q41" s="9">
        <f t="shared" si="12"/>
        <v>77.868000000000009</v>
      </c>
      <c r="R41" s="169">
        <f t="shared" si="12"/>
        <v>208.08</v>
      </c>
    </row>
    <row r="42" spans="1:24">
      <c r="A42" s="7">
        <v>2010</v>
      </c>
      <c r="B42" s="9">
        <f t="shared" ref="B42:C42" si="23">B15*6/5</f>
        <v>0</v>
      </c>
      <c r="C42" s="9">
        <f t="shared" si="23"/>
        <v>0</v>
      </c>
      <c r="D42" s="9">
        <f t="shared" ref="D42:M42" si="24">D15*6/5</f>
        <v>0</v>
      </c>
      <c r="E42" s="9">
        <f t="shared" si="24"/>
        <v>0</v>
      </c>
      <c r="F42" s="9">
        <f t="shared" si="24"/>
        <v>0</v>
      </c>
      <c r="G42" s="9">
        <f t="shared" si="24"/>
        <v>0</v>
      </c>
      <c r="H42" s="9">
        <f t="shared" si="24"/>
        <v>14.4</v>
      </c>
      <c r="I42" s="9">
        <f t="shared" si="24"/>
        <v>29.052</v>
      </c>
      <c r="J42" s="9">
        <f t="shared" si="24"/>
        <v>28.092000000000006</v>
      </c>
      <c r="K42" s="9">
        <f t="shared" si="24"/>
        <v>26.004000000000001</v>
      </c>
      <c r="L42" s="9">
        <f t="shared" si="24"/>
        <v>23.040000000000003</v>
      </c>
      <c r="M42" s="9">
        <f t="shared" si="24"/>
        <v>43.727999999999994</v>
      </c>
      <c r="N42" s="116">
        <f t="shared" si="11"/>
        <v>164.316</v>
      </c>
      <c r="O42" s="169">
        <f t="shared" si="9"/>
        <v>464.4</v>
      </c>
      <c r="Q42" s="9">
        <f t="shared" si="12"/>
        <v>73.9422</v>
      </c>
      <c r="R42" s="169">
        <f t="shared" si="12"/>
        <v>139.32</v>
      </c>
    </row>
    <row r="43" spans="1:24">
      <c r="A43" s="7">
        <v>2011</v>
      </c>
      <c r="B43" s="9">
        <f t="shared" ref="B43:C43" si="25">B16*6/5</f>
        <v>19.368000000000002</v>
      </c>
      <c r="C43" s="9">
        <f t="shared" si="25"/>
        <v>43.679999999999993</v>
      </c>
      <c r="D43" s="9">
        <f t="shared" ref="D43:M43" si="26">D16*6/5</f>
        <v>22.247999999999998</v>
      </c>
      <c r="E43" s="9">
        <f t="shared" si="26"/>
        <v>32.411999999999999</v>
      </c>
      <c r="F43" s="9">
        <f t="shared" si="26"/>
        <v>27.048000000000002</v>
      </c>
      <c r="G43" s="9">
        <f t="shared" si="26"/>
        <v>16.32</v>
      </c>
      <c r="H43" s="9">
        <f t="shared" si="26"/>
        <v>18.324000000000002</v>
      </c>
      <c r="I43" s="9">
        <f t="shared" si="26"/>
        <v>27.840000000000003</v>
      </c>
      <c r="J43" s="9">
        <f t="shared" si="26"/>
        <v>19.2</v>
      </c>
      <c r="K43" s="9">
        <f t="shared" si="26"/>
        <v>2.8800000000000003</v>
      </c>
      <c r="L43" s="9">
        <f t="shared" si="26"/>
        <v>9.6</v>
      </c>
      <c r="M43" s="9">
        <f t="shared" si="26"/>
        <v>11.844000000000001</v>
      </c>
      <c r="N43" s="116">
        <f t="shared" si="11"/>
        <v>250.76399999999998</v>
      </c>
      <c r="O43" s="169">
        <f t="shared" si="9"/>
        <v>670.8</v>
      </c>
      <c r="Q43" s="9">
        <f t="shared" si="12"/>
        <v>87.767399999999995</v>
      </c>
      <c r="R43" s="169">
        <f t="shared" si="12"/>
        <v>201.23999999999998</v>
      </c>
    </row>
    <row r="44" spans="1:24">
      <c r="A44" s="405">
        <v>2012</v>
      </c>
      <c r="B44" s="9">
        <f t="shared" ref="B44:C44" si="27">B17*6/5</f>
        <v>20.639999999999997</v>
      </c>
      <c r="C44" s="9">
        <f t="shared" si="27"/>
        <v>4.8</v>
      </c>
      <c r="D44" s="9">
        <f t="shared" ref="D44:M44" si="28">D17*6/5</f>
        <v>22.247999999999998</v>
      </c>
      <c r="E44" s="9">
        <f t="shared" si="28"/>
        <v>7.7640000000000011</v>
      </c>
      <c r="F44" s="9">
        <f t="shared" si="28"/>
        <v>28.26</v>
      </c>
      <c r="G44" s="9">
        <f t="shared" si="28"/>
        <v>24.42</v>
      </c>
      <c r="H44" s="9">
        <f t="shared" si="28"/>
        <v>30.095999999999997</v>
      </c>
      <c r="I44" s="9">
        <f t="shared" si="28"/>
        <v>42.660000000000004</v>
      </c>
      <c r="J44" s="9">
        <f t="shared" si="28"/>
        <v>13.440000000000001</v>
      </c>
      <c r="K44" s="9">
        <f t="shared" si="28"/>
        <v>4.8</v>
      </c>
      <c r="L44" s="9">
        <f t="shared" si="28"/>
        <v>13.440000000000001</v>
      </c>
      <c r="M44" s="9">
        <f t="shared" si="28"/>
        <v>30.012</v>
      </c>
      <c r="N44" s="116">
        <f t="shared" si="11"/>
        <v>242.57999999999993</v>
      </c>
      <c r="O44" s="169">
        <f t="shared" si="9"/>
        <v>586.79999999999995</v>
      </c>
      <c r="Q44" s="9">
        <f t="shared" si="12"/>
        <v>43.664399999999986</v>
      </c>
      <c r="R44" s="169">
        <f t="shared" si="12"/>
        <v>176.04</v>
      </c>
    </row>
    <row r="45" spans="1:24" s="161" customFormat="1">
      <c r="A45" s="405">
        <v>2013</v>
      </c>
      <c r="B45" s="9">
        <f t="shared" ref="B45:M45" si="29">B18*6/5</f>
        <v>12.48</v>
      </c>
      <c r="C45" s="9">
        <f t="shared" si="29"/>
        <v>9.3719999999999999</v>
      </c>
      <c r="D45" s="9">
        <f t="shared" si="29"/>
        <v>33.624000000000002</v>
      </c>
      <c r="E45" s="9">
        <f t="shared" si="29"/>
        <v>35.879999999999995</v>
      </c>
      <c r="F45" s="9">
        <f t="shared" si="29"/>
        <v>41.052</v>
      </c>
      <c r="G45" s="9">
        <f t="shared" si="29"/>
        <v>5.8199999999999994</v>
      </c>
      <c r="H45" s="9">
        <f t="shared" si="29"/>
        <v>5.94</v>
      </c>
      <c r="I45" s="9">
        <f t="shared" si="29"/>
        <v>10.74</v>
      </c>
      <c r="J45" s="9">
        <f t="shared" si="29"/>
        <v>21.815999999999999</v>
      </c>
      <c r="K45" s="9">
        <f t="shared" si="29"/>
        <v>19.547999999999998</v>
      </c>
      <c r="L45" s="9">
        <f t="shared" si="29"/>
        <v>17.892000000000003</v>
      </c>
      <c r="M45" s="9">
        <f t="shared" si="29"/>
        <v>21.12</v>
      </c>
      <c r="N45" s="116">
        <f t="shared" si="11"/>
        <v>235.28400000000002</v>
      </c>
      <c r="O45" s="169">
        <f t="shared" si="9"/>
        <v>526.79999999999995</v>
      </c>
      <c r="Q45" s="9">
        <f t="shared" si="12"/>
        <v>61.173839999999998</v>
      </c>
      <c r="R45" s="169">
        <f t="shared" si="12"/>
        <v>158.04</v>
      </c>
    </row>
    <row r="46" spans="1:24" s="161" customFormat="1">
      <c r="A46" s="405">
        <v>2014</v>
      </c>
      <c r="B46" s="9">
        <f t="shared" ref="B46:M46" si="30">B19*6/5</f>
        <v>6.0600000000000005</v>
      </c>
      <c r="C46" s="9">
        <f t="shared" si="30"/>
        <v>5.3400000000000007</v>
      </c>
      <c r="D46" s="9">
        <f t="shared" si="30"/>
        <v>11.364000000000001</v>
      </c>
      <c r="E46" s="9">
        <f t="shared" si="30"/>
        <v>11.364000000000001</v>
      </c>
      <c r="F46" s="9">
        <f t="shared" si="30"/>
        <v>10.56</v>
      </c>
      <c r="G46" s="9">
        <f t="shared" si="30"/>
        <v>11.520000000000001</v>
      </c>
      <c r="H46" s="9">
        <f t="shared" si="30"/>
        <v>29.148000000000003</v>
      </c>
      <c r="I46" s="9">
        <f t="shared" si="30"/>
        <v>12.48</v>
      </c>
      <c r="J46" s="9">
        <f t="shared" si="30"/>
        <v>22.860000000000003</v>
      </c>
      <c r="K46" s="9">
        <f t="shared" si="30"/>
        <v>26.880000000000003</v>
      </c>
      <c r="L46" s="9">
        <f t="shared" si="30"/>
        <v>18.240000000000002</v>
      </c>
      <c r="M46" s="9">
        <f t="shared" si="30"/>
        <v>37.356000000000009</v>
      </c>
      <c r="N46" s="116">
        <f t="shared" si="11"/>
        <v>203.172</v>
      </c>
      <c r="O46" s="169">
        <f t="shared" si="9"/>
        <v>415.2</v>
      </c>
      <c r="Q46" s="9">
        <f t="shared" si="12"/>
        <v>91.427400000000006</v>
      </c>
      <c r="R46" s="169">
        <f t="shared" si="12"/>
        <v>124.55999999999999</v>
      </c>
    </row>
    <row r="47" spans="1:24">
      <c r="A47" s="405">
        <v>2015</v>
      </c>
      <c r="B47" s="9">
        <f t="shared" ref="B47:M47" si="31">B20*6/5</f>
        <v>6.7200000000000006</v>
      </c>
      <c r="C47" s="9">
        <f t="shared" si="31"/>
        <v>21.12</v>
      </c>
      <c r="D47" s="9">
        <f t="shared" si="31"/>
        <v>13.680000000000001</v>
      </c>
      <c r="E47" s="9">
        <f t="shared" si="31"/>
        <v>8.64</v>
      </c>
      <c r="F47" s="9">
        <f t="shared" si="31"/>
        <v>15.3</v>
      </c>
      <c r="G47" s="9">
        <f t="shared" si="31"/>
        <v>19.2</v>
      </c>
      <c r="H47" s="9">
        <f t="shared" si="31"/>
        <v>19.128000000000004</v>
      </c>
      <c r="I47" s="9">
        <f t="shared" si="31"/>
        <v>8.64</v>
      </c>
      <c r="J47" s="9">
        <f t="shared" si="31"/>
        <v>23.040000000000003</v>
      </c>
      <c r="K47" s="9">
        <f t="shared" si="31"/>
        <v>17.28</v>
      </c>
      <c r="L47" s="9">
        <f t="shared" si="31"/>
        <v>15.803999999999998</v>
      </c>
      <c r="M47" s="9">
        <f t="shared" si="31"/>
        <v>33.804000000000009</v>
      </c>
      <c r="N47" s="116">
        <f t="shared" si="11"/>
        <v>202.35600000000005</v>
      </c>
      <c r="O47" s="169">
        <f t="shared" si="9"/>
        <v>387.6</v>
      </c>
      <c r="Q47" s="9">
        <f t="shared" si="12"/>
        <v>91.060200000000009</v>
      </c>
      <c r="R47" s="169">
        <f t="shared" si="12"/>
        <v>116.28</v>
      </c>
    </row>
    <row r="48" spans="1:24">
      <c r="A48" s="405">
        <v>2016</v>
      </c>
      <c r="B48" s="9">
        <f t="shared" ref="B48:M48" si="32">B21*6/5</f>
        <v>5.7600000000000007</v>
      </c>
      <c r="C48" s="9">
        <f t="shared" si="32"/>
        <v>6.7200000000000006</v>
      </c>
      <c r="D48" s="9">
        <f t="shared" si="32"/>
        <v>13.247999999999999</v>
      </c>
      <c r="E48" s="9">
        <f t="shared" si="32"/>
        <v>21.684000000000001</v>
      </c>
      <c r="F48" s="9">
        <f t="shared" si="32"/>
        <v>16.643999999999998</v>
      </c>
      <c r="G48" s="9">
        <f t="shared" si="32"/>
        <v>15.684000000000001</v>
      </c>
      <c r="H48" s="9">
        <f t="shared" si="32"/>
        <v>17.28</v>
      </c>
      <c r="I48" s="9">
        <f t="shared" si="32"/>
        <v>24.768000000000001</v>
      </c>
      <c r="J48" s="9">
        <f t="shared" si="32"/>
        <v>20.207999999999998</v>
      </c>
      <c r="K48" s="9">
        <f t="shared" si="32"/>
        <v>10.884</v>
      </c>
      <c r="L48" s="9">
        <f t="shared" si="32"/>
        <v>15.360000000000003</v>
      </c>
      <c r="M48" s="9">
        <f t="shared" si="32"/>
        <v>41.279999999999994</v>
      </c>
      <c r="N48" s="116">
        <f t="shared" si="11"/>
        <v>209.52000000000007</v>
      </c>
      <c r="O48" s="169">
        <f t="shared" si="9"/>
        <v>372</v>
      </c>
      <c r="Q48" s="9">
        <f t="shared" si="12"/>
        <v>94.28400000000002</v>
      </c>
      <c r="R48" s="169">
        <f t="shared" si="12"/>
        <v>111.6</v>
      </c>
    </row>
    <row r="49" spans="1:2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9">
        <f>SUM(N30:N48)</f>
        <v>2752.2840000000001</v>
      </c>
      <c r="O49" s="169">
        <f>SUM(O30:O48)</f>
        <v>10645.8</v>
      </c>
      <c r="Q49" s="9">
        <f>SUM(Q30:Q48)</f>
        <v>1027.6298400000001</v>
      </c>
      <c r="R49" s="169">
        <f>SUM(R30:R48)</f>
        <v>3654.72</v>
      </c>
    </row>
    <row r="50" spans="1:22">
      <c r="K50" s="166"/>
      <c r="L50" s="161"/>
      <c r="M50" s="161"/>
      <c r="N50" s="166"/>
      <c r="O50" s="491">
        <f>O23*6/5</f>
        <v>28425.599999999999</v>
      </c>
      <c r="T50" s="459">
        <v>0.09</v>
      </c>
      <c r="U50" s="459">
        <v>0.05</v>
      </c>
      <c r="V50" s="8" t="s">
        <v>435</v>
      </c>
    </row>
    <row r="51" spans="1:22">
      <c r="K51" s="166"/>
      <c r="L51" s="161"/>
      <c r="M51" s="161"/>
      <c r="N51" s="166"/>
      <c r="R51" s="57">
        <v>1000</v>
      </c>
      <c r="S51" s="14">
        <v>2.93</v>
      </c>
      <c r="T51" s="14">
        <f>S51*9%</f>
        <v>0.26369999999999999</v>
      </c>
      <c r="U51" s="14">
        <f>S51*5%</f>
        <v>0.14650000000000002</v>
      </c>
      <c r="V51" s="14">
        <v>0.14000000000000001</v>
      </c>
    </row>
    <row r="52" spans="1:22">
      <c r="B52" s="444" t="s">
        <v>390</v>
      </c>
      <c r="C52" s="444" t="s">
        <v>391</v>
      </c>
      <c r="D52" s="444" t="s">
        <v>392</v>
      </c>
      <c r="E52" s="444" t="s">
        <v>393</v>
      </c>
      <c r="F52" s="444" t="s">
        <v>394</v>
      </c>
      <c r="G52" s="444" t="s">
        <v>395</v>
      </c>
      <c r="H52" s="444" t="s">
        <v>396</v>
      </c>
      <c r="I52" s="444" t="s">
        <v>397</v>
      </c>
      <c r="J52" s="444"/>
      <c r="K52" s="444"/>
      <c r="L52" s="444"/>
      <c r="M52" s="444"/>
      <c r="N52" s="444"/>
    </row>
    <row r="53" spans="1:22">
      <c r="A53" s="8" t="s">
        <v>288</v>
      </c>
      <c r="B53" s="153">
        <v>0.79</v>
      </c>
      <c r="C53" s="14">
        <f>5*0.14</f>
        <v>0.70000000000000007</v>
      </c>
      <c r="D53" s="14"/>
      <c r="E53" s="14"/>
      <c r="F53" s="14"/>
      <c r="G53" s="14"/>
      <c r="H53" s="14"/>
      <c r="I53" s="14"/>
      <c r="N53" s="14">
        <f>SUM(B53:I53)</f>
        <v>1.4900000000000002</v>
      </c>
      <c r="P53" s="129" t="s">
        <v>407</v>
      </c>
    </row>
    <row r="54" spans="1:22">
      <c r="A54" s="8" t="s">
        <v>283</v>
      </c>
      <c r="B54" s="153">
        <v>2.76</v>
      </c>
      <c r="C54" s="14">
        <f>27*0.14</f>
        <v>3.7800000000000002</v>
      </c>
      <c r="D54" s="14"/>
      <c r="E54" s="14"/>
      <c r="F54" s="14"/>
      <c r="G54" s="14"/>
      <c r="H54" s="14"/>
      <c r="I54" s="14"/>
      <c r="N54" s="14">
        <f t="shared" ref="N54:N57" si="33">SUM(B54:I54)</f>
        <v>6.54</v>
      </c>
      <c r="P54" s="129" t="s">
        <v>408</v>
      </c>
    </row>
    <row r="55" spans="1:22">
      <c r="A55" s="8" t="s">
        <v>284</v>
      </c>
      <c r="B55" s="153">
        <v>1.53</v>
      </c>
      <c r="C55" s="14">
        <f>23*0.14</f>
        <v>3.22</v>
      </c>
      <c r="D55" s="14">
        <v>2.94</v>
      </c>
      <c r="E55" s="14"/>
      <c r="F55" s="14"/>
      <c r="G55" s="14"/>
      <c r="H55" s="14"/>
      <c r="I55" s="14"/>
      <c r="N55" s="14">
        <f t="shared" si="33"/>
        <v>7.6899999999999995</v>
      </c>
      <c r="P55" s="129" t="s">
        <v>408</v>
      </c>
    </row>
    <row r="56" spans="1:22">
      <c r="A56" s="8" t="s">
        <v>296</v>
      </c>
      <c r="B56" s="153">
        <v>2</v>
      </c>
      <c r="C56" s="14">
        <f>19*0.14</f>
        <v>2.66</v>
      </c>
      <c r="D56" s="14"/>
      <c r="E56" s="14"/>
      <c r="F56" s="14"/>
      <c r="G56" s="14"/>
      <c r="H56" s="14"/>
      <c r="I56" s="14"/>
      <c r="N56" s="14">
        <f t="shared" si="33"/>
        <v>4.66</v>
      </c>
      <c r="P56" s="129" t="s">
        <v>408</v>
      </c>
    </row>
    <row r="57" spans="1:22" ht="13.5" thickBot="1">
      <c r="A57" s="328" t="s">
        <v>298</v>
      </c>
      <c r="B57" s="454">
        <v>3.11</v>
      </c>
      <c r="C57" s="325">
        <f>56*0.14</f>
        <v>7.8400000000000007</v>
      </c>
      <c r="D57" s="325"/>
      <c r="E57" s="325"/>
      <c r="F57" s="325"/>
      <c r="G57" s="325"/>
      <c r="H57" s="325"/>
      <c r="I57" s="325"/>
      <c r="J57" s="328"/>
      <c r="K57" s="328"/>
      <c r="L57" s="328"/>
      <c r="M57" s="328"/>
      <c r="N57" s="325">
        <f t="shared" si="33"/>
        <v>10.950000000000001</v>
      </c>
      <c r="P57" s="129" t="s">
        <v>408</v>
      </c>
      <c r="Q57" s="101" t="s">
        <v>414</v>
      </c>
    </row>
    <row r="58" spans="1:22">
      <c r="A58" s="8" t="s">
        <v>307</v>
      </c>
      <c r="B58" s="153">
        <v>1.53</v>
      </c>
      <c r="C58" s="14">
        <f>9*0.14</f>
        <v>1.2600000000000002</v>
      </c>
      <c r="D58" s="14">
        <v>2.2000000000000002</v>
      </c>
      <c r="E58" s="14"/>
      <c r="F58" s="14"/>
      <c r="G58" s="14"/>
      <c r="H58" s="14"/>
      <c r="I58" s="14"/>
      <c r="N58" s="11">
        <f t="shared" ref="N58:N63" si="34">SUM(B58:M58)</f>
        <v>4.99</v>
      </c>
      <c r="P58" s="448" t="s">
        <v>413</v>
      </c>
      <c r="Q58" s="449" t="s">
        <v>413</v>
      </c>
      <c r="R58" s="452" t="s">
        <v>411</v>
      </c>
      <c r="V58" s="8" t="s">
        <v>410</v>
      </c>
    </row>
    <row r="59" spans="1:22">
      <c r="A59" s="8" t="s">
        <v>412</v>
      </c>
      <c r="B59" s="153">
        <v>2.35</v>
      </c>
      <c r="C59" s="14">
        <f>14*0.14</f>
        <v>1.9600000000000002</v>
      </c>
      <c r="D59" s="14">
        <f>5*2.2</f>
        <v>11</v>
      </c>
      <c r="E59" s="14"/>
      <c r="F59" s="14"/>
      <c r="G59" s="14"/>
      <c r="H59" s="14"/>
      <c r="I59" s="14"/>
      <c r="N59" s="11">
        <f t="shared" si="34"/>
        <v>15.31</v>
      </c>
      <c r="P59" s="448" t="s">
        <v>413</v>
      </c>
      <c r="Q59" s="449" t="s">
        <v>413</v>
      </c>
      <c r="R59" s="452" t="s">
        <v>415</v>
      </c>
      <c r="V59" s="8" t="s">
        <v>416</v>
      </c>
    </row>
    <row r="60" spans="1:22">
      <c r="A60" s="8" t="s">
        <v>417</v>
      </c>
      <c r="B60" s="153">
        <v>4.17</v>
      </c>
      <c r="C60" s="14">
        <f>14*0.14</f>
        <v>1.9600000000000002</v>
      </c>
      <c r="N60" s="11">
        <f t="shared" si="34"/>
        <v>6.13</v>
      </c>
      <c r="P60" s="448" t="s">
        <v>413</v>
      </c>
      <c r="R60" s="452" t="s">
        <v>419</v>
      </c>
      <c r="S60" s="452"/>
      <c r="V60" s="8" t="s">
        <v>418</v>
      </c>
    </row>
    <row r="61" spans="1:22">
      <c r="A61" s="8" t="s">
        <v>420</v>
      </c>
      <c r="B61" s="153">
        <v>3.64</v>
      </c>
      <c r="C61" s="14">
        <f>24*0.14</f>
        <v>3.3600000000000003</v>
      </c>
      <c r="D61" s="14">
        <v>2.2000000000000002</v>
      </c>
      <c r="N61" s="11">
        <f t="shared" si="34"/>
        <v>9.1999999999999993</v>
      </c>
      <c r="P61" s="448" t="s">
        <v>413</v>
      </c>
      <c r="Q61" s="449" t="s">
        <v>413</v>
      </c>
      <c r="R61" s="452" t="s">
        <v>411</v>
      </c>
      <c r="S61" s="452" t="s">
        <v>421</v>
      </c>
      <c r="V61" s="8" t="s">
        <v>422</v>
      </c>
    </row>
    <row r="62" spans="1:22" ht="13.5" thickBot="1">
      <c r="A62" s="328" t="s">
        <v>423</v>
      </c>
      <c r="B62" s="454">
        <v>1.82</v>
      </c>
      <c r="C62" s="325">
        <f>11*0.14</f>
        <v>1.54</v>
      </c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453">
        <f t="shared" si="34"/>
        <v>3.3600000000000003</v>
      </c>
      <c r="P62" s="448" t="s">
        <v>413</v>
      </c>
      <c r="R62" s="452" t="s">
        <v>409</v>
      </c>
      <c r="S62" s="452" t="s">
        <v>421</v>
      </c>
      <c r="V62" s="8" t="s">
        <v>424</v>
      </c>
    </row>
    <row r="63" spans="1:22">
      <c r="A63" s="8" t="s">
        <v>425</v>
      </c>
      <c r="B63" s="153">
        <v>0.35</v>
      </c>
      <c r="C63" s="14">
        <f>9*0.14</f>
        <v>1.2600000000000002</v>
      </c>
      <c r="N63" s="11">
        <f t="shared" si="34"/>
        <v>1.6100000000000003</v>
      </c>
      <c r="P63" s="450" t="s">
        <v>413</v>
      </c>
      <c r="R63" s="452" t="s">
        <v>430</v>
      </c>
      <c r="V63" s="8" t="s">
        <v>429</v>
      </c>
    </row>
    <row r="64" spans="1:22">
      <c r="A64" s="8" t="s">
        <v>426</v>
      </c>
      <c r="B64" s="153">
        <v>1.41</v>
      </c>
      <c r="C64" s="14">
        <f>12*0.14</f>
        <v>1.6800000000000002</v>
      </c>
      <c r="D64" s="14">
        <v>4.4000000000000004</v>
      </c>
      <c r="N64" s="11">
        <f t="shared" ref="N64:N66" si="35">SUM(B64:M64)</f>
        <v>7.49</v>
      </c>
      <c r="P64" s="450" t="s">
        <v>413</v>
      </c>
      <c r="Q64" s="451" t="s">
        <v>413</v>
      </c>
      <c r="R64" s="452" t="s">
        <v>432</v>
      </c>
      <c r="V64" s="8" t="s">
        <v>431</v>
      </c>
    </row>
    <row r="65" spans="1:22">
      <c r="A65" s="8" t="s">
        <v>427</v>
      </c>
      <c r="B65" s="153">
        <v>1.06</v>
      </c>
      <c r="C65" s="14">
        <f>20*0.14</f>
        <v>2.8000000000000003</v>
      </c>
      <c r="D65" s="14">
        <v>6.6</v>
      </c>
      <c r="N65" s="11">
        <f t="shared" si="35"/>
        <v>10.46</v>
      </c>
      <c r="P65" s="450" t="s">
        <v>413</v>
      </c>
      <c r="Q65" s="451" t="s">
        <v>413</v>
      </c>
      <c r="R65" s="452" t="s">
        <v>415</v>
      </c>
      <c r="V65" s="8" t="s">
        <v>433</v>
      </c>
    </row>
    <row r="66" spans="1:22" ht="13.5" thickBot="1">
      <c r="A66" s="328" t="s">
        <v>428</v>
      </c>
      <c r="B66" s="454">
        <v>1.18</v>
      </c>
      <c r="C66" s="325">
        <f>12*0.14</f>
        <v>1.6800000000000002</v>
      </c>
      <c r="D66" s="325">
        <v>2.2000000000000002</v>
      </c>
      <c r="E66" s="328"/>
      <c r="F66" s="328"/>
      <c r="G66" s="328"/>
      <c r="H66" s="328"/>
      <c r="I66" s="328"/>
      <c r="J66" s="328"/>
      <c r="K66" s="328"/>
      <c r="L66" s="328"/>
      <c r="M66" s="328"/>
      <c r="N66" s="453">
        <f t="shared" si="35"/>
        <v>5.0600000000000005</v>
      </c>
      <c r="P66" s="450" t="s">
        <v>413</v>
      </c>
      <c r="Q66" s="451" t="s">
        <v>413</v>
      </c>
      <c r="R66" s="452" t="s">
        <v>432</v>
      </c>
      <c r="S66" s="452" t="s">
        <v>421</v>
      </c>
      <c r="V66" s="8" t="s">
        <v>434</v>
      </c>
    </row>
    <row r="67" spans="1:22">
      <c r="A67" s="8" t="s">
        <v>398</v>
      </c>
      <c r="B67" s="14">
        <v>3.54</v>
      </c>
      <c r="C67" s="14">
        <f>28*0.14</f>
        <v>3.9200000000000004</v>
      </c>
      <c r="D67" s="14"/>
      <c r="E67" s="14"/>
      <c r="N67" s="14">
        <f>SUM(B67:M67)</f>
        <v>7.4600000000000009</v>
      </c>
      <c r="O67" s="161">
        <v>519.76</v>
      </c>
      <c r="P67" s="8" t="s">
        <v>53</v>
      </c>
    </row>
    <row r="68" spans="1:22" ht="13.5" thickBot="1">
      <c r="A68" s="328" t="s">
        <v>399</v>
      </c>
      <c r="B68" s="325">
        <v>4.6500000000000004</v>
      </c>
      <c r="C68" s="325">
        <f>18*0.14</f>
        <v>2.5200000000000005</v>
      </c>
      <c r="D68" s="325">
        <v>9.52</v>
      </c>
      <c r="E68" s="325">
        <v>0.84</v>
      </c>
      <c r="F68" s="328"/>
      <c r="G68" s="328"/>
      <c r="H68" s="328"/>
      <c r="I68" s="328"/>
      <c r="J68" s="328"/>
      <c r="K68" s="328"/>
      <c r="L68" s="328"/>
      <c r="M68" s="328"/>
      <c r="N68" s="325">
        <f>SUM(B68:M68)</f>
        <v>17.53</v>
      </c>
      <c r="O68" s="161">
        <v>127.7</v>
      </c>
      <c r="P68" s="8" t="s">
        <v>53</v>
      </c>
    </row>
    <row r="69" spans="1:22" ht="13.5" thickBot="1">
      <c r="A69" s="328" t="s">
        <v>436</v>
      </c>
      <c r="B69" s="454"/>
      <c r="C69" s="325">
        <f>14*0.48</f>
        <v>6.72</v>
      </c>
      <c r="D69" s="328"/>
      <c r="E69" s="328"/>
      <c r="F69" s="328"/>
      <c r="G69" s="328"/>
      <c r="H69" s="328"/>
      <c r="I69" s="328"/>
      <c r="J69" s="328"/>
      <c r="K69" s="328"/>
      <c r="L69" s="328"/>
      <c r="M69" s="328"/>
      <c r="N69" s="325">
        <f t="shared" ref="N69:N132" si="36">SUM(B69:M69)</f>
        <v>6.72</v>
      </c>
      <c r="S69" s="462" t="s">
        <v>390</v>
      </c>
      <c r="T69" s="463" t="s">
        <v>29</v>
      </c>
      <c r="U69" s="464">
        <v>0.05</v>
      </c>
      <c r="V69" s="452" t="s">
        <v>435</v>
      </c>
    </row>
    <row r="70" spans="1:22">
      <c r="A70" s="8" t="s">
        <v>437</v>
      </c>
      <c r="B70" s="460"/>
      <c r="C70" s="350">
        <f>24*0.48</f>
        <v>11.52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>
        <f t="shared" si="36"/>
        <v>11.52</v>
      </c>
      <c r="R70" s="462"/>
      <c r="S70" s="14">
        <v>12</v>
      </c>
      <c r="T70" s="14">
        <v>0.8</v>
      </c>
      <c r="U70" s="14">
        <v>0.6</v>
      </c>
      <c r="V70" s="465">
        <f>T70-U70</f>
        <v>0.20000000000000007</v>
      </c>
    </row>
    <row r="71" spans="1:22">
      <c r="A71" s="8" t="s">
        <v>438</v>
      </c>
      <c r="B71" s="153"/>
      <c r="C71" s="14">
        <f>39*0.48</f>
        <v>18.72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>
        <f t="shared" si="36"/>
        <v>18.72</v>
      </c>
      <c r="R71" s="57"/>
      <c r="S71" s="14">
        <v>12</v>
      </c>
      <c r="T71" s="14">
        <v>0.56000000000000005</v>
      </c>
      <c r="U71" s="14">
        <v>0.6</v>
      </c>
      <c r="V71" s="14">
        <f>T71-U71</f>
        <v>-3.9999999999999925E-2</v>
      </c>
    </row>
    <row r="72" spans="1:22">
      <c r="A72" s="8" t="s">
        <v>439</v>
      </c>
      <c r="B72" s="153"/>
      <c r="C72" s="14">
        <f>28*0.48</f>
        <v>13.44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>
        <f t="shared" si="36"/>
        <v>13.44</v>
      </c>
      <c r="R72" s="462"/>
      <c r="S72" s="466" t="s">
        <v>461</v>
      </c>
      <c r="T72" s="459">
        <v>0.09</v>
      </c>
      <c r="U72" s="459">
        <v>0.05</v>
      </c>
      <c r="V72" s="452" t="s">
        <v>435</v>
      </c>
    </row>
    <row r="73" spans="1:22">
      <c r="A73" s="8" t="s">
        <v>440</v>
      </c>
      <c r="B73" s="153"/>
      <c r="C73" s="14">
        <f>29*0.48</f>
        <v>13.92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>
        <f t="shared" si="36"/>
        <v>13.92</v>
      </c>
      <c r="R73" s="57"/>
      <c r="S73" s="14">
        <v>12</v>
      </c>
      <c r="T73" s="14">
        <f>S73*9%</f>
        <v>1.08</v>
      </c>
      <c r="U73" s="14">
        <f>S73*5%</f>
        <v>0.60000000000000009</v>
      </c>
      <c r="V73" s="14">
        <f>T73-U73</f>
        <v>0.48</v>
      </c>
    </row>
    <row r="74" spans="1:22">
      <c r="A74" s="8" t="s">
        <v>441</v>
      </c>
      <c r="B74" s="153"/>
      <c r="C74" s="14">
        <f>28*0.48</f>
        <v>13.44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>
        <f t="shared" si="36"/>
        <v>13.44</v>
      </c>
    </row>
    <row r="75" spans="1:22">
      <c r="A75" s="8" t="s">
        <v>442</v>
      </c>
      <c r="B75" s="14"/>
      <c r="C75" s="14">
        <f>14*0.48</f>
        <v>6.72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>
        <f t="shared" si="36"/>
        <v>6.72</v>
      </c>
    </row>
    <row r="76" spans="1:22">
      <c r="A76" s="8" t="s">
        <v>443</v>
      </c>
      <c r="B76" s="14"/>
      <c r="C76" s="14">
        <f>25*0.48</f>
        <v>12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>
        <f t="shared" si="36"/>
        <v>12</v>
      </c>
    </row>
    <row r="77" spans="1:22">
      <c r="A77" s="8" t="s">
        <v>444</v>
      </c>
      <c r="B77" s="14"/>
      <c r="C77" s="14">
        <f>37*0.48</f>
        <v>17.759999999999998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>
        <f t="shared" si="36"/>
        <v>17.759999999999998</v>
      </c>
    </row>
    <row r="78" spans="1:22">
      <c r="A78" s="8" t="s">
        <v>445</v>
      </c>
      <c r="B78" s="14"/>
      <c r="C78" s="14">
        <f>30*0.48</f>
        <v>14.399999999999999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>
        <f t="shared" si="36"/>
        <v>14.399999999999999</v>
      </c>
    </row>
    <row r="79" spans="1:22">
      <c r="A79" s="8" t="s">
        <v>446</v>
      </c>
      <c r="B79" s="14"/>
      <c r="C79" s="14">
        <f>23*0.48</f>
        <v>11.04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>
        <f t="shared" si="36"/>
        <v>11.04</v>
      </c>
    </row>
    <row r="80" spans="1:22">
      <c r="A80" s="8" t="s">
        <v>447</v>
      </c>
      <c r="B80" s="14"/>
      <c r="C80" s="14">
        <f>30*0.48</f>
        <v>14.399999999999999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>
        <f t="shared" si="36"/>
        <v>14.399999999999999</v>
      </c>
    </row>
    <row r="81" spans="1:24" ht="13.5" thickBot="1">
      <c r="A81" s="328" t="s">
        <v>448</v>
      </c>
      <c r="B81" s="325"/>
      <c r="C81" s="325">
        <f>27*0.48</f>
        <v>12.959999999999999</v>
      </c>
      <c r="D81" s="325"/>
      <c r="E81" s="325"/>
      <c r="F81" s="325"/>
      <c r="G81" s="325"/>
      <c r="H81" s="325"/>
      <c r="I81" s="325"/>
      <c r="J81" s="325"/>
      <c r="K81" s="325"/>
      <c r="L81" s="325"/>
      <c r="M81" s="325"/>
      <c r="N81" s="325">
        <f t="shared" si="36"/>
        <v>12.959999999999999</v>
      </c>
    </row>
    <row r="82" spans="1:24">
      <c r="A82" s="8" t="s">
        <v>449</v>
      </c>
      <c r="B82" s="14"/>
      <c r="C82" s="14">
        <f>9*0.48</f>
        <v>4.32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>
        <f t="shared" si="36"/>
        <v>4.32</v>
      </c>
    </row>
    <row r="83" spans="1:24">
      <c r="A83" s="8" t="s">
        <v>450</v>
      </c>
      <c r="B83" s="14"/>
      <c r="C83" s="14">
        <f>9*0.48</f>
        <v>4.32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>
        <f t="shared" si="36"/>
        <v>4.32</v>
      </c>
    </row>
    <row r="84" spans="1:24">
      <c r="A84" s="8" t="s">
        <v>451</v>
      </c>
      <c r="B84" s="14"/>
      <c r="C84" s="14">
        <f>16*0.48</f>
        <v>7.68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>
        <f t="shared" si="36"/>
        <v>7.68</v>
      </c>
    </row>
    <row r="85" spans="1:24">
      <c r="A85" s="8" t="s">
        <v>452</v>
      </c>
      <c r="B85" s="14"/>
      <c r="C85" s="14">
        <f>18*0.48</f>
        <v>8.64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>
        <f t="shared" si="36"/>
        <v>8.64</v>
      </c>
    </row>
    <row r="86" spans="1:24">
      <c r="A86" s="8" t="s">
        <v>453</v>
      </c>
      <c r="B86" s="14"/>
      <c r="C86" s="14">
        <f>19*0.48</f>
        <v>9.1199999999999992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>
        <f t="shared" si="36"/>
        <v>9.1199999999999992</v>
      </c>
    </row>
    <row r="87" spans="1:24">
      <c r="A87" s="8" t="s">
        <v>454</v>
      </c>
      <c r="B87" s="14"/>
      <c r="C87" s="14">
        <f>9*0.48</f>
        <v>4.32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>
        <f t="shared" si="36"/>
        <v>4.32</v>
      </c>
      <c r="S87" s="462" t="s">
        <v>390</v>
      </c>
      <c r="T87" s="463" t="s">
        <v>29</v>
      </c>
      <c r="U87" s="464">
        <v>0.05</v>
      </c>
      <c r="V87" s="452" t="s">
        <v>435</v>
      </c>
    </row>
    <row r="88" spans="1:24">
      <c r="A88" s="8" t="s">
        <v>455</v>
      </c>
      <c r="B88" s="14"/>
      <c r="C88" s="14">
        <f>29*0.48</f>
        <v>13.92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>
        <f t="shared" si="36"/>
        <v>13.92</v>
      </c>
      <c r="R88" s="462"/>
      <c r="S88" s="14">
        <v>20</v>
      </c>
      <c r="T88" s="153">
        <v>1.3</v>
      </c>
      <c r="U88" s="14">
        <v>1</v>
      </c>
      <c r="V88" s="153">
        <f>T88-U88</f>
        <v>0.30000000000000004</v>
      </c>
    </row>
    <row r="89" spans="1:24">
      <c r="A89" s="461" t="s">
        <v>456</v>
      </c>
      <c r="B89" s="14"/>
      <c r="C89" s="14">
        <f>22*0.8</f>
        <v>17.600000000000001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>
        <f t="shared" si="36"/>
        <v>17.600000000000001</v>
      </c>
      <c r="R89" s="462"/>
      <c r="S89" s="466" t="s">
        <v>461</v>
      </c>
      <c r="T89" s="459">
        <v>0.09</v>
      </c>
      <c r="U89" s="459">
        <v>0.05</v>
      </c>
      <c r="V89" s="452" t="s">
        <v>435</v>
      </c>
      <c r="X89" s="8" t="s">
        <v>394</v>
      </c>
    </row>
    <row r="90" spans="1:24">
      <c r="A90" s="8" t="s">
        <v>457</v>
      </c>
      <c r="B90" s="14"/>
      <c r="C90" s="14">
        <f>45*0.8</f>
        <v>36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>
        <f t="shared" si="36"/>
        <v>36</v>
      </c>
      <c r="R90" s="57"/>
      <c r="S90" s="14">
        <v>20</v>
      </c>
      <c r="T90" s="14">
        <f>S90*9%</f>
        <v>1.7999999999999998</v>
      </c>
      <c r="U90" s="14">
        <f>S90*5%</f>
        <v>1</v>
      </c>
      <c r="V90" s="14">
        <f>T90-U90</f>
        <v>0.79999999999999982</v>
      </c>
      <c r="X90" s="14">
        <v>3.67</v>
      </c>
    </row>
    <row r="91" spans="1:24">
      <c r="A91" s="161" t="s">
        <v>458</v>
      </c>
      <c r="B91" s="153"/>
      <c r="C91" s="153">
        <f>28*0.8</f>
        <v>22.400000000000002</v>
      </c>
      <c r="D91" s="153">
        <f>4*3.27</f>
        <v>13.08</v>
      </c>
      <c r="E91" s="153"/>
      <c r="F91" s="153"/>
      <c r="G91" s="153"/>
      <c r="H91" s="153"/>
      <c r="I91" s="153"/>
      <c r="J91" s="153"/>
      <c r="K91" s="153"/>
      <c r="L91" s="153"/>
      <c r="M91" s="153"/>
      <c r="N91" s="153">
        <f t="shared" si="36"/>
        <v>35.480000000000004</v>
      </c>
    </row>
    <row r="92" spans="1:24">
      <c r="A92" s="8" t="s">
        <v>459</v>
      </c>
      <c r="B92" s="14"/>
      <c r="C92" s="14">
        <f>36*0.8</f>
        <v>28.8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>
        <f t="shared" si="36"/>
        <v>28.8</v>
      </c>
    </row>
    <row r="93" spans="1:24" ht="13.5" thickBot="1">
      <c r="A93" s="328" t="s">
        <v>460</v>
      </c>
      <c r="B93" s="325"/>
      <c r="C93" s="325">
        <f>19*0.8</f>
        <v>15.200000000000001</v>
      </c>
      <c r="D93" s="325"/>
      <c r="E93" s="325"/>
      <c r="F93" s="325"/>
      <c r="G93" s="325"/>
      <c r="H93" s="325"/>
      <c r="I93" s="325"/>
      <c r="J93" s="325"/>
      <c r="K93" s="325"/>
      <c r="L93" s="325"/>
      <c r="M93" s="325"/>
      <c r="N93" s="325">
        <f t="shared" si="36"/>
        <v>15.200000000000001</v>
      </c>
    </row>
    <row r="94" spans="1:24">
      <c r="A94" s="8" t="s">
        <v>462</v>
      </c>
      <c r="B94" s="14"/>
      <c r="C94" s="14">
        <f>15*0.8</f>
        <v>12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>
        <f t="shared" si="36"/>
        <v>12</v>
      </c>
    </row>
    <row r="95" spans="1:24">
      <c r="A95" s="8" t="s">
        <v>463</v>
      </c>
      <c r="B95" s="14"/>
      <c r="C95" s="14">
        <f>18*0.8</f>
        <v>14.4</v>
      </c>
      <c r="D95" s="14">
        <f>3*3.27</f>
        <v>9.81</v>
      </c>
      <c r="E95" s="14"/>
      <c r="F95" s="14"/>
      <c r="G95" s="14"/>
      <c r="H95" s="14"/>
      <c r="I95" s="14"/>
      <c r="J95" s="14"/>
      <c r="K95" s="14"/>
      <c r="L95" s="14"/>
      <c r="M95" s="14"/>
      <c r="N95" s="14">
        <f t="shared" si="36"/>
        <v>24.21</v>
      </c>
    </row>
    <row r="96" spans="1:24">
      <c r="A96" s="8" t="s">
        <v>464</v>
      </c>
      <c r="B96" s="14"/>
      <c r="C96" s="14">
        <f>17*0.8</f>
        <v>13.600000000000001</v>
      </c>
      <c r="D96" s="14">
        <f>3*3.27</f>
        <v>9.81</v>
      </c>
      <c r="E96" s="14"/>
      <c r="F96" s="14"/>
      <c r="G96" s="14"/>
      <c r="H96" s="14"/>
      <c r="I96" s="14"/>
      <c r="J96" s="14"/>
      <c r="K96" s="14"/>
      <c r="L96" s="14"/>
      <c r="M96" s="14"/>
      <c r="N96" s="14">
        <f t="shared" si="36"/>
        <v>23.410000000000004</v>
      </c>
    </row>
    <row r="97" spans="1:14">
      <c r="A97" s="8" t="s">
        <v>465</v>
      </c>
      <c r="B97" s="14"/>
      <c r="C97" s="14">
        <f>23*0.8</f>
        <v>18.400000000000002</v>
      </c>
      <c r="D97" s="14">
        <v>3.27</v>
      </c>
      <c r="E97" s="14"/>
      <c r="F97" s="14"/>
      <c r="G97" s="14"/>
      <c r="H97" s="14"/>
      <c r="I97" s="14"/>
      <c r="J97" s="14"/>
      <c r="K97" s="14"/>
      <c r="L97" s="14"/>
      <c r="M97" s="14"/>
      <c r="N97" s="14">
        <f t="shared" si="36"/>
        <v>21.67</v>
      </c>
    </row>
    <row r="98" spans="1:14">
      <c r="A98" s="8" t="s">
        <v>466</v>
      </c>
      <c r="B98" s="14"/>
      <c r="C98" s="14">
        <f>24*0.8</f>
        <v>19.200000000000003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>
        <f t="shared" si="36"/>
        <v>19.200000000000003</v>
      </c>
    </row>
    <row r="99" spans="1:14" ht="13.5" thickBot="1">
      <c r="A99" s="328" t="s">
        <v>467</v>
      </c>
      <c r="B99" s="325"/>
      <c r="C99" s="325">
        <f>37*0.8</f>
        <v>29.6</v>
      </c>
      <c r="D99" s="325">
        <f>2*3.27</f>
        <v>6.54</v>
      </c>
      <c r="E99" s="325"/>
      <c r="F99" s="325"/>
      <c r="G99" s="325"/>
      <c r="H99" s="325"/>
      <c r="I99" s="325">
        <v>0.3</v>
      </c>
      <c r="J99" s="325"/>
      <c r="K99" s="325"/>
      <c r="L99" s="325"/>
      <c r="M99" s="325"/>
      <c r="N99" s="325">
        <f t="shared" si="36"/>
        <v>36.44</v>
      </c>
    </row>
    <row r="100" spans="1:14">
      <c r="A100" s="8" t="s">
        <v>468</v>
      </c>
      <c r="B100" s="14"/>
      <c r="C100" s="14">
        <f>12*0.8</f>
        <v>9.6000000000000014</v>
      </c>
      <c r="D100" s="14">
        <f>2*3.27</f>
        <v>6.54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>
        <f t="shared" si="36"/>
        <v>16.14</v>
      </c>
    </row>
    <row r="101" spans="1:14">
      <c r="A101" s="8" t="s">
        <v>469</v>
      </c>
      <c r="B101" s="14"/>
      <c r="C101" s="14">
        <f>29*0.8</f>
        <v>23.200000000000003</v>
      </c>
      <c r="D101" s="14">
        <f>4*3.27</f>
        <v>13.08</v>
      </c>
      <c r="E101" s="14"/>
      <c r="F101" s="14"/>
      <c r="G101" s="14"/>
      <c r="H101" s="14"/>
      <c r="I101" s="14">
        <v>0.12</v>
      </c>
      <c r="J101" s="14"/>
      <c r="K101" s="14"/>
      <c r="L101" s="14"/>
      <c r="M101" s="14"/>
      <c r="N101" s="14">
        <f t="shared" si="36"/>
        <v>36.4</v>
      </c>
    </row>
    <row r="102" spans="1:14">
      <c r="A102" s="8" t="s">
        <v>470</v>
      </c>
      <c r="B102" s="14"/>
      <c r="C102" s="14">
        <f>15*0.8</f>
        <v>12</v>
      </c>
      <c r="D102" s="14">
        <f>2*3.27</f>
        <v>6.54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>
        <f t="shared" si="36"/>
        <v>18.54</v>
      </c>
    </row>
    <row r="103" spans="1:14">
      <c r="A103" s="8" t="s">
        <v>471</v>
      </c>
      <c r="B103" s="14"/>
      <c r="C103" s="14">
        <f>14*0.8</f>
        <v>11.200000000000001</v>
      </c>
      <c r="D103" s="14">
        <f>3*3.27</f>
        <v>9.81</v>
      </c>
      <c r="E103" s="14">
        <v>6</v>
      </c>
      <c r="F103" s="14"/>
      <c r="G103" s="14"/>
      <c r="H103" s="14"/>
      <c r="I103" s="14"/>
      <c r="J103" s="14"/>
      <c r="K103" s="14"/>
      <c r="L103" s="14"/>
      <c r="M103" s="14"/>
      <c r="N103" s="14">
        <f t="shared" si="36"/>
        <v>27.01</v>
      </c>
    </row>
    <row r="104" spans="1:14">
      <c r="A104" s="8" t="s">
        <v>472</v>
      </c>
      <c r="B104" s="14"/>
      <c r="C104" s="14">
        <f>15*0.8</f>
        <v>12</v>
      </c>
      <c r="D104" s="14">
        <f>2*3.27</f>
        <v>6.54</v>
      </c>
      <c r="E104" s="153">
        <v>4</v>
      </c>
      <c r="F104" s="14"/>
      <c r="G104" s="14"/>
      <c r="H104" s="14"/>
      <c r="I104" s="14"/>
      <c r="J104" s="14"/>
      <c r="K104" s="14"/>
      <c r="L104" s="14"/>
      <c r="M104" s="14"/>
      <c r="N104" s="14">
        <f t="shared" si="36"/>
        <v>22.54</v>
      </c>
    </row>
    <row r="105" spans="1:14">
      <c r="A105" s="8" t="s">
        <v>473</v>
      </c>
      <c r="B105" s="14"/>
      <c r="C105" s="14">
        <f>17*0.8</f>
        <v>13.600000000000001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>
        <f t="shared" si="36"/>
        <v>13.600000000000001</v>
      </c>
    </row>
    <row r="106" spans="1:14">
      <c r="A106" s="8" t="s">
        <v>474</v>
      </c>
      <c r="B106" s="14"/>
      <c r="C106" s="14">
        <f>15*0.8</f>
        <v>12</v>
      </c>
      <c r="D106" s="14">
        <v>3.27</v>
      </c>
      <c r="E106" s="14"/>
      <c r="F106" s="14"/>
      <c r="G106" s="14"/>
      <c r="H106" s="14"/>
      <c r="I106" s="14"/>
      <c r="J106" s="14"/>
      <c r="K106" s="14"/>
      <c r="L106" s="14"/>
      <c r="M106" s="14"/>
      <c r="N106" s="14">
        <f t="shared" si="36"/>
        <v>15.27</v>
      </c>
    </row>
    <row r="107" spans="1:14">
      <c r="A107" s="8" t="s">
        <v>475</v>
      </c>
      <c r="B107" s="14"/>
      <c r="C107" s="14">
        <f>29*0.8</f>
        <v>23.200000000000003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>
        <f t="shared" si="36"/>
        <v>23.200000000000003</v>
      </c>
    </row>
    <row r="108" spans="1:14">
      <c r="A108" s="8" t="s">
        <v>476</v>
      </c>
      <c r="B108" s="14"/>
      <c r="C108" s="14">
        <f>20*0.8</f>
        <v>16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>
        <f t="shared" si="36"/>
        <v>16</v>
      </c>
    </row>
    <row r="109" spans="1:14">
      <c r="A109" s="8" t="s">
        <v>477</v>
      </c>
      <c r="B109" s="14"/>
      <c r="C109" s="14">
        <f>3*0.8</f>
        <v>2.4000000000000004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>
        <f t="shared" si="36"/>
        <v>2.4000000000000004</v>
      </c>
    </row>
    <row r="110" spans="1:14">
      <c r="A110" s="8" t="s">
        <v>478</v>
      </c>
      <c r="B110" s="14"/>
      <c r="C110" s="14">
        <f>10*0.8</f>
        <v>8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>
        <f t="shared" si="36"/>
        <v>8</v>
      </c>
    </row>
    <row r="111" spans="1:14" ht="13.5" thickBot="1">
      <c r="A111" s="328" t="s">
        <v>479</v>
      </c>
      <c r="B111" s="325"/>
      <c r="C111" s="325">
        <f>12*0.8</f>
        <v>9.6000000000000014</v>
      </c>
      <c r="D111" s="325">
        <v>0.27</v>
      </c>
      <c r="E111" s="325"/>
      <c r="F111" s="325"/>
      <c r="G111" s="325"/>
      <c r="H111" s="325"/>
      <c r="I111" s="325"/>
      <c r="J111" s="325"/>
      <c r="K111" s="325"/>
      <c r="L111" s="325"/>
      <c r="M111" s="325"/>
      <c r="N111" s="325">
        <f t="shared" si="36"/>
        <v>9.870000000000001</v>
      </c>
    </row>
    <row r="112" spans="1:14">
      <c r="A112" s="8" t="s">
        <v>480</v>
      </c>
      <c r="B112" s="14"/>
      <c r="C112" s="14">
        <f>5*0.8</f>
        <v>4</v>
      </c>
      <c r="D112" s="14">
        <f>4*3.27</f>
        <v>13.08</v>
      </c>
      <c r="E112" s="14"/>
      <c r="F112" s="14"/>
      <c r="G112" s="14"/>
      <c r="H112" s="14"/>
      <c r="I112" s="14">
        <v>0.12</v>
      </c>
      <c r="J112" s="14"/>
      <c r="K112" s="14"/>
      <c r="L112" s="14"/>
      <c r="M112" s="14"/>
      <c r="N112" s="14">
        <f t="shared" si="36"/>
        <v>17.2</v>
      </c>
    </row>
    <row r="113" spans="1:14">
      <c r="A113" s="8" t="s">
        <v>481</v>
      </c>
      <c r="B113" s="14"/>
      <c r="C113" s="14">
        <f>5*0.8</f>
        <v>4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>
        <f t="shared" si="36"/>
        <v>4</v>
      </c>
    </row>
    <row r="114" spans="1:14">
      <c r="A114" s="8" t="s">
        <v>482</v>
      </c>
      <c r="B114" s="14"/>
      <c r="C114" s="14">
        <f>15*0.8</f>
        <v>12</v>
      </c>
      <c r="D114" s="14">
        <f>2*3.27</f>
        <v>6.54</v>
      </c>
      <c r="E114" s="14"/>
      <c r="F114" s="14"/>
      <c r="G114" s="14"/>
      <c r="H114" s="14"/>
      <c r="I114" s="14"/>
      <c r="J114" s="14"/>
      <c r="K114" s="14"/>
      <c r="L114" s="14"/>
      <c r="M114" s="14"/>
      <c r="N114" s="14">
        <f t="shared" si="36"/>
        <v>18.54</v>
      </c>
    </row>
    <row r="115" spans="1:14">
      <c r="A115" s="8" t="s">
        <v>483</v>
      </c>
      <c r="B115" s="14"/>
      <c r="C115" s="14">
        <f>4*0.8</f>
        <v>3.2</v>
      </c>
      <c r="D115" s="14">
        <v>3.27</v>
      </c>
      <c r="E115" s="14"/>
      <c r="F115" s="14"/>
      <c r="G115" s="14"/>
      <c r="H115" s="14"/>
      <c r="I115" s="14"/>
      <c r="J115" s="14"/>
      <c r="K115" s="14"/>
      <c r="L115" s="14"/>
      <c r="M115" s="14"/>
      <c r="N115" s="14">
        <f t="shared" si="36"/>
        <v>6.4700000000000006</v>
      </c>
    </row>
    <row r="116" spans="1:14">
      <c r="A116" s="8" t="s">
        <v>484</v>
      </c>
      <c r="B116" s="14"/>
      <c r="C116" s="14">
        <f>9*0.8</f>
        <v>7.2</v>
      </c>
      <c r="D116" s="14">
        <f>5*3.27</f>
        <v>16.350000000000001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>
        <f t="shared" si="36"/>
        <v>23.55</v>
      </c>
    </row>
    <row r="117" spans="1:14">
      <c r="A117" s="8" t="s">
        <v>485</v>
      </c>
      <c r="B117" s="14"/>
      <c r="C117" s="14">
        <f>5*0.8</f>
        <v>4</v>
      </c>
      <c r="D117" s="14">
        <f>5*3.27</f>
        <v>16.350000000000001</v>
      </c>
      <c r="E117" s="14"/>
      <c r="F117" s="14"/>
      <c r="G117" s="14"/>
      <c r="H117" s="14"/>
      <c r="I117" s="14"/>
      <c r="J117" s="14"/>
      <c r="K117" s="14"/>
      <c r="L117" s="14"/>
      <c r="M117" s="14"/>
      <c r="N117" s="14">
        <f t="shared" si="36"/>
        <v>20.350000000000001</v>
      </c>
    </row>
    <row r="118" spans="1:14">
      <c r="A118" s="8" t="s">
        <v>486</v>
      </c>
      <c r="B118" s="14"/>
      <c r="C118" s="14">
        <f>15*0.8</f>
        <v>12</v>
      </c>
      <c r="D118" s="14">
        <f>4*3.27</f>
        <v>13.08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14">
        <f t="shared" si="36"/>
        <v>25.08</v>
      </c>
    </row>
    <row r="119" spans="1:14">
      <c r="A119" s="8" t="s">
        <v>487</v>
      </c>
      <c r="B119" s="14"/>
      <c r="C119" s="14">
        <f>24*0.8</f>
        <v>19.200000000000003</v>
      </c>
      <c r="D119" s="14">
        <f>5*3.27</f>
        <v>16.350000000000001</v>
      </c>
      <c r="E119" s="14"/>
      <c r="F119" s="14"/>
      <c r="G119" s="14"/>
      <c r="H119" s="14"/>
      <c r="I119" s="14"/>
      <c r="J119" s="14"/>
      <c r="K119" s="14"/>
      <c r="L119" s="14"/>
      <c r="M119" s="14"/>
      <c r="N119" s="14">
        <f t="shared" si="36"/>
        <v>35.550000000000004</v>
      </c>
    </row>
    <row r="120" spans="1:14">
      <c r="A120" s="8" t="s">
        <v>488</v>
      </c>
      <c r="B120" s="14"/>
      <c r="C120" s="14">
        <f>14*0.8</f>
        <v>11.200000000000001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>
        <f t="shared" si="36"/>
        <v>11.200000000000001</v>
      </c>
    </row>
    <row r="121" spans="1:14">
      <c r="A121" s="8" t="s">
        <v>489</v>
      </c>
      <c r="B121" s="14"/>
      <c r="C121" s="14">
        <f>5*0.8</f>
        <v>4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>
        <f t="shared" si="36"/>
        <v>4</v>
      </c>
    </row>
    <row r="122" spans="1:14">
      <c r="A122" s="8" t="s">
        <v>490</v>
      </c>
      <c r="B122" s="14"/>
      <c r="C122" s="14">
        <f>14*0.8</f>
        <v>11.200000000000001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>
        <f t="shared" si="36"/>
        <v>11.200000000000001</v>
      </c>
    </row>
    <row r="123" spans="1:14" ht="13.5" thickBot="1">
      <c r="A123" s="328" t="s">
        <v>491</v>
      </c>
      <c r="B123" s="328"/>
      <c r="C123" s="325">
        <f>19*0.8</f>
        <v>15.200000000000001</v>
      </c>
      <c r="D123" s="325">
        <f>3*3.27</f>
        <v>9.81</v>
      </c>
      <c r="E123" s="328"/>
      <c r="F123" s="328"/>
      <c r="G123" s="328"/>
      <c r="H123" s="328"/>
      <c r="I123" s="328"/>
      <c r="J123" s="328"/>
      <c r="K123" s="328"/>
      <c r="L123" s="328"/>
      <c r="M123" s="328"/>
      <c r="N123" s="325">
        <f t="shared" si="36"/>
        <v>25.01</v>
      </c>
    </row>
    <row r="124" spans="1:14">
      <c r="A124" s="8" t="s">
        <v>492</v>
      </c>
      <c r="B124" s="14"/>
      <c r="C124" s="14">
        <f>13*0.8</f>
        <v>10.4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>
        <f t="shared" si="36"/>
        <v>10.4</v>
      </c>
    </row>
    <row r="125" spans="1:14">
      <c r="A125" s="8" t="s">
        <v>493</v>
      </c>
      <c r="B125" s="14"/>
      <c r="C125" s="14">
        <f>7*0.8</f>
        <v>5.6000000000000005</v>
      </c>
      <c r="D125" s="14"/>
      <c r="E125" s="14">
        <v>1.96</v>
      </c>
      <c r="F125" s="14"/>
      <c r="G125" s="14"/>
      <c r="H125" s="14"/>
      <c r="I125" s="14">
        <v>0.25</v>
      </c>
      <c r="J125" s="14"/>
      <c r="K125" s="14"/>
      <c r="L125" s="14"/>
      <c r="M125" s="14"/>
      <c r="N125" s="14">
        <f t="shared" si="36"/>
        <v>7.8100000000000005</v>
      </c>
    </row>
    <row r="126" spans="1:14">
      <c r="A126" s="8" t="s">
        <v>494</v>
      </c>
      <c r="B126" s="14"/>
      <c r="C126" s="14">
        <f>15/0.8</f>
        <v>18.75</v>
      </c>
      <c r="D126" s="14">
        <v>0.27</v>
      </c>
      <c r="E126" s="14">
        <v>9</v>
      </c>
      <c r="F126" s="14"/>
      <c r="G126" s="14"/>
      <c r="H126" s="14"/>
      <c r="I126" s="14"/>
      <c r="J126" s="14"/>
      <c r="K126" s="14"/>
      <c r="L126" s="14"/>
      <c r="M126" s="14"/>
      <c r="N126" s="14">
        <f t="shared" si="36"/>
        <v>28.02</v>
      </c>
    </row>
    <row r="127" spans="1:14">
      <c r="A127" s="8" t="s">
        <v>495</v>
      </c>
      <c r="B127" s="14"/>
      <c r="C127" s="14">
        <f>25*0.8</f>
        <v>20</v>
      </c>
      <c r="D127" s="14"/>
      <c r="E127" s="14">
        <v>9.9</v>
      </c>
      <c r="F127" s="14"/>
      <c r="G127" s="14"/>
      <c r="H127" s="14"/>
      <c r="I127" s="14"/>
      <c r="J127" s="14"/>
      <c r="K127" s="14"/>
      <c r="L127" s="14"/>
      <c r="M127" s="14"/>
      <c r="N127" s="14">
        <f t="shared" si="36"/>
        <v>29.9</v>
      </c>
    </row>
    <row r="128" spans="1:14">
      <c r="A128" s="8" t="s">
        <v>496</v>
      </c>
      <c r="B128" s="14"/>
      <c r="C128" s="14">
        <f>16*0.8</f>
        <v>12.8</v>
      </c>
      <c r="D128" s="14"/>
      <c r="E128" s="14"/>
      <c r="F128" s="14"/>
      <c r="G128" s="14"/>
      <c r="H128" s="14"/>
      <c r="I128" s="14">
        <v>21.41</v>
      </c>
      <c r="J128" s="14"/>
      <c r="K128" s="14"/>
      <c r="L128" s="14"/>
      <c r="M128" s="14"/>
      <c r="N128" s="14">
        <f t="shared" si="36"/>
        <v>34.21</v>
      </c>
    </row>
    <row r="129" spans="1:14">
      <c r="A129" s="8" t="s">
        <v>497</v>
      </c>
      <c r="B129" s="14"/>
      <c r="C129" s="14">
        <f>4*0.8</f>
        <v>3.2</v>
      </c>
      <c r="D129" s="14"/>
      <c r="E129" s="14">
        <v>1.1499999999999999</v>
      </c>
      <c r="F129" s="14"/>
      <c r="G129" s="14"/>
      <c r="H129" s="14"/>
      <c r="I129" s="14">
        <v>0.5</v>
      </c>
      <c r="J129" s="14"/>
      <c r="K129" s="14"/>
      <c r="L129" s="14"/>
      <c r="M129" s="14"/>
      <c r="N129" s="14">
        <f t="shared" si="36"/>
        <v>4.8499999999999996</v>
      </c>
    </row>
    <row r="130" spans="1:14">
      <c r="A130" s="8" t="s">
        <v>498</v>
      </c>
      <c r="B130" s="14"/>
      <c r="C130" s="14">
        <f>3*0.8</f>
        <v>2.4000000000000004</v>
      </c>
      <c r="D130" s="14"/>
      <c r="E130" s="14">
        <v>1.8</v>
      </c>
      <c r="F130" s="14"/>
      <c r="G130" s="14"/>
      <c r="H130" s="14"/>
      <c r="I130" s="14">
        <v>0.75</v>
      </c>
      <c r="J130" s="14"/>
      <c r="K130" s="14"/>
      <c r="L130" s="14"/>
      <c r="M130" s="14"/>
      <c r="N130" s="14">
        <f t="shared" si="36"/>
        <v>4.95</v>
      </c>
    </row>
    <row r="131" spans="1:14">
      <c r="A131" s="8" t="s">
        <v>499</v>
      </c>
      <c r="B131" s="14"/>
      <c r="C131" s="14">
        <f>11*0.8</f>
        <v>8.8000000000000007</v>
      </c>
      <c r="D131" s="14"/>
      <c r="E131" s="14"/>
      <c r="F131" s="14"/>
      <c r="G131" s="14"/>
      <c r="H131" s="14"/>
      <c r="I131" s="14">
        <v>0.15</v>
      </c>
      <c r="J131" s="14"/>
      <c r="K131" s="14"/>
      <c r="L131" s="14"/>
      <c r="M131" s="14"/>
      <c r="N131" s="14">
        <f t="shared" si="36"/>
        <v>8.9500000000000011</v>
      </c>
    </row>
    <row r="132" spans="1:14">
      <c r="A132" s="8" t="s">
        <v>500</v>
      </c>
      <c r="B132" s="14"/>
      <c r="C132" s="14">
        <f>16*0.8</f>
        <v>12.8</v>
      </c>
      <c r="D132" s="14"/>
      <c r="E132" s="14">
        <v>4.88</v>
      </c>
      <c r="F132" s="14"/>
      <c r="G132" s="14"/>
      <c r="H132" s="14"/>
      <c r="I132" s="14">
        <v>0.5</v>
      </c>
      <c r="J132" s="14"/>
      <c r="K132" s="14"/>
      <c r="L132" s="14"/>
      <c r="M132" s="14"/>
      <c r="N132" s="14">
        <f t="shared" si="36"/>
        <v>18.18</v>
      </c>
    </row>
    <row r="133" spans="1:14">
      <c r="A133" s="8" t="s">
        <v>501</v>
      </c>
      <c r="B133" s="14"/>
      <c r="C133" s="14">
        <f>8*0.8</f>
        <v>6.4</v>
      </c>
      <c r="D133" s="14"/>
      <c r="E133" s="14">
        <v>9.89</v>
      </c>
      <c r="F133" s="14"/>
      <c r="G133" s="14"/>
      <c r="H133" s="14"/>
      <c r="I133" s="14"/>
      <c r="J133" s="14"/>
      <c r="K133" s="14"/>
      <c r="L133" s="14"/>
      <c r="M133" s="14"/>
      <c r="N133" s="14">
        <f t="shared" ref="N133:N175" si="37">SUM(B133:M133)</f>
        <v>16.29</v>
      </c>
    </row>
    <row r="134" spans="1:14">
      <c r="A134" s="8" t="s">
        <v>502</v>
      </c>
      <c r="B134" s="14"/>
      <c r="C134" s="14">
        <f>16*0.8</f>
        <v>12.8</v>
      </c>
      <c r="D134" s="14"/>
      <c r="E134" s="14">
        <v>2.11</v>
      </c>
      <c r="F134" s="14"/>
      <c r="G134" s="14"/>
      <c r="H134" s="14"/>
      <c r="I134" s="14"/>
      <c r="J134" s="14"/>
      <c r="K134" s="14"/>
      <c r="L134" s="14"/>
      <c r="M134" s="14"/>
      <c r="N134" s="14">
        <f t="shared" si="37"/>
        <v>14.91</v>
      </c>
    </row>
    <row r="135" spans="1:14" ht="13.5" thickBot="1">
      <c r="A135" s="328" t="s">
        <v>503</v>
      </c>
      <c r="B135" s="325"/>
      <c r="C135" s="325">
        <f>22*0.8</f>
        <v>17.600000000000001</v>
      </c>
      <c r="D135" s="325"/>
      <c r="E135" s="325"/>
      <c r="F135" s="325"/>
      <c r="G135" s="325"/>
      <c r="H135" s="325"/>
      <c r="I135" s="325"/>
      <c r="J135" s="325"/>
      <c r="K135" s="325"/>
      <c r="L135" s="325"/>
      <c r="M135" s="325"/>
      <c r="N135" s="325">
        <f t="shared" si="37"/>
        <v>17.600000000000001</v>
      </c>
    </row>
    <row r="136" spans="1:14">
      <c r="A136" s="8" t="s">
        <v>504</v>
      </c>
      <c r="B136" s="14"/>
      <c r="C136" s="14">
        <f>6*0.8</f>
        <v>4.8000000000000007</v>
      </c>
      <c r="D136" s="14"/>
      <c r="E136" s="14"/>
      <c r="F136" s="14"/>
      <c r="G136" s="14"/>
      <c r="H136" s="14"/>
      <c r="I136" s="14">
        <v>0.25</v>
      </c>
      <c r="J136" s="14"/>
      <c r="K136" s="14"/>
      <c r="L136" s="14"/>
      <c r="M136" s="14"/>
      <c r="N136" s="14">
        <f t="shared" si="37"/>
        <v>5.0500000000000007</v>
      </c>
    </row>
    <row r="137" spans="1:14">
      <c r="A137" s="8" t="s">
        <v>505</v>
      </c>
      <c r="B137" s="14"/>
      <c r="C137" s="14">
        <f>5*0.8</f>
        <v>4</v>
      </c>
      <c r="D137" s="14"/>
      <c r="E137" s="14"/>
      <c r="F137" s="14"/>
      <c r="G137" s="14"/>
      <c r="H137" s="14"/>
      <c r="I137" s="14">
        <v>0.45</v>
      </c>
      <c r="J137" s="14"/>
      <c r="K137" s="14"/>
      <c r="L137" s="14"/>
      <c r="M137" s="14"/>
      <c r="N137" s="14">
        <f t="shared" si="37"/>
        <v>4.45</v>
      </c>
    </row>
    <row r="138" spans="1:14">
      <c r="A138" s="8" t="s">
        <v>506</v>
      </c>
      <c r="B138" s="14"/>
      <c r="C138" s="14">
        <f>11*0.8</f>
        <v>8.8000000000000007</v>
      </c>
      <c r="D138" s="14"/>
      <c r="E138" s="14"/>
      <c r="F138" s="14">
        <v>0.67</v>
      </c>
      <c r="G138" s="14"/>
      <c r="H138" s="14"/>
      <c r="I138" s="14"/>
      <c r="J138" s="14"/>
      <c r="K138" s="14"/>
      <c r="L138" s="14"/>
      <c r="M138" s="14"/>
      <c r="N138" s="14">
        <f t="shared" si="37"/>
        <v>9.4700000000000006</v>
      </c>
    </row>
    <row r="139" spans="1:14">
      <c r="A139" s="8" t="s">
        <v>507</v>
      </c>
      <c r="B139" s="14"/>
      <c r="C139" s="14">
        <f>6*0.8</f>
        <v>4.8000000000000007</v>
      </c>
      <c r="D139" s="14"/>
      <c r="E139" s="14"/>
      <c r="F139" s="14">
        <v>4.67</v>
      </c>
      <c r="G139" s="14"/>
      <c r="H139" s="14"/>
      <c r="I139" s="14"/>
      <c r="J139" s="14"/>
      <c r="K139" s="14"/>
      <c r="L139" s="14"/>
      <c r="M139" s="14"/>
      <c r="N139" s="14">
        <f t="shared" si="37"/>
        <v>9.4700000000000006</v>
      </c>
    </row>
    <row r="140" spans="1:14">
      <c r="A140" s="8" t="s">
        <v>508</v>
      </c>
      <c r="C140" s="14">
        <f>11*0.8</f>
        <v>8.8000000000000007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>
        <f t="shared" si="37"/>
        <v>8.8000000000000007</v>
      </c>
    </row>
    <row r="141" spans="1:14">
      <c r="A141" s="8" t="s">
        <v>509</v>
      </c>
      <c r="C141" s="14">
        <f>12*0.8</f>
        <v>9.6000000000000014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>
        <f t="shared" si="37"/>
        <v>9.6000000000000014</v>
      </c>
    </row>
    <row r="142" spans="1:14">
      <c r="A142" s="8" t="s">
        <v>510</v>
      </c>
      <c r="C142" s="14">
        <f>20*0.8</f>
        <v>16</v>
      </c>
      <c r="D142" s="14"/>
      <c r="E142" s="14">
        <v>8.2899999999999991</v>
      </c>
      <c r="F142" s="14"/>
      <c r="G142" s="14"/>
      <c r="H142" s="14"/>
      <c r="I142" s="14"/>
      <c r="J142" s="14"/>
      <c r="K142" s="14"/>
      <c r="L142" s="14"/>
      <c r="M142" s="14"/>
      <c r="N142" s="14">
        <f t="shared" si="37"/>
        <v>24.29</v>
      </c>
    </row>
    <row r="143" spans="1:14">
      <c r="A143" s="8" t="s">
        <v>511</v>
      </c>
      <c r="C143" s="14">
        <f>13*0.8</f>
        <v>10.4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>
        <f t="shared" si="37"/>
        <v>10.4</v>
      </c>
    </row>
    <row r="144" spans="1:14">
      <c r="A144" s="8" t="s">
        <v>512</v>
      </c>
      <c r="C144" s="14">
        <f>22*0.8</f>
        <v>17.600000000000001</v>
      </c>
      <c r="D144" s="14"/>
      <c r="E144" s="14">
        <v>1.45</v>
      </c>
      <c r="F144" s="14"/>
      <c r="G144" s="14"/>
      <c r="H144" s="14"/>
      <c r="I144" s="14"/>
      <c r="J144" s="14"/>
      <c r="K144" s="14"/>
      <c r="L144" s="14"/>
      <c r="M144" s="14"/>
      <c r="N144" s="14">
        <f t="shared" si="37"/>
        <v>19.05</v>
      </c>
    </row>
    <row r="145" spans="1:14">
      <c r="A145" s="8" t="s">
        <v>513</v>
      </c>
      <c r="C145" s="14">
        <f>28*0.8</f>
        <v>22.400000000000002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>
        <f t="shared" si="37"/>
        <v>22.400000000000002</v>
      </c>
    </row>
    <row r="146" spans="1:14">
      <c r="A146" s="8" t="s">
        <v>514</v>
      </c>
      <c r="C146" s="14">
        <f>19*0.8</f>
        <v>15.200000000000001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>
        <f t="shared" si="37"/>
        <v>15.200000000000001</v>
      </c>
    </row>
    <row r="147" spans="1:14" ht="13.5" thickBot="1">
      <c r="A147" s="328" t="s">
        <v>515</v>
      </c>
      <c r="B147" s="328"/>
      <c r="C147" s="325">
        <f>31*0.8</f>
        <v>24.8</v>
      </c>
      <c r="D147" s="325"/>
      <c r="E147" s="325">
        <v>6.33</v>
      </c>
      <c r="F147" s="325"/>
      <c r="G147" s="325"/>
      <c r="H147" s="325"/>
      <c r="I147" s="325"/>
      <c r="J147" s="325"/>
      <c r="K147" s="325"/>
      <c r="L147" s="325"/>
      <c r="M147" s="325"/>
      <c r="N147" s="325">
        <f t="shared" si="37"/>
        <v>31.130000000000003</v>
      </c>
    </row>
    <row r="148" spans="1:14">
      <c r="A148" s="8" t="s">
        <v>516</v>
      </c>
      <c r="C148" s="14">
        <f>7*0.8</f>
        <v>5.6000000000000005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>
        <f t="shared" si="37"/>
        <v>5.6000000000000005</v>
      </c>
    </row>
    <row r="149" spans="1:14">
      <c r="A149" s="8" t="s">
        <v>517</v>
      </c>
      <c r="C149" s="14">
        <f>22*0.8</f>
        <v>17.600000000000001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>
        <f t="shared" si="37"/>
        <v>17.600000000000001</v>
      </c>
    </row>
    <row r="150" spans="1:14">
      <c r="A150" s="8" t="s">
        <v>518</v>
      </c>
      <c r="C150" s="14">
        <f>13*0.8</f>
        <v>10.4</v>
      </c>
      <c r="D150" s="14"/>
      <c r="E150" s="14">
        <v>1</v>
      </c>
      <c r="F150" s="14"/>
      <c r="G150" s="14"/>
      <c r="H150" s="14"/>
      <c r="I150" s="14"/>
      <c r="J150" s="14"/>
      <c r="K150" s="14"/>
      <c r="L150" s="14"/>
      <c r="M150" s="14"/>
      <c r="N150" s="14">
        <f t="shared" si="37"/>
        <v>11.4</v>
      </c>
    </row>
    <row r="151" spans="1:14">
      <c r="A151" s="8" t="s">
        <v>519</v>
      </c>
      <c r="C151" s="14">
        <f>9*0.8</f>
        <v>7.2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>
        <f t="shared" si="37"/>
        <v>7.2</v>
      </c>
    </row>
    <row r="152" spans="1:14">
      <c r="A152" s="8" t="s">
        <v>520</v>
      </c>
      <c r="C152" s="14">
        <f>10*0.8</f>
        <v>8</v>
      </c>
      <c r="D152" s="14"/>
      <c r="E152" s="14">
        <v>4.75</v>
      </c>
      <c r="F152" s="14"/>
      <c r="G152" s="14"/>
      <c r="H152" s="14"/>
      <c r="I152" s="14"/>
      <c r="J152" s="14"/>
      <c r="K152" s="14"/>
      <c r="L152" s="14"/>
      <c r="M152" s="14"/>
      <c r="N152" s="14">
        <f t="shared" si="37"/>
        <v>12.75</v>
      </c>
    </row>
    <row r="153" spans="1:14">
      <c r="A153" s="8" t="s">
        <v>521</v>
      </c>
      <c r="C153" s="14">
        <f>20*0.8</f>
        <v>16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>
        <f t="shared" si="37"/>
        <v>16</v>
      </c>
    </row>
    <row r="154" spans="1:14">
      <c r="A154" s="8" t="s">
        <v>522</v>
      </c>
      <c r="C154" s="14">
        <f>19*0.8</f>
        <v>15.200000000000001</v>
      </c>
      <c r="D154" s="14"/>
      <c r="E154" s="14"/>
      <c r="F154" s="14">
        <v>0.74</v>
      </c>
      <c r="G154" s="14"/>
      <c r="H154" s="14"/>
      <c r="I154" s="14"/>
      <c r="J154" s="14"/>
      <c r="K154" s="14"/>
      <c r="L154" s="14"/>
      <c r="M154" s="14"/>
      <c r="N154" s="14">
        <f t="shared" si="37"/>
        <v>15.940000000000001</v>
      </c>
    </row>
    <row r="155" spans="1:14">
      <c r="A155" s="8" t="s">
        <v>523</v>
      </c>
      <c r="C155" s="14">
        <f>9*0.8</f>
        <v>7.2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>
        <f t="shared" si="37"/>
        <v>7.2</v>
      </c>
    </row>
    <row r="156" spans="1:14">
      <c r="A156" s="8" t="s">
        <v>524</v>
      </c>
      <c r="C156" s="14">
        <f>24*0.8</f>
        <v>19.200000000000003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>
        <f t="shared" si="37"/>
        <v>19.200000000000003</v>
      </c>
    </row>
    <row r="157" spans="1:14">
      <c r="A157" s="8" t="s">
        <v>525</v>
      </c>
      <c r="C157" s="14">
        <f>18*0.8</f>
        <v>14.4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>
        <f t="shared" si="37"/>
        <v>14.4</v>
      </c>
    </row>
    <row r="158" spans="1:14">
      <c r="A158" s="8" t="s">
        <v>526</v>
      </c>
      <c r="C158" s="14">
        <f>16*0.8</f>
        <v>12.8</v>
      </c>
      <c r="D158" s="14"/>
      <c r="E158" s="14"/>
      <c r="F158" s="14">
        <v>0.37</v>
      </c>
      <c r="G158" s="14"/>
      <c r="H158" s="14"/>
      <c r="I158" s="14"/>
      <c r="J158" s="14"/>
      <c r="K158" s="14"/>
      <c r="L158" s="14"/>
      <c r="M158" s="14"/>
      <c r="N158" s="14">
        <f t="shared" si="37"/>
        <v>13.17</v>
      </c>
    </row>
    <row r="159" spans="1:14" ht="13.5" thickBot="1">
      <c r="A159" s="328" t="s">
        <v>527</v>
      </c>
      <c r="B159" s="325">
        <v>0.6</v>
      </c>
      <c r="C159" s="325">
        <f>34*0.8</f>
        <v>27.200000000000003</v>
      </c>
      <c r="D159" s="325"/>
      <c r="E159" s="325"/>
      <c r="F159" s="325">
        <v>0.37</v>
      </c>
      <c r="G159" s="325"/>
      <c r="H159" s="325"/>
      <c r="I159" s="325"/>
      <c r="J159" s="325"/>
      <c r="K159" s="325"/>
      <c r="L159" s="325"/>
      <c r="M159" s="325"/>
      <c r="N159" s="325">
        <f t="shared" si="37"/>
        <v>28.170000000000005</v>
      </c>
    </row>
    <row r="160" spans="1:14">
      <c r="A160" s="8" t="s">
        <v>528</v>
      </c>
      <c r="B160" s="14"/>
      <c r="C160" s="14">
        <f>6*0.8</f>
        <v>4.8000000000000007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>
        <f t="shared" si="37"/>
        <v>4.8000000000000007</v>
      </c>
    </row>
    <row r="161" spans="1:14">
      <c r="A161" s="8" t="s">
        <v>529</v>
      </c>
      <c r="B161" s="14"/>
      <c r="C161" s="14">
        <f>7*0.8</f>
        <v>5.6000000000000005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>
        <f t="shared" si="37"/>
        <v>5.6000000000000005</v>
      </c>
    </row>
    <row r="162" spans="1:14">
      <c r="A162" s="8" t="s">
        <v>530</v>
      </c>
      <c r="B162" s="14"/>
      <c r="C162" s="14">
        <f>13*0.8</f>
        <v>10.4</v>
      </c>
      <c r="D162" s="14">
        <v>0.27</v>
      </c>
      <c r="E162" s="14"/>
      <c r="F162" s="14">
        <v>0.37</v>
      </c>
      <c r="G162" s="14"/>
      <c r="H162" s="14"/>
      <c r="I162" s="14"/>
      <c r="J162" s="14"/>
      <c r="K162" s="14"/>
      <c r="L162" s="14"/>
      <c r="M162" s="14"/>
      <c r="N162" s="14">
        <f t="shared" si="37"/>
        <v>11.04</v>
      </c>
    </row>
    <row r="163" spans="1:14">
      <c r="A163" s="8" t="s">
        <v>531</v>
      </c>
      <c r="B163" s="14">
        <v>1</v>
      </c>
      <c r="C163" s="14">
        <f>21*0.8</f>
        <v>16.8</v>
      </c>
      <c r="D163" s="14">
        <v>0.27</v>
      </c>
      <c r="E163" s="14"/>
      <c r="F163" s="14"/>
      <c r="G163" s="14"/>
      <c r="H163" s="14"/>
      <c r="I163" s="14"/>
      <c r="J163" s="14"/>
      <c r="K163" s="14"/>
      <c r="L163" s="14"/>
      <c r="M163" s="14"/>
      <c r="N163" s="14">
        <f t="shared" si="37"/>
        <v>18.07</v>
      </c>
    </row>
    <row r="164" spans="1:14">
      <c r="A164" s="8" t="s">
        <v>532</v>
      </c>
      <c r="B164" s="14"/>
      <c r="C164" s="14">
        <f>17*0.8</f>
        <v>13.600000000000001</v>
      </c>
      <c r="D164" s="14">
        <v>0.27</v>
      </c>
      <c r="E164" s="14"/>
      <c r="F164" s="14"/>
      <c r="G164" s="14"/>
      <c r="H164" s="14"/>
      <c r="I164" s="14"/>
      <c r="J164" s="14"/>
      <c r="K164" s="14"/>
      <c r="L164" s="14"/>
      <c r="M164" s="14"/>
      <c r="N164" s="14">
        <f t="shared" si="37"/>
        <v>13.870000000000001</v>
      </c>
    </row>
    <row r="165" spans="1:14">
      <c r="A165" s="8" t="s">
        <v>533</v>
      </c>
      <c r="B165" s="14"/>
      <c r="C165" s="14">
        <f>16*0.8</f>
        <v>12.8</v>
      </c>
      <c r="D165" s="14">
        <v>0.27</v>
      </c>
      <c r="E165" s="14"/>
      <c r="F165" s="14"/>
      <c r="G165" s="14"/>
      <c r="H165" s="14"/>
      <c r="I165" s="14"/>
      <c r="J165" s="14"/>
      <c r="K165" s="14"/>
      <c r="L165" s="14"/>
      <c r="M165" s="14"/>
      <c r="N165" s="14">
        <f t="shared" si="37"/>
        <v>13.07</v>
      </c>
    </row>
    <row r="166" spans="1:14">
      <c r="A166" s="8" t="s">
        <v>534</v>
      </c>
      <c r="B166" s="14"/>
      <c r="C166" s="14">
        <f>18*0.8</f>
        <v>14.4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>
        <f t="shared" si="37"/>
        <v>14.4</v>
      </c>
    </row>
    <row r="167" spans="1:14">
      <c r="A167" s="8" t="s">
        <v>535</v>
      </c>
      <c r="B167" s="14"/>
      <c r="C167" s="14">
        <f>25*0.8</f>
        <v>20</v>
      </c>
      <c r="D167" s="14">
        <v>0.27</v>
      </c>
      <c r="E167" s="14"/>
      <c r="F167" s="14">
        <v>0.37</v>
      </c>
      <c r="G167" s="14"/>
      <c r="H167" s="14"/>
      <c r="I167" s="14"/>
      <c r="J167" s="14"/>
      <c r="K167" s="14"/>
      <c r="L167" s="14"/>
      <c r="M167" s="14"/>
      <c r="N167" s="14">
        <f t="shared" si="37"/>
        <v>20.64</v>
      </c>
    </row>
    <row r="168" spans="1:14">
      <c r="A168" s="8" t="s">
        <v>536</v>
      </c>
      <c r="B168" s="14"/>
      <c r="C168" s="14">
        <f>21*0.8</f>
        <v>16.8</v>
      </c>
      <c r="D168" s="14">
        <v>0.04</v>
      </c>
      <c r="E168" s="14"/>
      <c r="F168" s="14"/>
      <c r="G168" s="14"/>
      <c r="H168" s="14"/>
      <c r="I168" s="14"/>
      <c r="J168" s="14"/>
      <c r="K168" s="14"/>
      <c r="L168" s="14"/>
      <c r="M168" s="14"/>
      <c r="N168" s="14">
        <f t="shared" si="37"/>
        <v>16.84</v>
      </c>
    </row>
    <row r="169" spans="1:14">
      <c r="A169" s="8" t="s">
        <v>537</v>
      </c>
      <c r="B169" s="14"/>
      <c r="C169" s="14">
        <f>11*0.8</f>
        <v>8.8000000000000007</v>
      </c>
      <c r="D169" s="14">
        <v>0.27</v>
      </c>
      <c r="E169" s="14"/>
      <c r="F169" s="14"/>
      <c r="G169" s="14"/>
      <c r="H169" s="14"/>
      <c r="I169" s="14"/>
      <c r="J169" s="14"/>
      <c r="K169" s="14"/>
      <c r="L169" s="14"/>
      <c r="M169" s="14"/>
      <c r="N169" s="14">
        <f t="shared" si="37"/>
        <v>9.07</v>
      </c>
    </row>
    <row r="170" spans="1:14">
      <c r="A170" s="8" t="s">
        <v>538</v>
      </c>
      <c r="B170" s="14"/>
      <c r="C170" s="14">
        <f>16*0.8</f>
        <v>12.8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>
        <f t="shared" si="37"/>
        <v>12.8</v>
      </c>
    </row>
    <row r="171" spans="1:14" ht="13.5" thickBot="1">
      <c r="A171" s="328" t="s">
        <v>539</v>
      </c>
      <c r="B171" s="325"/>
      <c r="C171" s="325">
        <f>43*0.8</f>
        <v>34.4</v>
      </c>
      <c r="D171" s="325"/>
      <c r="E171" s="325"/>
      <c r="F171" s="325"/>
      <c r="G171" s="325"/>
      <c r="H171" s="325"/>
      <c r="I171" s="325"/>
      <c r="J171" s="325"/>
      <c r="K171" s="325"/>
      <c r="L171" s="325"/>
      <c r="M171" s="325"/>
      <c r="N171" s="325">
        <f t="shared" si="37"/>
        <v>34.4</v>
      </c>
    </row>
    <row r="172" spans="1:14">
      <c r="B172" s="14"/>
      <c r="C172" s="14">
        <f>SUM(C53:C171)</f>
        <v>1359.45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>
        <f t="shared" si="37"/>
        <v>1359.45</v>
      </c>
    </row>
    <row r="173" spans="1:14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>
        <f t="shared" si="37"/>
        <v>0</v>
      </c>
    </row>
    <row r="174" spans="1:14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>
        <f t="shared" si="37"/>
        <v>0</v>
      </c>
    </row>
    <row r="175" spans="1:14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>
        <f t="shared" si="37"/>
        <v>0</v>
      </c>
    </row>
  </sheetData>
  <mergeCells count="15">
    <mergeCell ref="A28:N28"/>
    <mergeCell ref="M1:M2"/>
    <mergeCell ref="A26:N26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K50"/>
  <sheetViews>
    <sheetView topLeftCell="P1" workbookViewId="0">
      <pane ySplit="2" topLeftCell="A3" activePane="bottomLeft" state="frozen"/>
      <selection pane="bottomLeft" activeCell="U38" sqref="U38"/>
    </sheetView>
  </sheetViews>
  <sheetFormatPr defaultRowHeight="11.25"/>
  <cols>
    <col min="1" max="1" width="3.44140625" style="225" bestFit="1" customWidth="1"/>
    <col min="2" max="2" width="6.33203125" style="225" bestFit="1" customWidth="1"/>
    <col min="3" max="3" width="8" style="225" bestFit="1" customWidth="1"/>
    <col min="4" max="6" width="6.33203125" style="225" bestFit="1" customWidth="1"/>
    <col min="7" max="7" width="7.33203125" style="225" bestFit="1" customWidth="1"/>
    <col min="8" max="8" width="8" style="225" bestFit="1" customWidth="1"/>
    <col min="9" max="9" width="6.33203125" style="225" bestFit="1" customWidth="1"/>
    <col min="10" max="10" width="7.33203125" style="225" bestFit="1" customWidth="1"/>
    <col min="11" max="11" width="6.33203125" style="225" bestFit="1" customWidth="1"/>
    <col min="12" max="12" width="7.33203125" style="225" bestFit="1" customWidth="1"/>
    <col min="13" max="13" width="6.33203125" style="225" bestFit="1" customWidth="1"/>
    <col min="14" max="14" width="7.33203125" style="225" bestFit="1" customWidth="1"/>
    <col min="15" max="15" width="6.33203125" style="225" bestFit="1" customWidth="1"/>
    <col min="16" max="16" width="7.33203125" style="225" bestFit="1" customWidth="1"/>
    <col min="17" max="17" width="6.33203125" style="225" bestFit="1" customWidth="1"/>
    <col min="18" max="19" width="7.33203125" style="225" bestFit="1" customWidth="1"/>
    <col min="20" max="20" width="6.33203125" style="225" bestFit="1" customWidth="1"/>
    <col min="21" max="21" width="7.33203125" style="225" bestFit="1" customWidth="1"/>
    <col min="22" max="22" width="6.33203125" style="225" bestFit="1" customWidth="1"/>
    <col min="23" max="23" width="7.109375" style="225" bestFit="1" customWidth="1"/>
    <col min="24" max="24" width="6.33203125" style="225" bestFit="1" customWidth="1"/>
    <col min="25" max="25" width="8.6640625" style="225" bestFit="1" customWidth="1"/>
    <col min="26" max="26" width="6.33203125" style="225" bestFit="1" customWidth="1"/>
    <col min="27" max="27" width="7.33203125" style="225" bestFit="1" customWidth="1"/>
    <col min="28" max="28" width="6.33203125" style="225" bestFit="1" customWidth="1"/>
    <col min="29" max="29" width="8" style="225" bestFit="1" customWidth="1"/>
    <col min="30" max="30" width="8" style="225" customWidth="1"/>
    <col min="31" max="31" width="11.88671875" style="225" bestFit="1" customWidth="1"/>
    <col min="32" max="32" width="8" style="225" bestFit="1" customWidth="1"/>
    <col min="33" max="33" width="8" style="225" customWidth="1"/>
    <col min="34" max="34" width="8.6640625" style="225" bestFit="1" customWidth="1"/>
    <col min="35" max="35" width="3.6640625" style="225" bestFit="1" customWidth="1"/>
    <col min="36" max="36" width="11.88671875" style="225" customWidth="1"/>
    <col min="37" max="16384" width="8.88671875" style="225"/>
  </cols>
  <sheetData>
    <row r="1" spans="1:35">
      <c r="A1" s="496"/>
      <c r="B1" s="736" t="s">
        <v>18</v>
      </c>
      <c r="C1" s="767"/>
      <c r="D1" s="767"/>
      <c r="E1" s="731" t="s">
        <v>19</v>
      </c>
      <c r="F1" s="733"/>
      <c r="G1" s="736" t="s">
        <v>20</v>
      </c>
      <c r="H1" s="767"/>
      <c r="I1" s="737"/>
      <c r="J1" s="729" t="s">
        <v>21</v>
      </c>
      <c r="K1" s="730"/>
      <c r="L1" s="736" t="s">
        <v>2</v>
      </c>
      <c r="M1" s="737"/>
      <c r="N1" s="731" t="s">
        <v>22</v>
      </c>
      <c r="O1" s="733"/>
      <c r="P1" s="736" t="s">
        <v>23</v>
      </c>
      <c r="Q1" s="737"/>
      <c r="R1" s="729" t="s">
        <v>24</v>
      </c>
      <c r="S1" s="730"/>
      <c r="T1" s="736" t="s">
        <v>25</v>
      </c>
      <c r="U1" s="737"/>
      <c r="V1" s="731" t="s">
        <v>26</v>
      </c>
      <c r="W1" s="732"/>
      <c r="X1" s="733"/>
      <c r="Y1" s="736" t="s">
        <v>27</v>
      </c>
      <c r="Z1" s="737"/>
      <c r="AA1" s="729" t="s">
        <v>28</v>
      </c>
      <c r="AB1" s="730"/>
      <c r="AC1" s="725" t="s">
        <v>43</v>
      </c>
      <c r="AD1" s="725" t="s">
        <v>59</v>
      </c>
      <c r="AE1" s="725" t="s">
        <v>54</v>
      </c>
      <c r="AF1" s="725" t="s">
        <v>53</v>
      </c>
      <c r="AG1" s="725" t="s">
        <v>59</v>
      </c>
      <c r="AH1" s="725" t="s">
        <v>54</v>
      </c>
    </row>
    <row r="2" spans="1:35">
      <c r="A2" s="496"/>
      <c r="B2" s="495" t="s">
        <v>43</v>
      </c>
      <c r="C2" s="495" t="s">
        <v>55</v>
      </c>
      <c r="D2" s="495" t="s">
        <v>53</v>
      </c>
      <c r="E2" s="249" t="s">
        <v>43</v>
      </c>
      <c r="F2" s="249" t="s">
        <v>53</v>
      </c>
      <c r="G2" s="495" t="s">
        <v>43</v>
      </c>
      <c r="H2" s="495" t="s">
        <v>56</v>
      </c>
      <c r="I2" s="495" t="s">
        <v>53</v>
      </c>
      <c r="J2" s="248" t="s">
        <v>43</v>
      </c>
      <c r="K2" s="248" t="s">
        <v>53</v>
      </c>
      <c r="L2" s="495" t="s">
        <v>43</v>
      </c>
      <c r="M2" s="495" t="s">
        <v>53</v>
      </c>
      <c r="N2" s="249" t="s">
        <v>43</v>
      </c>
      <c r="O2" s="249" t="s">
        <v>53</v>
      </c>
      <c r="P2" s="495" t="s">
        <v>43</v>
      </c>
      <c r="Q2" s="495" t="s">
        <v>53</v>
      </c>
      <c r="R2" s="248" t="s">
        <v>43</v>
      </c>
      <c r="S2" s="248" t="s">
        <v>53</v>
      </c>
      <c r="T2" s="495" t="s">
        <v>43</v>
      </c>
      <c r="U2" s="495" t="s">
        <v>53</v>
      </c>
      <c r="V2" s="249" t="s">
        <v>43</v>
      </c>
      <c r="W2" s="249" t="s">
        <v>33</v>
      </c>
      <c r="X2" s="249" t="s">
        <v>53</v>
      </c>
      <c r="Y2" s="495" t="s">
        <v>43</v>
      </c>
      <c r="Z2" s="495" t="s">
        <v>53</v>
      </c>
      <c r="AA2" s="248" t="s">
        <v>43</v>
      </c>
      <c r="AB2" s="248" t="s">
        <v>53</v>
      </c>
      <c r="AC2" s="835"/>
      <c r="AD2" s="835"/>
      <c r="AE2" s="835"/>
      <c r="AF2" s="835"/>
      <c r="AG2" s="835"/>
      <c r="AH2" s="835"/>
    </row>
    <row r="3" spans="1:35" ht="12.75">
      <c r="A3" s="229">
        <v>1998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1">
        <v>0</v>
      </c>
      <c r="T3" s="231">
        <v>89.36</v>
      </c>
      <c r="U3" s="231">
        <v>118.19</v>
      </c>
      <c r="V3" s="231"/>
      <c r="W3" s="46"/>
      <c r="X3" s="231">
        <v>0</v>
      </c>
      <c r="Y3" s="231"/>
      <c r="Z3" s="231"/>
      <c r="AA3" s="231"/>
      <c r="AB3" s="231"/>
      <c r="AC3" s="231">
        <f t="shared" ref="AC3:AC17" si="0">B3+E3+G3+J3+L3+N3+P3+R3+T3+V3+Y3+AA3</f>
        <v>89.36</v>
      </c>
      <c r="AD3" s="231">
        <f>AC3*AI3</f>
        <v>26.808</v>
      </c>
      <c r="AE3" s="243">
        <v>284</v>
      </c>
      <c r="AF3" s="231">
        <f t="shared" ref="AF3:AF17" si="1">D3+F3+I3+K3+M3+O3+Q3+S3+U3+X3+Z3+AB3</f>
        <v>118.19</v>
      </c>
      <c r="AG3" s="231">
        <f>AF3*AI3</f>
        <v>35.457000000000001</v>
      </c>
      <c r="AH3" s="243">
        <v>360</v>
      </c>
      <c r="AI3" s="479">
        <v>0.3</v>
      </c>
    </row>
    <row r="4" spans="1:35" ht="12.75">
      <c r="A4" s="226">
        <v>1999</v>
      </c>
      <c r="B4" s="232"/>
      <c r="C4" s="227"/>
      <c r="D4" s="232"/>
      <c r="E4" s="232">
        <v>705.58</v>
      </c>
      <c r="F4" s="232">
        <v>505.7</v>
      </c>
      <c r="G4" s="232">
        <v>58.76</v>
      </c>
      <c r="H4" s="227"/>
      <c r="I4" s="232"/>
      <c r="J4" s="232"/>
      <c r="K4" s="232">
        <v>178.48</v>
      </c>
      <c r="L4" s="232"/>
      <c r="M4" s="232">
        <v>90.21</v>
      </c>
      <c r="N4" s="232"/>
      <c r="O4" s="232">
        <v>78.849999999999994</v>
      </c>
      <c r="P4" s="232"/>
      <c r="Q4" s="232">
        <v>175.04</v>
      </c>
      <c r="R4" s="232"/>
      <c r="S4" s="232">
        <v>216.61</v>
      </c>
      <c r="T4" s="232"/>
      <c r="U4" s="232">
        <v>375.34</v>
      </c>
      <c r="V4" s="232"/>
      <c r="W4" s="227"/>
      <c r="X4" s="232">
        <v>186.13</v>
      </c>
      <c r="Y4" s="232"/>
      <c r="Z4" s="232">
        <v>175.46</v>
      </c>
      <c r="AA4" s="232"/>
      <c r="AB4" s="232">
        <v>69.69</v>
      </c>
      <c r="AC4" s="231">
        <f t="shared" si="0"/>
        <v>764.34</v>
      </c>
      <c r="AD4" s="231">
        <f t="shared" ref="AD4:AD18" si="2">AC4*AI4</f>
        <v>305.73600000000005</v>
      </c>
      <c r="AE4" s="243">
        <v>2552</v>
      </c>
      <c r="AF4" s="231">
        <f t="shared" si="1"/>
        <v>2051.5099999999998</v>
      </c>
      <c r="AG4" s="231">
        <f t="shared" ref="AG4:AG18" si="3">AF4*AI4</f>
        <v>820.60399999999993</v>
      </c>
      <c r="AH4" s="243">
        <v>6862</v>
      </c>
      <c r="AI4" s="479">
        <v>0.4</v>
      </c>
    </row>
    <row r="5" spans="1:35" ht="12.75">
      <c r="A5" s="226">
        <v>2000</v>
      </c>
      <c r="B5" s="232"/>
      <c r="C5" s="227"/>
      <c r="D5" s="232"/>
      <c r="E5" s="232"/>
      <c r="F5" s="232"/>
      <c r="G5" s="232">
        <v>364.25</v>
      </c>
      <c r="H5" s="46"/>
      <c r="I5" s="231">
        <v>138.52000000000001</v>
      </c>
      <c r="J5" s="232">
        <v>413.28</v>
      </c>
      <c r="K5" s="232">
        <v>85.17</v>
      </c>
      <c r="L5" s="232">
        <v>137.11000000000001</v>
      </c>
      <c r="M5" s="232">
        <v>83.84</v>
      </c>
      <c r="N5" s="232"/>
      <c r="O5" s="232">
        <v>310.44</v>
      </c>
      <c r="P5" s="232">
        <v>1291.05</v>
      </c>
      <c r="Q5" s="232">
        <v>139.36000000000001</v>
      </c>
      <c r="R5" s="232"/>
      <c r="S5" s="232">
        <v>310.44</v>
      </c>
      <c r="T5" s="232"/>
      <c r="U5" s="232"/>
      <c r="V5" s="232"/>
      <c r="W5" s="227"/>
      <c r="X5" s="232"/>
      <c r="Y5" s="232"/>
      <c r="Z5" s="232"/>
      <c r="AA5" s="232"/>
      <c r="AB5" s="231"/>
      <c r="AC5" s="231">
        <f t="shared" si="0"/>
        <v>2205.69</v>
      </c>
      <c r="AD5" s="231">
        <f t="shared" si="2"/>
        <v>992.56050000000005</v>
      </c>
      <c r="AE5" s="243">
        <v>7213</v>
      </c>
      <c r="AF5" s="231">
        <f t="shared" si="1"/>
        <v>1067.77</v>
      </c>
      <c r="AG5" s="231">
        <f t="shared" si="3"/>
        <v>480.49650000000003</v>
      </c>
      <c r="AH5" s="243">
        <v>3490</v>
      </c>
      <c r="AI5" s="479">
        <v>0.45</v>
      </c>
    </row>
    <row r="6" spans="1:35" ht="12.75">
      <c r="A6" s="226">
        <v>2001</v>
      </c>
      <c r="B6" s="232"/>
      <c r="C6" s="227"/>
      <c r="D6" s="232"/>
      <c r="E6" s="232">
        <v>108.95</v>
      </c>
      <c r="F6" s="232"/>
      <c r="G6" s="232">
        <v>498.69</v>
      </c>
      <c r="H6" s="227"/>
      <c r="I6" s="232"/>
      <c r="J6" s="232">
        <v>252.64</v>
      </c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27"/>
      <c r="X6" s="232"/>
      <c r="Y6" s="232"/>
      <c r="Z6" s="232"/>
      <c r="AA6" s="232"/>
      <c r="AB6" s="231"/>
      <c r="AC6" s="231">
        <f t="shared" si="0"/>
        <v>860.28</v>
      </c>
      <c r="AD6" s="231">
        <f t="shared" si="2"/>
        <v>344.11200000000002</v>
      </c>
      <c r="AE6" s="243">
        <v>1672</v>
      </c>
      <c r="AF6" s="231">
        <f t="shared" si="1"/>
        <v>0</v>
      </c>
      <c r="AG6" s="231">
        <f t="shared" si="3"/>
        <v>0</v>
      </c>
      <c r="AH6" s="243"/>
      <c r="AI6" s="479">
        <v>0.4</v>
      </c>
    </row>
    <row r="7" spans="1:35" ht="12.75">
      <c r="A7" s="226">
        <v>2002</v>
      </c>
      <c r="B7" s="232"/>
      <c r="C7" s="227"/>
      <c r="D7" s="232"/>
      <c r="E7" s="232"/>
      <c r="F7" s="232"/>
      <c r="G7" s="232"/>
      <c r="H7" s="227"/>
      <c r="I7" s="232"/>
      <c r="J7" s="232"/>
      <c r="K7" s="232"/>
      <c r="L7" s="232">
        <v>778.79</v>
      </c>
      <c r="M7" s="232">
        <v>519.76</v>
      </c>
      <c r="N7" s="232">
        <v>190.06</v>
      </c>
      <c r="O7" s="232">
        <v>127.7</v>
      </c>
      <c r="P7" s="232"/>
      <c r="Q7" s="232"/>
      <c r="R7" s="232"/>
      <c r="S7" s="232"/>
      <c r="T7" s="232"/>
      <c r="U7" s="232"/>
      <c r="V7" s="232"/>
      <c r="W7" s="227"/>
      <c r="X7" s="232"/>
      <c r="Y7" s="232"/>
      <c r="Z7" s="232"/>
      <c r="AA7" s="232"/>
      <c r="AB7" s="231"/>
      <c r="AC7" s="231">
        <f t="shared" si="0"/>
        <v>968.84999999999991</v>
      </c>
      <c r="AD7" s="231">
        <f t="shared" si="2"/>
        <v>387.53999999999996</v>
      </c>
      <c r="AE7" s="243">
        <v>2252</v>
      </c>
      <c r="AF7" s="231">
        <f t="shared" si="1"/>
        <v>647.46</v>
      </c>
      <c r="AG7" s="231">
        <f t="shared" si="3"/>
        <v>258.98400000000004</v>
      </c>
      <c r="AH7" s="243">
        <v>1501</v>
      </c>
      <c r="AI7" s="479">
        <v>0.4</v>
      </c>
    </row>
    <row r="8" spans="1:35" ht="12.75">
      <c r="A8" s="226">
        <v>2003</v>
      </c>
      <c r="B8" s="233"/>
      <c r="C8" s="89"/>
      <c r="D8" s="233"/>
      <c r="E8" s="233"/>
      <c r="F8" s="233"/>
      <c r="G8" s="233"/>
      <c r="H8" s="89"/>
      <c r="I8" s="233"/>
      <c r="J8" s="233"/>
      <c r="K8" s="233"/>
      <c r="L8" s="233"/>
      <c r="M8" s="233"/>
      <c r="N8" s="233"/>
      <c r="O8" s="233"/>
      <c r="P8" s="233"/>
      <c r="Q8" s="233">
        <v>250</v>
      </c>
      <c r="R8" s="233"/>
      <c r="S8" s="233">
        <v>250</v>
      </c>
      <c r="T8" s="233"/>
      <c r="U8" s="233"/>
      <c r="V8" s="233"/>
      <c r="W8" s="89"/>
      <c r="X8" s="233"/>
      <c r="Y8" s="233"/>
      <c r="Z8" s="233"/>
      <c r="AA8" s="233"/>
      <c r="AB8" s="90"/>
      <c r="AC8" s="231">
        <f t="shared" si="0"/>
        <v>0</v>
      </c>
      <c r="AD8" s="231">
        <f t="shared" si="2"/>
        <v>0</v>
      </c>
      <c r="AE8" s="243"/>
      <c r="AF8" s="231">
        <f t="shared" si="1"/>
        <v>500</v>
      </c>
      <c r="AG8" s="231">
        <f t="shared" si="3"/>
        <v>200</v>
      </c>
      <c r="AH8" s="243">
        <v>1053</v>
      </c>
      <c r="AI8" s="479">
        <v>0.4</v>
      </c>
    </row>
    <row r="9" spans="1:35" ht="12.75">
      <c r="A9" s="226">
        <v>2004</v>
      </c>
      <c r="B9" s="233"/>
      <c r="C9" s="89"/>
      <c r="D9" s="233"/>
      <c r="E9" s="233"/>
      <c r="F9" s="233"/>
      <c r="G9" s="233"/>
      <c r="H9" s="89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89"/>
      <c r="X9" s="233"/>
      <c r="Y9" s="233"/>
      <c r="Z9" s="233"/>
      <c r="AA9" s="233"/>
      <c r="AB9" s="90"/>
      <c r="AC9" s="231">
        <f t="shared" si="0"/>
        <v>0</v>
      </c>
      <c r="AD9" s="231">
        <f t="shared" si="2"/>
        <v>0</v>
      </c>
      <c r="AE9" s="243"/>
      <c r="AF9" s="231">
        <f t="shared" si="1"/>
        <v>0</v>
      </c>
      <c r="AG9" s="231">
        <f t="shared" si="3"/>
        <v>0</v>
      </c>
      <c r="AH9" s="243"/>
      <c r="AI9" s="479">
        <v>0.4</v>
      </c>
    </row>
    <row r="10" spans="1:35" ht="12.75">
      <c r="A10" s="226">
        <v>2005</v>
      </c>
      <c r="B10" s="232"/>
      <c r="C10" s="227"/>
      <c r="D10" s="232"/>
      <c r="E10" s="232"/>
      <c r="F10" s="232"/>
      <c r="G10" s="232"/>
      <c r="H10" s="227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27"/>
      <c r="X10" s="232"/>
      <c r="Y10" s="232"/>
      <c r="Z10" s="232"/>
      <c r="AA10" s="232"/>
      <c r="AB10" s="231"/>
      <c r="AC10" s="231">
        <f t="shared" si="0"/>
        <v>0</v>
      </c>
      <c r="AD10" s="231">
        <f t="shared" si="2"/>
        <v>0</v>
      </c>
      <c r="AE10" s="243"/>
      <c r="AF10" s="231">
        <f t="shared" si="1"/>
        <v>0</v>
      </c>
      <c r="AG10" s="231">
        <f t="shared" si="3"/>
        <v>0</v>
      </c>
      <c r="AH10" s="243"/>
      <c r="AI10" s="479">
        <v>0.4</v>
      </c>
    </row>
    <row r="11" spans="1:35" ht="12.75">
      <c r="A11" s="226">
        <v>2006</v>
      </c>
      <c r="B11" s="232"/>
      <c r="C11" s="227"/>
      <c r="D11" s="232"/>
      <c r="E11" s="232"/>
      <c r="F11" s="232"/>
      <c r="G11" s="232"/>
      <c r="H11" s="227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27"/>
      <c r="X11" s="232"/>
      <c r="Y11" s="232"/>
      <c r="Z11" s="232"/>
      <c r="AA11" s="232"/>
      <c r="AB11" s="231"/>
      <c r="AC11" s="231">
        <f t="shared" si="0"/>
        <v>0</v>
      </c>
      <c r="AD11" s="231">
        <f t="shared" si="2"/>
        <v>0</v>
      </c>
      <c r="AE11" s="243"/>
      <c r="AF11" s="231">
        <f t="shared" si="1"/>
        <v>0</v>
      </c>
      <c r="AG11" s="231">
        <f t="shared" si="3"/>
        <v>0</v>
      </c>
      <c r="AH11" s="243"/>
      <c r="AI11" s="479">
        <v>0.4</v>
      </c>
    </row>
    <row r="12" spans="1:35" ht="12.75">
      <c r="A12" s="226">
        <v>2007</v>
      </c>
      <c r="B12" s="232"/>
      <c r="C12" s="227"/>
      <c r="D12" s="232"/>
      <c r="E12" s="232"/>
      <c r="F12" s="232"/>
      <c r="G12" s="232"/>
      <c r="H12" s="227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27"/>
      <c r="X12" s="232"/>
      <c r="Y12" s="232"/>
      <c r="Z12" s="232"/>
      <c r="AA12" s="232"/>
      <c r="AB12" s="231"/>
      <c r="AC12" s="231">
        <f t="shared" si="0"/>
        <v>0</v>
      </c>
      <c r="AD12" s="231">
        <f t="shared" si="2"/>
        <v>0</v>
      </c>
      <c r="AE12" s="243"/>
      <c r="AF12" s="231">
        <f t="shared" si="1"/>
        <v>0</v>
      </c>
      <c r="AG12" s="231">
        <f t="shared" si="3"/>
        <v>0</v>
      </c>
      <c r="AH12" s="243"/>
      <c r="AI12" s="479">
        <v>0.4</v>
      </c>
    </row>
    <row r="13" spans="1:35" ht="12.75">
      <c r="A13" s="226">
        <v>2008</v>
      </c>
      <c r="B13" s="232"/>
      <c r="C13" s="227"/>
      <c r="D13" s="232"/>
      <c r="E13" s="232"/>
      <c r="F13" s="232"/>
      <c r="G13" s="233">
        <v>1287.4100000000001</v>
      </c>
      <c r="H13" s="89"/>
      <c r="I13" s="233">
        <v>652.96</v>
      </c>
      <c r="J13" s="232">
        <v>543.55999999999995</v>
      </c>
      <c r="K13" s="232"/>
      <c r="L13" s="232"/>
      <c r="M13" s="232"/>
      <c r="N13" s="232"/>
      <c r="O13" s="232"/>
      <c r="P13" s="232"/>
      <c r="Q13" s="232"/>
      <c r="R13" s="232">
        <v>227.17</v>
      </c>
      <c r="S13" s="232"/>
      <c r="T13" s="232"/>
      <c r="U13" s="232"/>
      <c r="V13" s="232"/>
      <c r="W13" s="227"/>
      <c r="X13" s="232"/>
      <c r="Y13" s="232"/>
      <c r="Z13" s="232"/>
      <c r="AA13" s="232"/>
      <c r="AB13" s="231">
        <v>606.33000000000004</v>
      </c>
      <c r="AC13" s="231">
        <f t="shared" si="0"/>
        <v>2058.14</v>
      </c>
      <c r="AD13" s="231">
        <f t="shared" si="2"/>
        <v>823.25599999999997</v>
      </c>
      <c r="AE13" s="243">
        <v>2527</v>
      </c>
      <c r="AF13" s="231">
        <f t="shared" si="1"/>
        <v>1259.29</v>
      </c>
      <c r="AG13" s="231">
        <f t="shared" si="3"/>
        <v>503.71600000000001</v>
      </c>
      <c r="AH13" s="243">
        <v>1544</v>
      </c>
      <c r="AI13" s="479">
        <v>0.4</v>
      </c>
    </row>
    <row r="14" spans="1:35" ht="12.75">
      <c r="A14" s="226">
        <v>2009</v>
      </c>
      <c r="B14" s="232"/>
      <c r="C14" s="227"/>
      <c r="D14" s="232">
        <v>350</v>
      </c>
      <c r="E14" s="232"/>
      <c r="F14" s="232">
        <v>350</v>
      </c>
      <c r="G14" s="232"/>
      <c r="H14" s="227"/>
      <c r="I14" s="232">
        <v>350</v>
      </c>
      <c r="J14" s="232"/>
      <c r="K14" s="232">
        <v>350</v>
      </c>
      <c r="L14" s="232"/>
      <c r="M14" s="232"/>
      <c r="N14" s="232">
        <v>1796.96</v>
      </c>
      <c r="O14" s="232">
        <v>350</v>
      </c>
      <c r="P14" s="232"/>
      <c r="Q14" s="232">
        <v>350</v>
      </c>
      <c r="R14" s="232">
        <v>4376.25</v>
      </c>
      <c r="S14" s="232">
        <v>2038.78</v>
      </c>
      <c r="T14" s="232"/>
      <c r="U14" s="232">
        <v>1893.95</v>
      </c>
      <c r="V14" s="232"/>
      <c r="W14" s="227"/>
      <c r="X14" s="232"/>
      <c r="Y14" s="232"/>
      <c r="Z14" s="232"/>
      <c r="AA14" s="232"/>
      <c r="AB14" s="231"/>
      <c r="AC14" s="231">
        <f t="shared" si="0"/>
        <v>6173.21</v>
      </c>
      <c r="AD14" s="231">
        <f t="shared" si="2"/>
        <v>2160.6234999999997</v>
      </c>
      <c r="AE14" s="243">
        <v>6078</v>
      </c>
      <c r="AF14" s="231">
        <f t="shared" si="1"/>
        <v>6032.73</v>
      </c>
      <c r="AG14" s="231">
        <f t="shared" si="3"/>
        <v>2111.4554999999996</v>
      </c>
      <c r="AH14" s="243">
        <v>5940</v>
      </c>
      <c r="AI14" s="479">
        <v>0.35</v>
      </c>
    </row>
    <row r="15" spans="1:35" ht="12.75">
      <c r="A15" s="226">
        <v>2010</v>
      </c>
      <c r="B15" s="232">
        <v>115.64</v>
      </c>
      <c r="C15" s="227"/>
      <c r="D15" s="232"/>
      <c r="E15" s="232"/>
      <c r="F15" s="232"/>
      <c r="G15" s="232"/>
      <c r="H15" s="227"/>
      <c r="I15" s="232"/>
      <c r="J15" s="232">
        <v>4847.93</v>
      </c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27"/>
      <c r="X15" s="232"/>
      <c r="Y15" s="232"/>
      <c r="Z15" s="232"/>
      <c r="AA15" s="232">
        <v>949.55</v>
      </c>
      <c r="AB15" s="231"/>
      <c r="AC15" s="231">
        <f t="shared" si="0"/>
        <v>5913.1200000000008</v>
      </c>
      <c r="AD15" s="231">
        <f t="shared" si="2"/>
        <v>2660.9040000000005</v>
      </c>
      <c r="AE15" s="243">
        <v>6855</v>
      </c>
      <c r="AF15" s="231">
        <f t="shared" si="1"/>
        <v>0</v>
      </c>
      <c r="AG15" s="231">
        <f t="shared" si="3"/>
        <v>0</v>
      </c>
      <c r="AH15" s="243"/>
      <c r="AI15" s="479">
        <v>0.45</v>
      </c>
    </row>
    <row r="16" spans="1:35" s="94" customFormat="1" ht="12.75">
      <c r="A16" s="468">
        <v>2011</v>
      </c>
      <c r="B16" s="232">
        <v>936.84</v>
      </c>
      <c r="C16" s="322"/>
      <c r="D16" s="232"/>
      <c r="E16" s="232"/>
      <c r="F16" s="232"/>
      <c r="G16" s="232"/>
      <c r="H16" s="322"/>
      <c r="I16" s="232"/>
      <c r="J16" s="232"/>
      <c r="K16" s="232"/>
      <c r="L16" s="232">
        <v>2115.19</v>
      </c>
      <c r="M16" s="232"/>
      <c r="N16" s="232">
        <v>1166.7</v>
      </c>
      <c r="O16" s="232"/>
      <c r="P16" s="232">
        <v>357.27</v>
      </c>
      <c r="Q16" s="232"/>
      <c r="R16" s="232">
        <v>293</v>
      </c>
      <c r="S16" s="232"/>
      <c r="T16" s="232">
        <v>578</v>
      </c>
      <c r="U16" s="232"/>
      <c r="V16" s="232">
        <v>297.44</v>
      </c>
      <c r="W16" s="322"/>
      <c r="X16" s="232"/>
      <c r="Y16" s="232">
        <v>50.42</v>
      </c>
      <c r="Z16" s="232"/>
      <c r="AA16" s="232">
        <v>261.22000000000003</v>
      </c>
      <c r="AB16" s="231"/>
      <c r="AC16" s="231">
        <f t="shared" si="0"/>
        <v>6056.08</v>
      </c>
      <c r="AD16" s="231">
        <f t="shared" si="2"/>
        <v>2119.6279999999997</v>
      </c>
      <c r="AE16" s="243">
        <v>5000</v>
      </c>
      <c r="AF16" s="231">
        <f t="shared" si="1"/>
        <v>0</v>
      </c>
      <c r="AG16" s="231">
        <f t="shared" si="3"/>
        <v>0</v>
      </c>
      <c r="AH16" s="243"/>
      <c r="AI16" s="479">
        <v>0.35</v>
      </c>
    </row>
    <row r="17" spans="1:37" ht="12.75">
      <c r="A17" s="226">
        <v>2012</v>
      </c>
      <c r="B17" s="232">
        <v>660</v>
      </c>
      <c r="C17" s="227"/>
      <c r="D17" s="232"/>
      <c r="E17" s="232"/>
      <c r="F17" s="232"/>
      <c r="G17" s="232"/>
      <c r="H17" s="227"/>
      <c r="I17" s="232"/>
      <c r="J17" s="232"/>
      <c r="K17" s="232"/>
      <c r="L17" s="232"/>
      <c r="M17" s="232"/>
      <c r="N17" s="232">
        <v>160.58000000000001</v>
      </c>
      <c r="O17" s="232"/>
      <c r="P17" s="232">
        <v>86</v>
      </c>
      <c r="Q17" s="232"/>
      <c r="R17" s="232"/>
      <c r="S17" s="232"/>
      <c r="T17" s="232">
        <v>459</v>
      </c>
      <c r="U17" s="232"/>
      <c r="V17" s="232">
        <v>311.73</v>
      </c>
      <c r="W17" s="227"/>
      <c r="X17" s="232"/>
      <c r="Y17" s="232">
        <v>137.78</v>
      </c>
      <c r="Z17" s="232"/>
      <c r="AA17" s="232">
        <v>576.57000000000005</v>
      </c>
      <c r="AB17" s="231"/>
      <c r="AC17" s="231">
        <f t="shared" si="0"/>
        <v>2391.66</v>
      </c>
      <c r="AD17" s="231">
        <f t="shared" si="2"/>
        <v>430.49879999999996</v>
      </c>
      <c r="AE17" s="243">
        <v>933</v>
      </c>
      <c r="AF17" s="231">
        <f t="shared" si="1"/>
        <v>0</v>
      </c>
      <c r="AG17" s="231">
        <f t="shared" si="3"/>
        <v>0</v>
      </c>
      <c r="AH17" s="243"/>
      <c r="AI17" s="479">
        <v>0.18</v>
      </c>
    </row>
    <row r="18" spans="1:37" ht="12.75">
      <c r="A18" s="226">
        <v>2013</v>
      </c>
      <c r="B18" s="232">
        <v>367.12</v>
      </c>
      <c r="C18" s="232">
        <v>10000</v>
      </c>
      <c r="D18" s="232"/>
      <c r="E18" s="232">
        <v>324.05</v>
      </c>
      <c r="F18" s="232"/>
      <c r="G18" s="232">
        <v>150</v>
      </c>
      <c r="H18" s="232">
        <v>13536.04</v>
      </c>
      <c r="I18" s="232"/>
      <c r="J18" s="232">
        <v>295</v>
      </c>
      <c r="K18" s="232"/>
      <c r="L18" s="232">
        <v>500</v>
      </c>
      <c r="M18" s="232"/>
      <c r="N18" s="232">
        <v>506</v>
      </c>
      <c r="O18" s="232"/>
      <c r="P18" s="232">
        <v>115</v>
      </c>
      <c r="Q18" s="232"/>
      <c r="R18" s="232">
        <v>151.66999999999999</v>
      </c>
      <c r="S18" s="232"/>
      <c r="T18" s="232">
        <v>462</v>
      </c>
      <c r="U18" s="232"/>
      <c r="V18" s="232">
        <v>262.25</v>
      </c>
      <c r="W18" s="232">
        <v>75.61</v>
      </c>
      <c r="X18" s="232">
        <v>204.02</v>
      </c>
      <c r="Y18" s="232">
        <v>258.97000000000003</v>
      </c>
      <c r="Z18" s="232">
        <v>248.85</v>
      </c>
      <c r="AA18" s="232">
        <v>276.73</v>
      </c>
      <c r="AB18" s="231">
        <v>184.47</v>
      </c>
      <c r="AC18" s="91">
        <v>19762.5</v>
      </c>
      <c r="AD18" s="231">
        <f t="shared" si="2"/>
        <v>5138.25</v>
      </c>
      <c r="AE18" s="243">
        <v>10314</v>
      </c>
      <c r="AF18" s="231">
        <v>637.34</v>
      </c>
      <c r="AG18" s="231">
        <f t="shared" si="3"/>
        <v>165.70840000000001</v>
      </c>
      <c r="AH18" s="243">
        <v>335</v>
      </c>
      <c r="AI18" s="479">
        <v>0.26</v>
      </c>
    </row>
    <row r="19" spans="1:37"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2">
        <f t="shared" ref="AC19:AF19" si="4">SUM(AC3:AC18)</f>
        <v>47243.229999999996</v>
      </c>
      <c r="AD19" s="232">
        <f t="shared" si="4"/>
        <v>15389.916800000001</v>
      </c>
      <c r="AE19" s="240">
        <f t="shared" si="4"/>
        <v>45680</v>
      </c>
      <c r="AF19" s="232">
        <f t="shared" si="4"/>
        <v>12314.29</v>
      </c>
      <c r="AG19" s="231">
        <f>SUM(AG3:AG18)</f>
        <v>4576.4214000000002</v>
      </c>
      <c r="AH19" s="240">
        <f>SUM(AH3:AH18)</f>
        <v>21085</v>
      </c>
    </row>
    <row r="20" spans="1:37">
      <c r="AF20" s="228">
        <f>AC19+AF19</f>
        <v>59557.52</v>
      </c>
      <c r="AG20" s="228">
        <f>AD19+AG19</f>
        <v>19966.338200000002</v>
      </c>
      <c r="AH20" s="251">
        <f>AE19+AH19</f>
        <v>66765</v>
      </c>
    </row>
    <row r="21" spans="1:37" ht="18">
      <c r="AC21" s="475">
        <v>26666.37</v>
      </c>
      <c r="AD21" s="95"/>
      <c r="AF21" s="476" t="s">
        <v>541</v>
      </c>
      <c r="AG21" s="477"/>
      <c r="AI21" s="235"/>
      <c r="AJ21" s="478" t="s">
        <v>57</v>
      </c>
    </row>
    <row r="22" spans="1:37" ht="15.75">
      <c r="A22" s="834" t="s">
        <v>65</v>
      </c>
      <c r="B22" s="834"/>
      <c r="C22" s="834"/>
      <c r="D22" s="834"/>
      <c r="E22" s="834"/>
      <c r="F22" s="834"/>
      <c r="G22" s="834"/>
      <c r="H22" s="834"/>
      <c r="I22" s="834"/>
      <c r="J22" s="834"/>
      <c r="K22" s="834"/>
      <c r="L22" s="834"/>
      <c r="M22" s="834"/>
      <c r="N22" s="834"/>
      <c r="O22" s="834"/>
      <c r="P22" s="834"/>
      <c r="Q22" s="834"/>
      <c r="R22" s="834"/>
      <c r="S22" s="834"/>
      <c r="T22" s="834"/>
      <c r="U22" s="834"/>
      <c r="V22" s="834"/>
      <c r="W22" s="834"/>
      <c r="X22" s="834"/>
      <c r="Y22" s="834"/>
      <c r="Z22" s="834"/>
      <c r="AA22" s="834"/>
      <c r="AB22" s="834"/>
      <c r="AC22" s="22"/>
      <c r="AD22" s="22"/>
      <c r="AE22" s="640">
        <v>58113</v>
      </c>
      <c r="AF22" s="111">
        <v>46062</v>
      </c>
      <c r="AG22" s="22"/>
      <c r="AH22" s="640">
        <v>26824</v>
      </c>
      <c r="AI22" s="235"/>
      <c r="AJ22" s="94"/>
      <c r="AK22" s="95"/>
    </row>
    <row r="23" spans="1:37">
      <c r="AC23" s="228">
        <f>AC21+AF18</f>
        <v>27303.71</v>
      </c>
      <c r="AD23" s="228">
        <f>AC23*AI18</f>
        <v>7098.9646000000002</v>
      </c>
      <c r="AH23" s="237">
        <f>AE18*AD23/AD18</f>
        <v>14249.738896394685</v>
      </c>
    </row>
    <row r="24" spans="1:37">
      <c r="L24" s="235"/>
      <c r="AF24" s="228">
        <f>AF20+AC23-AC18</f>
        <v>67098.73</v>
      </c>
      <c r="AG24" s="228">
        <f>AG20+AD23-AD18</f>
        <v>21927.052800000001</v>
      </c>
      <c r="AH24" s="237">
        <f>AH20+AH23-AE18</f>
        <v>70700.738896394687</v>
      </c>
    </row>
    <row r="25" spans="1:37">
      <c r="B25" s="93"/>
      <c r="C25" s="93"/>
      <c r="D25" s="93"/>
      <c r="E25" s="93"/>
      <c r="F25" s="246"/>
      <c r="G25" s="246"/>
      <c r="H25" s="246"/>
      <c r="I25" s="246"/>
      <c r="L25" s="228"/>
      <c r="N25" s="228"/>
    </row>
    <row r="26" spans="1:37">
      <c r="AA26" s="251"/>
      <c r="AG26" s="245" t="s">
        <v>386</v>
      </c>
    </row>
    <row r="27" spans="1:37">
      <c r="P27" s="235"/>
      <c r="AG27" s="641" t="s">
        <v>388</v>
      </c>
    </row>
    <row r="28" spans="1:37" ht="15.75">
      <c r="A28" s="834" t="s">
        <v>66</v>
      </c>
      <c r="B28" s="834"/>
      <c r="C28" s="834"/>
      <c r="D28" s="834"/>
      <c r="E28" s="834"/>
      <c r="F28" s="834"/>
      <c r="G28" s="834"/>
      <c r="H28" s="834"/>
      <c r="I28" s="834"/>
      <c r="J28" s="834"/>
      <c r="K28" s="834"/>
      <c r="L28" s="834"/>
      <c r="M28" s="834"/>
      <c r="N28" s="834"/>
      <c r="O28" s="834"/>
      <c r="P28" s="834"/>
      <c r="Q28" s="834"/>
      <c r="R28" s="834"/>
      <c r="S28" s="834"/>
      <c r="T28" s="834"/>
      <c r="U28" s="834"/>
      <c r="V28" s="834"/>
      <c r="W28" s="834"/>
      <c r="X28" s="834"/>
      <c r="Y28" s="834"/>
      <c r="Z28" s="834"/>
      <c r="AA28" s="834"/>
      <c r="AB28" s="834"/>
      <c r="AC28" s="22"/>
      <c r="AD28" s="22"/>
      <c r="AE28" s="22"/>
      <c r="AF28" s="111">
        <v>46062</v>
      </c>
      <c r="AG28" s="22"/>
      <c r="AH28" s="22"/>
    </row>
    <row r="29" spans="1:37">
      <c r="AD29" s="225">
        <v>1998</v>
      </c>
      <c r="AE29" s="240">
        <v>558</v>
      </c>
      <c r="AH29" s="240">
        <v>707</v>
      </c>
    </row>
    <row r="30" spans="1:37">
      <c r="AD30" s="225">
        <v>1999</v>
      </c>
      <c r="AE30" s="243">
        <v>5038</v>
      </c>
      <c r="AH30" s="243">
        <v>13544</v>
      </c>
    </row>
    <row r="31" spans="1:37">
      <c r="AC31" s="228"/>
      <c r="AD31" s="225">
        <v>2000</v>
      </c>
      <c r="AE31" s="243">
        <v>14227</v>
      </c>
      <c r="AH31" s="243">
        <v>6908</v>
      </c>
    </row>
    <row r="32" spans="1:37">
      <c r="AD32" s="225">
        <v>2001</v>
      </c>
      <c r="AE32" s="243">
        <v>1672</v>
      </c>
      <c r="AH32" s="243"/>
    </row>
    <row r="33" spans="2:34"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D33" s="225">
        <v>2002</v>
      </c>
      <c r="AE33" s="243">
        <v>4466</v>
      </c>
      <c r="AH33" s="243">
        <v>2977</v>
      </c>
    </row>
    <row r="34" spans="2:34"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5">
        <v>2003</v>
      </c>
      <c r="AE34" s="243"/>
      <c r="AH34" s="243">
        <v>2089</v>
      </c>
    </row>
    <row r="35" spans="2:34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5">
        <v>2004</v>
      </c>
      <c r="AE35" s="243"/>
      <c r="AH35" s="243"/>
    </row>
    <row r="36" spans="2:34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D36" s="225">
        <v>2005</v>
      </c>
      <c r="AE36" s="243"/>
      <c r="AH36" s="243"/>
    </row>
    <row r="37" spans="2:34"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D37" s="225">
        <v>2006</v>
      </c>
      <c r="AE37" s="243"/>
      <c r="AH37" s="243"/>
    </row>
    <row r="38" spans="2:34"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D38" s="225">
        <v>2007</v>
      </c>
      <c r="AE38" s="243"/>
      <c r="AH38" s="243"/>
    </row>
    <row r="39" spans="2:34">
      <c r="AD39" s="225">
        <v>2008</v>
      </c>
      <c r="AE39" s="243">
        <v>5017</v>
      </c>
      <c r="AH39" s="243">
        <v>3066</v>
      </c>
    </row>
    <row r="40" spans="2:34">
      <c r="AD40" s="225">
        <v>2009</v>
      </c>
      <c r="AE40" s="243">
        <v>12067</v>
      </c>
      <c r="AH40" s="243">
        <v>11793</v>
      </c>
    </row>
    <row r="41" spans="2:34">
      <c r="AD41" s="225">
        <v>2010</v>
      </c>
      <c r="AE41" s="243">
        <v>13609</v>
      </c>
      <c r="AH41" s="243"/>
    </row>
    <row r="42" spans="2:34">
      <c r="AD42" s="225">
        <v>2011</v>
      </c>
      <c r="AE42" s="243">
        <v>9930</v>
      </c>
      <c r="AH42" s="243"/>
    </row>
    <row r="43" spans="2:34">
      <c r="AD43" s="225">
        <v>2012</v>
      </c>
      <c r="AE43" s="243">
        <v>1854</v>
      </c>
      <c r="AH43" s="243"/>
    </row>
    <row r="44" spans="2:34">
      <c r="AD44" s="225">
        <v>2013</v>
      </c>
      <c r="AE44" s="243">
        <v>20502</v>
      </c>
      <c r="AH44" s="243">
        <v>685</v>
      </c>
    </row>
    <row r="45" spans="2:34">
      <c r="AE45" s="440">
        <f t="shared" ref="AE45" si="5">SUM(AE29:AE44)</f>
        <v>88940</v>
      </c>
      <c r="AF45" s="441"/>
      <c r="AG45" s="441"/>
      <c r="AH45" s="440">
        <f>SUM(AH29:AH44)</f>
        <v>41769</v>
      </c>
    </row>
    <row r="46" spans="2:34">
      <c r="AH46" s="442">
        <f>AE45+AH45</f>
        <v>130709</v>
      </c>
    </row>
    <row r="47" spans="2:34">
      <c r="AE47" s="642">
        <v>113210</v>
      </c>
      <c r="AH47" s="642">
        <v>53115</v>
      </c>
    </row>
    <row r="48" spans="2:34">
      <c r="AE48" s="245"/>
      <c r="AH48" s="245"/>
    </row>
    <row r="50" spans="34:34">
      <c r="AH50" s="251">
        <f>AH46-AH44-AE44+(AH23*2)</f>
        <v>138021.47779278937</v>
      </c>
    </row>
  </sheetData>
  <mergeCells count="20">
    <mergeCell ref="AH1:AH2"/>
    <mergeCell ref="B1:D1"/>
    <mergeCell ref="E1:F1"/>
    <mergeCell ref="G1:I1"/>
    <mergeCell ref="J1:K1"/>
    <mergeCell ref="L1:M1"/>
    <mergeCell ref="AE1:AE2"/>
    <mergeCell ref="AD1:AD2"/>
    <mergeCell ref="AC1:AC2"/>
    <mergeCell ref="AF1:AF2"/>
    <mergeCell ref="AG1:AG2"/>
    <mergeCell ref="A28:AB28"/>
    <mergeCell ref="N1:O1"/>
    <mergeCell ref="P1:Q1"/>
    <mergeCell ref="R1:S1"/>
    <mergeCell ref="T1:U1"/>
    <mergeCell ref="A22:AB22"/>
    <mergeCell ref="V1:X1"/>
    <mergeCell ref="Y1:Z1"/>
    <mergeCell ref="AA1:A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M32"/>
  <sheetViews>
    <sheetView workbookViewId="0">
      <selection activeCell="A22" sqref="A22:AG22"/>
    </sheetView>
  </sheetViews>
  <sheetFormatPr defaultRowHeight="11.25"/>
  <cols>
    <col min="1" max="1" width="3.44140625" style="225" bestFit="1" customWidth="1"/>
    <col min="2" max="2" width="7" style="225" bestFit="1" customWidth="1"/>
    <col min="3" max="4" width="7.33203125" style="225" bestFit="1" customWidth="1"/>
    <col min="5" max="7" width="7" style="225" bestFit="1" customWidth="1"/>
    <col min="8" max="8" width="7.33203125" style="225" bestFit="1" customWidth="1"/>
    <col min="9" max="11" width="7" style="225" bestFit="1" customWidth="1"/>
    <col min="12" max="12" width="7.33203125" style="225" bestFit="1" customWidth="1"/>
    <col min="13" max="13" width="6.33203125" style="225" bestFit="1" customWidth="1"/>
    <col min="14" max="15" width="7" style="225" bestFit="1" customWidth="1"/>
    <col min="16" max="16" width="7.33203125" style="225" bestFit="1" customWidth="1"/>
    <col min="17" max="17" width="7" style="225" bestFit="1" customWidth="1"/>
    <col min="18" max="18" width="8" style="225" bestFit="1" customWidth="1"/>
    <col min="19" max="19" width="6.33203125" style="225" bestFit="1" customWidth="1"/>
    <col min="20" max="20" width="8.6640625" style="225" bestFit="1" customWidth="1"/>
    <col min="21" max="21" width="7" style="225" bestFit="1" customWidth="1"/>
    <col min="22" max="22" width="8" style="225" bestFit="1" customWidth="1"/>
    <col min="23" max="23" width="7.33203125" style="225" bestFit="1" customWidth="1"/>
    <col min="24" max="24" width="8" style="225" bestFit="1" customWidth="1"/>
    <col min="25" max="25" width="7.33203125" style="225" bestFit="1" customWidth="1"/>
    <col min="26" max="27" width="8" style="225" bestFit="1" customWidth="1"/>
    <col min="28" max="29" width="7.33203125" style="225" customWidth="1"/>
    <col min="30" max="30" width="8" style="225" bestFit="1" customWidth="1"/>
    <col min="31" max="31" width="8.6640625" style="225" bestFit="1" customWidth="1"/>
    <col min="32" max="32" width="8" style="225" bestFit="1" customWidth="1"/>
    <col min="33" max="33" width="6.5546875" style="225" bestFit="1" customWidth="1"/>
    <col min="34" max="34" width="4.44140625" style="225" customWidth="1"/>
    <col min="35" max="35" width="9.77734375" style="225" bestFit="1" customWidth="1"/>
    <col min="36" max="36" width="10.6640625" style="225" customWidth="1"/>
    <col min="37" max="16384" width="8.88671875" style="225"/>
  </cols>
  <sheetData>
    <row r="1" spans="1:39">
      <c r="A1" s="239"/>
      <c r="B1" s="736" t="s">
        <v>18</v>
      </c>
      <c r="C1" s="737"/>
      <c r="D1" s="731" t="s">
        <v>19</v>
      </c>
      <c r="E1" s="733"/>
      <c r="F1" s="736" t="s">
        <v>20</v>
      </c>
      <c r="G1" s="737"/>
      <c r="H1" s="729" t="s">
        <v>21</v>
      </c>
      <c r="I1" s="730"/>
      <c r="J1" s="736" t="s">
        <v>2</v>
      </c>
      <c r="K1" s="737"/>
      <c r="L1" s="731" t="s">
        <v>22</v>
      </c>
      <c r="M1" s="733"/>
      <c r="N1" s="736" t="s">
        <v>23</v>
      </c>
      <c r="O1" s="737"/>
      <c r="P1" s="729" t="s">
        <v>24</v>
      </c>
      <c r="Q1" s="730"/>
      <c r="R1" s="736" t="s">
        <v>25</v>
      </c>
      <c r="S1" s="737"/>
      <c r="T1" s="731" t="s">
        <v>26</v>
      </c>
      <c r="U1" s="733"/>
      <c r="V1" s="736" t="s">
        <v>27</v>
      </c>
      <c r="W1" s="737"/>
      <c r="X1" s="729" t="s">
        <v>28</v>
      </c>
      <c r="Y1" s="730"/>
      <c r="Z1" s="838" t="s">
        <v>43</v>
      </c>
      <c r="AA1" s="839"/>
      <c r="AB1" s="838" t="s">
        <v>53</v>
      </c>
      <c r="AC1" s="839"/>
      <c r="AD1" s="725" t="s">
        <v>68</v>
      </c>
      <c r="AE1" s="725" t="s">
        <v>209</v>
      </c>
      <c r="AF1" s="725" t="s">
        <v>276</v>
      </c>
      <c r="AG1" s="725" t="s">
        <v>54</v>
      </c>
      <c r="AI1" s="836" t="s">
        <v>279</v>
      </c>
      <c r="AJ1" s="837" t="s">
        <v>280</v>
      </c>
    </row>
    <row r="2" spans="1:39">
      <c r="A2" s="239"/>
      <c r="B2" s="250" t="s">
        <v>43</v>
      </c>
      <c r="C2" s="250" t="s">
        <v>53</v>
      </c>
      <c r="D2" s="249" t="s">
        <v>43</v>
      </c>
      <c r="E2" s="249" t="s">
        <v>53</v>
      </c>
      <c r="F2" s="250" t="s">
        <v>43</v>
      </c>
      <c r="G2" s="250" t="s">
        <v>53</v>
      </c>
      <c r="H2" s="248" t="s">
        <v>43</v>
      </c>
      <c r="I2" s="248" t="s">
        <v>53</v>
      </c>
      <c r="J2" s="250" t="s">
        <v>43</v>
      </c>
      <c r="K2" s="250" t="s">
        <v>53</v>
      </c>
      <c r="L2" s="249" t="s">
        <v>43</v>
      </c>
      <c r="M2" s="249" t="s">
        <v>53</v>
      </c>
      <c r="N2" s="250" t="s">
        <v>43</v>
      </c>
      <c r="O2" s="250" t="s">
        <v>53</v>
      </c>
      <c r="P2" s="248" t="s">
        <v>43</v>
      </c>
      <c r="Q2" s="248" t="s">
        <v>53</v>
      </c>
      <c r="R2" s="250" t="s">
        <v>43</v>
      </c>
      <c r="S2" s="250" t="s">
        <v>53</v>
      </c>
      <c r="T2" s="249" t="s">
        <v>43</v>
      </c>
      <c r="U2" s="249" t="s">
        <v>53</v>
      </c>
      <c r="V2" s="250" t="s">
        <v>43</v>
      </c>
      <c r="W2" s="250" t="s">
        <v>53</v>
      </c>
      <c r="X2" s="248" t="s">
        <v>43</v>
      </c>
      <c r="Y2" s="248" t="s">
        <v>53</v>
      </c>
      <c r="Z2" s="432"/>
      <c r="AA2" s="432" t="s">
        <v>209</v>
      </c>
      <c r="AB2" s="432"/>
      <c r="AC2" s="432" t="s">
        <v>209</v>
      </c>
      <c r="AD2" s="835"/>
      <c r="AE2" s="835"/>
      <c r="AF2" s="835"/>
      <c r="AG2" s="835"/>
      <c r="AI2" s="836"/>
      <c r="AJ2" s="837"/>
    </row>
    <row r="3" spans="1:39" ht="12.75">
      <c r="A3" s="229">
        <v>1998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43">
        <v>30549</v>
      </c>
      <c r="Q3" s="244">
        <v>19803</v>
      </c>
      <c r="R3" s="244">
        <v>122983</v>
      </c>
      <c r="S3" s="244">
        <v>67900</v>
      </c>
      <c r="T3" s="244">
        <v>117476</v>
      </c>
      <c r="U3" s="244">
        <v>122575</v>
      </c>
      <c r="V3" s="244">
        <v>49135</v>
      </c>
      <c r="W3" s="244">
        <v>35831</v>
      </c>
      <c r="X3" s="244">
        <v>150131</v>
      </c>
      <c r="Y3" s="244">
        <v>117738</v>
      </c>
      <c r="Z3" s="243">
        <f>P3+R3+T3+V3+X3</f>
        <v>470274</v>
      </c>
      <c r="AA3" s="231">
        <f>Z3/340.75</f>
        <v>1380.114453411592</v>
      </c>
      <c r="AB3" s="243">
        <f>Q3+S3+U3+W3+Y3</f>
        <v>363847</v>
      </c>
      <c r="AC3" s="231">
        <f>AB3/340.75</f>
        <v>1067.7828319882613</v>
      </c>
      <c r="AD3" s="243">
        <f>SUM(P3:Y3)</f>
        <v>834121</v>
      </c>
      <c r="AE3" s="231">
        <f>AD3/340.75</f>
        <v>2447.8972853998534</v>
      </c>
      <c r="AF3" s="231">
        <f>AE3*AK3</f>
        <v>734.36918561995606</v>
      </c>
      <c r="AG3" s="231"/>
      <c r="AI3" s="235">
        <v>1422</v>
      </c>
      <c r="AK3" s="479">
        <v>0.3</v>
      </c>
    </row>
    <row r="4" spans="1:39" ht="12.75">
      <c r="A4" s="226">
        <v>1999</v>
      </c>
      <c r="B4" s="240">
        <v>80050</v>
      </c>
      <c r="C4" s="252">
        <v>48110</v>
      </c>
      <c r="D4" s="252">
        <v>85112</v>
      </c>
      <c r="E4" s="252">
        <v>20021</v>
      </c>
      <c r="F4" s="240">
        <v>88250</v>
      </c>
      <c r="G4" s="252">
        <v>60816</v>
      </c>
      <c r="H4" s="252">
        <v>44149</v>
      </c>
      <c r="I4" s="252">
        <v>30740</v>
      </c>
      <c r="J4" s="252">
        <v>41937</v>
      </c>
      <c r="K4" s="252">
        <v>26869</v>
      </c>
      <c r="L4" s="240">
        <v>90373</v>
      </c>
      <c r="M4" s="252">
        <v>59644</v>
      </c>
      <c r="N4" s="240">
        <v>120961</v>
      </c>
      <c r="O4" s="252">
        <v>73809</v>
      </c>
      <c r="P4" s="240">
        <v>187995</v>
      </c>
      <c r="Q4" s="252">
        <v>127896</v>
      </c>
      <c r="R4" s="240">
        <v>116427</v>
      </c>
      <c r="S4" s="252">
        <v>63424</v>
      </c>
      <c r="T4" s="252">
        <v>84817</v>
      </c>
      <c r="U4" s="252">
        <v>59789</v>
      </c>
      <c r="V4" s="252">
        <v>37124</v>
      </c>
      <c r="W4" s="252">
        <v>23746</v>
      </c>
      <c r="X4" s="240">
        <v>80931</v>
      </c>
      <c r="Y4" s="244">
        <v>124177</v>
      </c>
      <c r="Z4" s="243">
        <f>B4+D4+F4+H4+J4+L4+N4+P4+R4+T4+V4+X4</f>
        <v>1058126</v>
      </c>
      <c r="AA4" s="231">
        <f t="shared" ref="AA4:AA6" si="0">Z4/340.75</f>
        <v>3105.2853998532651</v>
      </c>
      <c r="AB4" s="243">
        <f>C4+E4+G4+I4+K4+M4+O4+Q4+S4+U4+W4+Y4</f>
        <v>719041</v>
      </c>
      <c r="AC4" s="231">
        <f t="shared" ref="AC4:AC6" si="1">AB4/340.75</f>
        <v>2110.171680117388</v>
      </c>
      <c r="AD4" s="243">
        <f>SUM(B4:Y4)</f>
        <v>1777167</v>
      </c>
      <c r="AE4" s="231">
        <f t="shared" ref="AE4:AE6" si="2">AD4/340.75</f>
        <v>5215.4570799706526</v>
      </c>
      <c r="AF4" s="231">
        <f t="shared" ref="AF4:AF15" si="3">AE4*AK4</f>
        <v>2086.1828319882611</v>
      </c>
      <c r="AG4" s="231"/>
      <c r="AI4" s="235">
        <v>2332</v>
      </c>
      <c r="AK4" s="479">
        <v>0.4</v>
      </c>
    </row>
    <row r="5" spans="1:39" ht="12.75">
      <c r="A5" s="226">
        <v>2000</v>
      </c>
      <c r="B5" s="252">
        <v>20303</v>
      </c>
      <c r="C5" s="252">
        <v>15476</v>
      </c>
      <c r="D5" s="252">
        <v>53244</v>
      </c>
      <c r="E5" s="252">
        <v>33725</v>
      </c>
      <c r="F5" s="252">
        <v>67278</v>
      </c>
      <c r="G5" s="252">
        <v>33725</v>
      </c>
      <c r="H5" s="252">
        <v>46719</v>
      </c>
      <c r="I5" s="252">
        <v>28570</v>
      </c>
      <c r="J5" s="240">
        <v>112726</v>
      </c>
      <c r="K5" s="240">
        <v>105783</v>
      </c>
      <c r="L5" s="240">
        <v>86278</v>
      </c>
      <c r="M5" s="252">
        <v>47487</v>
      </c>
      <c r="N5" s="240">
        <v>65130</v>
      </c>
      <c r="O5" s="252">
        <v>105783</v>
      </c>
      <c r="P5" s="253">
        <v>191501</v>
      </c>
      <c r="Q5" s="254">
        <f>P5*3/5</f>
        <v>114900.6</v>
      </c>
      <c r="R5" s="253">
        <v>119262</v>
      </c>
      <c r="S5" s="254">
        <f>R5*3/5</f>
        <v>71557.2</v>
      </c>
      <c r="T5" s="253">
        <v>160493</v>
      </c>
      <c r="U5" s="254">
        <f>T5*3/5</f>
        <v>96295.8</v>
      </c>
      <c r="V5" s="253">
        <v>137663</v>
      </c>
      <c r="W5" s="254">
        <f>V5*3/5</f>
        <v>82597.8</v>
      </c>
      <c r="X5" s="253">
        <v>70876</v>
      </c>
      <c r="Y5" s="254">
        <f>X5*3/5</f>
        <v>42525.599999999999</v>
      </c>
      <c r="Z5" s="243">
        <f t="shared" ref="Z5:Z6" si="4">B5+D5+F5+H5+J5+L5+N5+P5+R5+T5+V5+X5</f>
        <v>1131473</v>
      </c>
      <c r="AA5" s="231">
        <f t="shared" si="0"/>
        <v>3320.5370506236245</v>
      </c>
      <c r="AB5" s="243">
        <f t="shared" ref="AB5:AB6" si="5">C5+E5+G5+I5+K5+M5+O5+Q5+S5+U5+W5+Y5</f>
        <v>778426</v>
      </c>
      <c r="AC5" s="231">
        <f t="shared" si="1"/>
        <v>2284.4490095377841</v>
      </c>
      <c r="AD5" s="243">
        <f>SUM(B5:Y5)</f>
        <v>1909899.0000000002</v>
      </c>
      <c r="AE5" s="231">
        <f t="shared" si="2"/>
        <v>5604.9860601614091</v>
      </c>
      <c r="AF5" s="231">
        <f t="shared" si="3"/>
        <v>2522.2437270726341</v>
      </c>
      <c r="AG5" s="231"/>
      <c r="AI5" s="235">
        <v>3055</v>
      </c>
      <c r="AK5" s="479">
        <v>0.45</v>
      </c>
    </row>
    <row r="6" spans="1:39" ht="12.75">
      <c r="A6" s="226">
        <v>2001</v>
      </c>
      <c r="B6" s="253">
        <v>104020</v>
      </c>
      <c r="C6" s="254">
        <f>B6*3/5</f>
        <v>62412</v>
      </c>
      <c r="D6" s="253">
        <v>176379</v>
      </c>
      <c r="E6" s="254">
        <f>D6*3/5</f>
        <v>105827.4</v>
      </c>
      <c r="F6" s="253">
        <v>180935</v>
      </c>
      <c r="G6" s="254">
        <f>F6*3/5</f>
        <v>108561</v>
      </c>
      <c r="H6" s="253">
        <v>112209</v>
      </c>
      <c r="I6" s="254">
        <f>H6*3/5</f>
        <v>67325.399999999994</v>
      </c>
      <c r="J6" s="253">
        <v>67608</v>
      </c>
      <c r="K6" s="254">
        <f>J6*3/5</f>
        <v>40564.800000000003</v>
      </c>
      <c r="L6" s="253">
        <v>131380</v>
      </c>
      <c r="M6" s="254">
        <f>L6*3/5</f>
        <v>78828</v>
      </c>
      <c r="N6" s="253">
        <v>98283</v>
      </c>
      <c r="O6" s="254">
        <f>N6*3/5</f>
        <v>58969.8</v>
      </c>
      <c r="P6" s="253">
        <v>193471</v>
      </c>
      <c r="Q6" s="254">
        <f>P6*3/5</f>
        <v>116082.6</v>
      </c>
      <c r="R6" s="253">
        <v>62088</v>
      </c>
      <c r="S6" s="254">
        <f>R6*3/5</f>
        <v>37252.800000000003</v>
      </c>
      <c r="T6" s="253">
        <v>41183</v>
      </c>
      <c r="U6" s="254">
        <f>T6*3/5</f>
        <v>24709.8</v>
      </c>
      <c r="V6" s="253">
        <v>152584</v>
      </c>
      <c r="W6" s="254">
        <f>V6*3/5</f>
        <v>91550.399999999994</v>
      </c>
      <c r="X6" s="253">
        <v>193941</v>
      </c>
      <c r="Y6" s="254">
        <f>X6*3/5</f>
        <v>116364.6</v>
      </c>
      <c r="Z6" s="243">
        <f t="shared" si="4"/>
        <v>1514081</v>
      </c>
      <c r="AA6" s="231">
        <f t="shared" si="0"/>
        <v>4443.3778429933973</v>
      </c>
      <c r="AB6" s="243">
        <f t="shared" si="5"/>
        <v>908448.60000000009</v>
      </c>
      <c r="AC6" s="231">
        <f t="shared" si="1"/>
        <v>2666.0267057960386</v>
      </c>
      <c r="AD6" s="243">
        <f>SUM(B6:Y6)</f>
        <v>2422529.6000000006</v>
      </c>
      <c r="AE6" s="231">
        <f t="shared" si="2"/>
        <v>7109.4045487894364</v>
      </c>
      <c r="AF6" s="231">
        <f t="shared" si="3"/>
        <v>2843.7618195157747</v>
      </c>
      <c r="AG6" s="231"/>
      <c r="AI6" s="235">
        <v>4440</v>
      </c>
      <c r="AK6" s="479">
        <v>0.4</v>
      </c>
    </row>
    <row r="7" spans="1:39" ht="12.75">
      <c r="A7" s="226">
        <v>2002</v>
      </c>
      <c r="B7" s="241">
        <v>121.33</v>
      </c>
      <c r="C7" s="256">
        <f>B7*3/5</f>
        <v>72.798000000000002</v>
      </c>
      <c r="D7" s="241">
        <v>187.28</v>
      </c>
      <c r="E7" s="256">
        <f>D7*3/5</f>
        <v>112.36800000000001</v>
      </c>
      <c r="F7" s="241">
        <v>242.04</v>
      </c>
      <c r="G7" s="256">
        <f>F7*3/5</f>
        <v>145.22399999999999</v>
      </c>
      <c r="H7" s="255">
        <v>778.79</v>
      </c>
      <c r="I7" s="255">
        <v>519.76</v>
      </c>
      <c r="J7" s="255">
        <v>190.06</v>
      </c>
      <c r="K7" s="255">
        <v>127.71</v>
      </c>
      <c r="L7" s="241">
        <v>252.34</v>
      </c>
      <c r="M7" s="256">
        <f>L7*3/5</f>
        <v>151.404</v>
      </c>
      <c r="N7" s="241">
        <v>484.15</v>
      </c>
      <c r="O7" s="256">
        <f>N7*3/5</f>
        <v>290.48999999999995</v>
      </c>
      <c r="P7" s="241">
        <v>433.79</v>
      </c>
      <c r="Q7" s="256">
        <f>P7*3/5</f>
        <v>260.274</v>
      </c>
      <c r="R7" s="241">
        <v>213.51</v>
      </c>
      <c r="S7" s="256">
        <f>R7*3/5</f>
        <v>128.10599999999999</v>
      </c>
      <c r="T7" s="241">
        <v>311.39</v>
      </c>
      <c r="U7" s="256">
        <f>T7*3/5</f>
        <v>186.834</v>
      </c>
      <c r="V7" s="241">
        <v>409.58</v>
      </c>
      <c r="W7" s="256">
        <f>V7*3/5</f>
        <v>245.74799999999999</v>
      </c>
      <c r="X7" s="241">
        <v>460.27</v>
      </c>
      <c r="Y7" s="256">
        <f>X7*3/5</f>
        <v>276.16199999999998</v>
      </c>
      <c r="Z7" s="108"/>
      <c r="AA7" s="231">
        <f>B7+D7+F7+H7+J7+L7+N7+P7+R7+T7+V7+X7</f>
        <v>4084.5299999999997</v>
      </c>
      <c r="AB7" s="108"/>
      <c r="AC7" s="231">
        <f>C7+E7+G7+I7+K7+M7+O7+Q7+S7+U7+W7+Y7</f>
        <v>2516.8780000000002</v>
      </c>
      <c r="AD7" s="230"/>
      <c r="AE7" s="231">
        <f>SUM(B7:Y7)</f>
        <v>6601.4080000000013</v>
      </c>
      <c r="AF7" s="231">
        <f t="shared" si="3"/>
        <v>2640.5632000000005</v>
      </c>
      <c r="AG7" s="231"/>
      <c r="AI7" s="235">
        <v>3125</v>
      </c>
      <c r="AK7" s="479">
        <v>0.4</v>
      </c>
    </row>
    <row r="8" spans="1:39" ht="12.75">
      <c r="A8" s="226">
        <v>2003</v>
      </c>
      <c r="B8" s="233">
        <v>179.4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57">
        <v>6681.6</v>
      </c>
      <c r="Y8" s="256">
        <f t="shared" ref="Y8:Y11" si="6">X8*3/5</f>
        <v>4008.9600000000005</v>
      </c>
      <c r="Z8" s="108"/>
      <c r="AA8" s="231">
        <f t="shared" ref="AA8:AA18" si="7">B8+D8+F8+H8+J8+L8+N8+P8+R8+T8+V8+X8</f>
        <v>6861</v>
      </c>
      <c r="AB8" s="108"/>
      <c r="AC8" s="231">
        <f t="shared" ref="AC8:AC18" si="8">C8+E8+G8+I8+K8+M8+O8+Q8+S8+U8+W8+Y8</f>
        <v>4008.9600000000005</v>
      </c>
      <c r="AD8" s="258"/>
      <c r="AE8" s="231">
        <f t="shared" ref="AE8:AE11" si="9">SUM(B8:Y8)</f>
        <v>10869.960000000001</v>
      </c>
      <c r="AF8" s="238">
        <f t="shared" si="3"/>
        <v>4347.9840000000004</v>
      </c>
      <c r="AG8" s="231"/>
      <c r="AI8" s="235">
        <v>6861</v>
      </c>
      <c r="AK8" s="479">
        <v>0.4</v>
      </c>
    </row>
    <row r="9" spans="1:39" ht="12.75">
      <c r="A9" s="226">
        <v>2004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57">
        <v>9847</v>
      </c>
      <c r="Y9" s="256">
        <f t="shared" si="6"/>
        <v>5908.2</v>
      </c>
      <c r="Z9" s="108"/>
      <c r="AA9" s="231">
        <f t="shared" si="7"/>
        <v>9847</v>
      </c>
      <c r="AB9" s="108"/>
      <c r="AC9" s="231">
        <f t="shared" si="8"/>
        <v>5908.2</v>
      </c>
      <c r="AD9" s="258"/>
      <c r="AE9" s="231">
        <f t="shared" si="9"/>
        <v>15755.2</v>
      </c>
      <c r="AF9" s="238">
        <f t="shared" si="3"/>
        <v>6302.0800000000008</v>
      </c>
      <c r="AG9" s="231"/>
      <c r="AI9" s="235">
        <v>9847</v>
      </c>
      <c r="AK9" s="479">
        <v>0.4</v>
      </c>
    </row>
    <row r="10" spans="1:39" ht="12.75">
      <c r="A10" s="226">
        <v>2005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41">
        <v>8622</v>
      </c>
      <c r="Y10" s="256">
        <f t="shared" si="6"/>
        <v>5173.2</v>
      </c>
      <c r="Z10" s="108"/>
      <c r="AA10" s="231">
        <f t="shared" si="7"/>
        <v>8622</v>
      </c>
      <c r="AB10" s="108"/>
      <c r="AC10" s="231">
        <f t="shared" si="8"/>
        <v>5173.2</v>
      </c>
      <c r="AD10" s="230"/>
      <c r="AE10" s="231">
        <f t="shared" si="9"/>
        <v>13795.2</v>
      </c>
      <c r="AF10" s="238">
        <f t="shared" si="3"/>
        <v>5518.0800000000008</v>
      </c>
      <c r="AG10" s="231"/>
      <c r="AI10" s="235">
        <v>8622</v>
      </c>
      <c r="AK10" s="479">
        <v>0.4</v>
      </c>
    </row>
    <row r="11" spans="1:39" ht="12.75">
      <c r="A11" s="226">
        <v>2006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41">
        <v>10832</v>
      </c>
      <c r="Y11" s="256">
        <f t="shared" si="6"/>
        <v>6499.2</v>
      </c>
      <c r="Z11" s="108"/>
      <c r="AA11" s="231">
        <f t="shared" si="7"/>
        <v>10832</v>
      </c>
      <c r="AB11" s="108"/>
      <c r="AC11" s="231">
        <f t="shared" si="8"/>
        <v>6499.2</v>
      </c>
      <c r="AD11" s="230"/>
      <c r="AE11" s="231">
        <f t="shared" si="9"/>
        <v>17331.2</v>
      </c>
      <c r="AF11" s="238">
        <f t="shared" si="3"/>
        <v>6932.4800000000005</v>
      </c>
      <c r="AG11" s="231"/>
      <c r="AI11" s="235">
        <v>10832</v>
      </c>
      <c r="AK11" s="479">
        <v>0.4</v>
      </c>
    </row>
    <row r="12" spans="1:39" ht="12.75">
      <c r="A12" s="226">
        <v>2007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41">
        <v>10472.83</v>
      </c>
      <c r="W12" s="232"/>
      <c r="X12" s="255">
        <v>227.17</v>
      </c>
      <c r="Y12" s="256">
        <v>6420</v>
      </c>
      <c r="Z12" s="108"/>
      <c r="AA12" s="231">
        <f t="shared" si="7"/>
        <v>10700</v>
      </c>
      <c r="AB12" s="108"/>
      <c r="AC12" s="231">
        <f t="shared" si="8"/>
        <v>6420</v>
      </c>
      <c r="AD12" s="230"/>
      <c r="AE12" s="231">
        <f>SUM(V12:Y12)</f>
        <v>17120</v>
      </c>
      <c r="AF12" s="238">
        <f t="shared" si="3"/>
        <v>6848</v>
      </c>
      <c r="AG12" s="231"/>
      <c r="AI12" s="235">
        <v>10700</v>
      </c>
      <c r="AJ12" s="236">
        <v>90.87</v>
      </c>
      <c r="AK12" s="479">
        <v>0.4</v>
      </c>
    </row>
    <row r="13" spans="1:39" ht="12.75">
      <c r="A13" s="226">
        <v>2008</v>
      </c>
      <c r="B13" s="255">
        <v>557.23</v>
      </c>
      <c r="C13" s="255">
        <v>329.9</v>
      </c>
      <c r="D13" s="255">
        <v>1060.24</v>
      </c>
      <c r="E13" s="255">
        <v>652.96</v>
      </c>
      <c r="F13" s="255">
        <v>543.51</v>
      </c>
      <c r="G13" s="255">
        <v>407.28</v>
      </c>
      <c r="H13" s="255">
        <v>381.6</v>
      </c>
      <c r="I13" s="255">
        <v>246.67</v>
      </c>
      <c r="J13" s="255">
        <v>758.11</v>
      </c>
      <c r="K13" s="255">
        <v>501.36</v>
      </c>
      <c r="L13" s="255">
        <v>426.49</v>
      </c>
      <c r="M13" s="255">
        <v>369.83</v>
      </c>
      <c r="N13" s="255">
        <v>431.97</v>
      </c>
      <c r="O13" s="255">
        <v>273.22000000000003</v>
      </c>
      <c r="P13" s="255">
        <v>1115.3699999999999</v>
      </c>
      <c r="Q13" s="255">
        <v>740.97</v>
      </c>
      <c r="R13" s="255">
        <v>357.58</v>
      </c>
      <c r="S13" s="255">
        <v>364.55</v>
      </c>
      <c r="T13" s="255">
        <v>614.20000000000005</v>
      </c>
      <c r="U13" s="255">
        <v>316.66000000000003</v>
      </c>
      <c r="V13" s="255">
        <v>899.37</v>
      </c>
      <c r="W13" s="255">
        <v>611.03</v>
      </c>
      <c r="X13" s="255">
        <v>631.29</v>
      </c>
      <c r="Y13" s="255">
        <v>423.23</v>
      </c>
      <c r="Z13" s="108"/>
      <c r="AA13" s="231">
        <f t="shared" si="7"/>
        <v>7776.96</v>
      </c>
      <c r="AB13" s="108"/>
      <c r="AC13" s="231">
        <f t="shared" si="8"/>
        <v>5237.66</v>
      </c>
      <c r="AD13" s="230"/>
      <c r="AE13" s="231">
        <f>SUM(B13:Y13)</f>
        <v>13014.619999999999</v>
      </c>
      <c r="AF13" s="231">
        <f t="shared" si="3"/>
        <v>5205.848</v>
      </c>
      <c r="AG13" s="231"/>
      <c r="AI13" s="235">
        <v>7143</v>
      </c>
      <c r="AJ13" s="236">
        <v>2877.49</v>
      </c>
      <c r="AK13" s="479">
        <v>0.4</v>
      </c>
    </row>
    <row r="14" spans="1:39" ht="12.75">
      <c r="A14" s="226">
        <v>2009</v>
      </c>
      <c r="B14" s="255">
        <v>339.94</v>
      </c>
      <c r="C14" s="256">
        <f>B14*3/5</f>
        <v>203.964</v>
      </c>
      <c r="D14" s="255">
        <v>367.03</v>
      </c>
      <c r="E14" s="256">
        <f>D14*3/5</f>
        <v>220.21799999999999</v>
      </c>
      <c r="F14" s="255">
        <v>382.88</v>
      </c>
      <c r="G14" s="256">
        <f>F14*3/5</f>
        <v>229.72799999999998</v>
      </c>
      <c r="H14" s="255">
        <v>230.3</v>
      </c>
      <c r="I14" s="256">
        <f>H14*3/5</f>
        <v>138.18</v>
      </c>
      <c r="J14" s="255">
        <v>338.36</v>
      </c>
      <c r="K14" s="256">
        <f>J14*3/5</f>
        <v>203.01600000000002</v>
      </c>
      <c r="L14" s="255">
        <v>115.69</v>
      </c>
      <c r="M14" s="256">
        <f>L14*3/5</f>
        <v>69.414000000000001</v>
      </c>
      <c r="N14" s="255">
        <v>366.7</v>
      </c>
      <c r="O14" s="256">
        <f>N14*3/5</f>
        <v>220.01999999999998</v>
      </c>
      <c r="P14" s="255">
        <v>585.99</v>
      </c>
      <c r="Q14" s="256">
        <f>P14*3/5</f>
        <v>351.59399999999999</v>
      </c>
      <c r="R14" s="255">
        <v>537.55999999999995</v>
      </c>
      <c r="S14" s="256">
        <f>R14*3/5</f>
        <v>322.53599999999994</v>
      </c>
      <c r="T14" s="255">
        <v>431.03</v>
      </c>
      <c r="U14" s="256">
        <f>T14*3/5</f>
        <v>258.61799999999999</v>
      </c>
      <c r="V14" s="255">
        <v>761.9</v>
      </c>
      <c r="W14" s="256">
        <f>V14*3/5</f>
        <v>457.14</v>
      </c>
      <c r="X14" s="255">
        <v>506.24</v>
      </c>
      <c r="Y14" s="256">
        <f>X14*3/5</f>
        <v>303.74400000000003</v>
      </c>
      <c r="Z14" s="108"/>
      <c r="AA14" s="231">
        <f t="shared" si="7"/>
        <v>4963.619999999999</v>
      </c>
      <c r="AB14" s="230"/>
      <c r="AC14" s="231">
        <f t="shared" si="8"/>
        <v>2978.172</v>
      </c>
      <c r="AD14" s="230"/>
      <c r="AE14" s="231">
        <f>SUM(B14:Y14)</f>
        <v>7941.7920000000004</v>
      </c>
      <c r="AF14" s="231">
        <f t="shared" si="3"/>
        <v>2779.6271999999999</v>
      </c>
      <c r="AG14" s="231"/>
      <c r="AI14" s="235">
        <v>6400</v>
      </c>
      <c r="AJ14" s="242">
        <v>1737.25</v>
      </c>
      <c r="AK14" s="479">
        <v>0.35</v>
      </c>
    </row>
    <row r="15" spans="1:39" ht="12.75">
      <c r="A15" s="226">
        <v>2010</v>
      </c>
      <c r="B15" s="241">
        <v>494.05</v>
      </c>
      <c r="C15" s="256">
        <f>B15*3/5</f>
        <v>296.43</v>
      </c>
      <c r="D15" s="241">
        <v>520.02</v>
      </c>
      <c r="E15" s="256">
        <f>D15*3/5</f>
        <v>312.012</v>
      </c>
      <c r="F15" s="241">
        <v>776.9</v>
      </c>
      <c r="G15" s="256">
        <f>F15*3/5</f>
        <v>466.14</v>
      </c>
      <c r="H15" s="241">
        <v>1203.4100000000001</v>
      </c>
      <c r="I15" s="256">
        <f>H15*3/5</f>
        <v>722.04600000000005</v>
      </c>
      <c r="J15" s="241">
        <v>767.95</v>
      </c>
      <c r="K15" s="256">
        <f>J15*3/5</f>
        <v>460.7700000000001</v>
      </c>
      <c r="L15" s="241">
        <v>1034.7</v>
      </c>
      <c r="M15" s="256">
        <f>L15*3/5</f>
        <v>620.82000000000005</v>
      </c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30"/>
      <c r="Z15" s="108"/>
      <c r="AA15" s="231">
        <f t="shared" si="7"/>
        <v>4797.03</v>
      </c>
      <c r="AB15" s="230"/>
      <c r="AC15" s="231">
        <f t="shared" si="8"/>
        <v>2878.2180000000003</v>
      </c>
      <c r="AD15" s="230"/>
      <c r="AE15" s="231">
        <f t="shared" ref="AE15" si="10">SUM(B15:Y15)</f>
        <v>7675.2479999999996</v>
      </c>
      <c r="AF15" s="231">
        <f t="shared" si="3"/>
        <v>3453.8615999999997</v>
      </c>
      <c r="AG15" s="231"/>
      <c r="AI15" s="235"/>
      <c r="AJ15" s="242">
        <v>1251.6300000000001</v>
      </c>
      <c r="AK15" s="479">
        <v>0.45</v>
      </c>
    </row>
    <row r="16" spans="1:39">
      <c r="A16" s="226">
        <v>2011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0"/>
      <c r="Z16" s="230"/>
      <c r="AA16" s="231">
        <f t="shared" si="7"/>
        <v>0</v>
      </c>
      <c r="AB16" s="230"/>
      <c r="AC16" s="231">
        <f t="shared" si="8"/>
        <v>0</v>
      </c>
      <c r="AD16" s="230"/>
      <c r="AE16" s="230"/>
      <c r="AF16" s="230">
        <f t="shared" ref="AF16" si="11">AE16*30%</f>
        <v>0</v>
      </c>
      <c r="AG16" s="234">
        <f>SUM(B16:X16)</f>
        <v>0</v>
      </c>
      <c r="AI16" s="235"/>
      <c r="AJ16" s="235"/>
      <c r="AK16" s="235"/>
      <c r="AL16" s="235"/>
      <c r="AM16" s="235"/>
    </row>
    <row r="17" spans="1:37">
      <c r="A17" s="226">
        <v>2012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0"/>
      <c r="Z17" s="230"/>
      <c r="AA17" s="231">
        <f t="shared" si="7"/>
        <v>0</v>
      </c>
      <c r="AB17" s="230"/>
      <c r="AC17" s="231">
        <f t="shared" si="8"/>
        <v>0</v>
      </c>
      <c r="AD17" s="230"/>
      <c r="AE17" s="230"/>
      <c r="AF17" s="230"/>
      <c r="AG17" s="234">
        <f>SUM(B17:X17)</f>
        <v>0</v>
      </c>
      <c r="AI17" s="235"/>
      <c r="AJ17" s="235"/>
      <c r="AK17" s="235"/>
    </row>
    <row r="18" spans="1:37">
      <c r="A18" s="226">
        <v>2013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0"/>
      <c r="Z18" s="230"/>
      <c r="AA18" s="231">
        <f t="shared" si="7"/>
        <v>0</v>
      </c>
      <c r="AB18" s="230"/>
      <c r="AC18" s="231">
        <f t="shared" si="8"/>
        <v>0</v>
      </c>
      <c r="AD18" s="230"/>
      <c r="AE18" s="230"/>
      <c r="AF18" s="230"/>
      <c r="AG18" s="234">
        <f>SUM(B18:X18)</f>
        <v>0</v>
      </c>
      <c r="AH18" s="245"/>
      <c r="AI18" s="247"/>
      <c r="AJ18" s="235"/>
      <c r="AK18" s="235"/>
    </row>
    <row r="19" spans="1:37"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2">
        <f t="shared" ref="AE19:AF19" si="12">SUM(AE3:AE18)</f>
        <v>130482.37297432133</v>
      </c>
      <c r="AF19" s="232">
        <f t="shared" si="12"/>
        <v>52215.081564196626</v>
      </c>
      <c r="AG19" s="232">
        <f>SUM(AG3:AG18)</f>
        <v>0</v>
      </c>
      <c r="AI19" s="228">
        <f>SUM(AI3:AI18)</f>
        <v>74779</v>
      </c>
      <c r="AJ19" s="235"/>
      <c r="AK19" s="235"/>
    </row>
    <row r="20" spans="1:37">
      <c r="AJ20" s="235"/>
      <c r="AK20" s="235"/>
    </row>
    <row r="22" spans="1:37" ht="15.75">
      <c r="A22" s="834" t="s">
        <v>281</v>
      </c>
      <c r="B22" s="834"/>
      <c r="C22" s="834"/>
      <c r="D22" s="834"/>
      <c r="E22" s="834"/>
      <c r="F22" s="834"/>
      <c r="G22" s="834"/>
      <c r="H22" s="834"/>
      <c r="I22" s="834"/>
      <c r="J22" s="834"/>
      <c r="K22" s="834"/>
      <c r="L22" s="834"/>
      <c r="M22" s="834"/>
      <c r="N22" s="834"/>
      <c r="O22" s="834"/>
      <c r="P22" s="834"/>
      <c r="Q22" s="834"/>
      <c r="R22" s="834"/>
      <c r="S22" s="834"/>
      <c r="T22" s="834"/>
      <c r="U22" s="834"/>
      <c r="V22" s="834"/>
      <c r="W22" s="834"/>
      <c r="X22" s="834"/>
      <c r="Y22" s="834"/>
      <c r="Z22" s="834"/>
      <c r="AA22" s="834"/>
      <c r="AB22" s="834"/>
      <c r="AC22" s="834"/>
      <c r="AD22" s="834"/>
      <c r="AE22" s="834"/>
      <c r="AF22" s="834"/>
      <c r="AG22" s="834"/>
    </row>
    <row r="23" spans="1:37">
      <c r="X23" s="228">
        <f>X8-B8</f>
        <v>6502.2000000000007</v>
      </c>
    </row>
    <row r="25" spans="1:37">
      <c r="B25" s="246"/>
      <c r="C25" s="246"/>
      <c r="D25" s="246"/>
      <c r="E25" s="246"/>
      <c r="F25" s="246"/>
      <c r="G25" s="246"/>
    </row>
    <row r="27" spans="1:37">
      <c r="B27" s="251"/>
      <c r="C27" s="235"/>
    </row>
    <row r="32" spans="1:37">
      <c r="I32" s="237"/>
      <c r="T32" s="235">
        <f>404*340.75</f>
        <v>137663</v>
      </c>
    </row>
  </sheetData>
  <mergeCells count="21">
    <mergeCell ref="A22:AG22"/>
    <mergeCell ref="AD1:AD2"/>
    <mergeCell ref="AE1:AE2"/>
    <mergeCell ref="AF1:AF2"/>
    <mergeCell ref="AG1:AG2"/>
    <mergeCell ref="B1:C1"/>
    <mergeCell ref="D1:E1"/>
    <mergeCell ref="F1:G1"/>
    <mergeCell ref="H1:I1"/>
    <mergeCell ref="J1:K1"/>
    <mergeCell ref="L1:M1"/>
    <mergeCell ref="Z1:AA1"/>
    <mergeCell ref="AB1:AC1"/>
    <mergeCell ref="AI1:AI2"/>
    <mergeCell ref="AJ1:AJ2"/>
    <mergeCell ref="N1:O1"/>
    <mergeCell ref="P1:Q1"/>
    <mergeCell ref="R1:S1"/>
    <mergeCell ref="T1:U1"/>
    <mergeCell ref="V1:W1"/>
    <mergeCell ref="X1:Y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C32" sqref="C32"/>
    </sheetView>
  </sheetViews>
  <sheetFormatPr defaultRowHeight="12.75"/>
  <cols>
    <col min="1" max="1" width="3.88671875" style="8" bestFit="1" customWidth="1"/>
    <col min="2" max="2" width="8.33203125" style="8" customWidth="1"/>
    <col min="3" max="4" width="9.21875" style="8" bestFit="1" customWidth="1"/>
    <col min="5" max="5" width="8.88671875" style="8"/>
    <col min="6" max="6" width="3.6640625" style="8" bestFit="1" customWidth="1"/>
    <col min="7" max="16384" width="8.88671875" style="8"/>
  </cols>
  <sheetData>
    <row r="1" spans="1:6" ht="15">
      <c r="A1" s="579" t="s">
        <v>0</v>
      </c>
      <c r="B1" s="664" t="s">
        <v>46</v>
      </c>
      <c r="C1" s="656" t="s">
        <v>54</v>
      </c>
      <c r="D1" s="664" t="s">
        <v>59</v>
      </c>
      <c r="E1" s="656" t="s">
        <v>54</v>
      </c>
    </row>
    <row r="2" spans="1:6">
      <c r="A2" s="7">
        <v>1998</v>
      </c>
      <c r="B2" s="9"/>
      <c r="C2" s="9"/>
      <c r="D2" s="9"/>
      <c r="E2" s="169"/>
      <c r="F2" s="479">
        <v>0.3</v>
      </c>
    </row>
    <row r="3" spans="1:6">
      <c r="A3" s="7">
        <v>1999</v>
      </c>
      <c r="B3" s="9"/>
      <c r="C3" s="9"/>
      <c r="D3" s="9"/>
      <c r="E3" s="169"/>
      <c r="F3" s="479">
        <v>0.4</v>
      </c>
    </row>
    <row r="4" spans="1:6">
      <c r="A4" s="7">
        <v>2000</v>
      </c>
      <c r="B4" s="9"/>
      <c r="C4" s="9"/>
      <c r="D4" s="9"/>
      <c r="E4" s="169"/>
      <c r="F4" s="479">
        <v>0.45</v>
      </c>
    </row>
    <row r="5" spans="1:6">
      <c r="A5" s="7">
        <v>2001</v>
      </c>
      <c r="B5" s="9"/>
      <c r="C5" s="9"/>
      <c r="D5" s="9"/>
      <c r="E5" s="169"/>
      <c r="F5" s="479">
        <v>0.4</v>
      </c>
    </row>
    <row r="6" spans="1:6">
      <c r="A6" s="7">
        <v>2002</v>
      </c>
      <c r="B6" s="9"/>
      <c r="C6" s="9"/>
      <c r="D6" s="9"/>
      <c r="E6" s="169"/>
      <c r="F6" s="479">
        <v>0.4</v>
      </c>
    </row>
    <row r="7" spans="1:6">
      <c r="A7" s="7">
        <v>2003</v>
      </c>
      <c r="B7" s="9"/>
      <c r="C7" s="9"/>
      <c r="D7" s="9"/>
      <c r="E7" s="169"/>
      <c r="F7" s="479">
        <v>0.4</v>
      </c>
    </row>
    <row r="8" spans="1:6">
      <c r="A8" s="7">
        <v>2004</v>
      </c>
      <c r="B8" s="9"/>
      <c r="C8" s="9"/>
      <c r="D8" s="9"/>
      <c r="E8" s="169"/>
      <c r="F8" s="479">
        <v>0.4</v>
      </c>
    </row>
    <row r="9" spans="1:6">
      <c r="A9" s="7">
        <v>2005</v>
      </c>
      <c r="B9" s="9"/>
      <c r="C9" s="9"/>
      <c r="D9" s="9"/>
      <c r="E9" s="169"/>
      <c r="F9" s="479">
        <v>0.4</v>
      </c>
    </row>
    <row r="10" spans="1:6">
      <c r="A10" s="7">
        <v>2006</v>
      </c>
      <c r="B10" s="9"/>
      <c r="C10" s="9"/>
      <c r="D10" s="9"/>
      <c r="E10" s="169"/>
      <c r="F10" s="479">
        <v>0.4</v>
      </c>
    </row>
    <row r="11" spans="1:6">
      <c r="A11" s="7">
        <v>2007</v>
      </c>
      <c r="B11" s="10"/>
      <c r="C11" s="9"/>
      <c r="D11" s="9"/>
      <c r="E11" s="169"/>
      <c r="F11" s="479">
        <v>0.4</v>
      </c>
    </row>
    <row r="12" spans="1:6">
      <c r="A12" s="7">
        <v>2008</v>
      </c>
      <c r="B12" s="10"/>
      <c r="C12" s="9"/>
      <c r="D12" s="9"/>
      <c r="E12" s="169"/>
      <c r="F12" s="479">
        <v>0.4</v>
      </c>
    </row>
    <row r="13" spans="1:6">
      <c r="A13" s="7">
        <v>2009</v>
      </c>
      <c r="B13" s="9">
        <v>55.1</v>
      </c>
      <c r="C13" s="9">
        <v>215</v>
      </c>
      <c r="D13" s="9">
        <f>B13*F13</f>
        <v>19.285</v>
      </c>
      <c r="E13" s="169">
        <f>C13*F13</f>
        <v>75.25</v>
      </c>
      <c r="F13" s="479">
        <v>0.35</v>
      </c>
    </row>
    <row r="14" spans="1:6">
      <c r="A14" s="7">
        <v>2010</v>
      </c>
      <c r="B14" s="10">
        <v>260.01</v>
      </c>
      <c r="C14" s="169">
        <v>752</v>
      </c>
      <c r="D14" s="9">
        <f>B14*F14</f>
        <v>117.00449999999999</v>
      </c>
      <c r="E14" s="169">
        <f>C14*F14</f>
        <v>338.40000000000003</v>
      </c>
      <c r="F14" s="479">
        <v>0.45</v>
      </c>
    </row>
    <row r="15" spans="1:6">
      <c r="A15" s="7">
        <v>2011</v>
      </c>
      <c r="B15" s="10">
        <v>565.67999999999995</v>
      </c>
      <c r="C15" s="169">
        <v>1487</v>
      </c>
      <c r="D15" s="9">
        <f t="shared" ref="D15:D16" si="0">B15*F15</f>
        <v>197.98799999999997</v>
      </c>
      <c r="E15" s="169">
        <f t="shared" ref="E15:E16" si="1">C15*F15</f>
        <v>520.44999999999993</v>
      </c>
      <c r="F15" s="479">
        <v>0.35</v>
      </c>
    </row>
    <row r="16" spans="1:6">
      <c r="A16" s="7">
        <v>2012</v>
      </c>
      <c r="B16" s="10">
        <v>58.6</v>
      </c>
      <c r="C16" s="169">
        <v>142</v>
      </c>
      <c r="D16" s="9">
        <f t="shared" si="0"/>
        <v>10.548</v>
      </c>
      <c r="E16" s="169">
        <f t="shared" si="1"/>
        <v>25.56</v>
      </c>
      <c r="F16" s="479">
        <v>0.18</v>
      </c>
    </row>
    <row r="17" spans="1:6">
      <c r="A17" s="756">
        <v>2013</v>
      </c>
      <c r="B17" s="10"/>
      <c r="C17" s="169"/>
      <c r="D17" s="9"/>
      <c r="E17" s="169"/>
      <c r="F17" s="479">
        <v>0.26</v>
      </c>
    </row>
    <row r="18" spans="1:6">
      <c r="A18" s="840"/>
      <c r="B18" s="10"/>
      <c r="C18" s="169"/>
      <c r="D18" s="9"/>
      <c r="E18" s="169"/>
      <c r="F18" s="479">
        <v>0.26</v>
      </c>
    </row>
    <row r="19" spans="1:6">
      <c r="A19" s="7">
        <v>2014</v>
      </c>
      <c r="B19" s="10"/>
      <c r="C19" s="169"/>
      <c r="D19" s="10"/>
      <c r="E19" s="647"/>
      <c r="F19" s="479">
        <v>0.33</v>
      </c>
    </row>
    <row r="20" spans="1:6">
      <c r="A20" s="7">
        <v>2015</v>
      </c>
      <c r="B20" s="10"/>
      <c r="C20" s="169"/>
      <c r="D20" s="10"/>
      <c r="E20" s="647"/>
      <c r="F20" s="479">
        <v>0.45</v>
      </c>
    </row>
    <row r="21" spans="1:6">
      <c r="A21" s="7">
        <v>2016</v>
      </c>
      <c r="B21" s="10"/>
      <c r="C21" s="169"/>
      <c r="D21" s="10"/>
      <c r="E21" s="647"/>
      <c r="F21" s="479">
        <v>0.45</v>
      </c>
    </row>
    <row r="22" spans="1:6">
      <c r="A22" s="7">
        <v>2017</v>
      </c>
      <c r="B22" s="10"/>
      <c r="C22" s="9"/>
      <c r="D22" s="10"/>
      <c r="E22" s="647"/>
      <c r="F22" s="479">
        <v>0.45</v>
      </c>
    </row>
    <row r="23" spans="1:6">
      <c r="A23" s="7">
        <v>2018</v>
      </c>
      <c r="B23" s="10"/>
      <c r="C23" s="9"/>
      <c r="D23" s="10"/>
      <c r="E23" s="647"/>
      <c r="F23" s="479">
        <v>0.45</v>
      </c>
    </row>
    <row r="24" spans="1:6">
      <c r="A24" s="7">
        <v>2019</v>
      </c>
      <c r="B24" s="10"/>
      <c r="C24" s="9"/>
      <c r="D24" s="10"/>
      <c r="E24" s="647"/>
      <c r="F24" s="479">
        <v>0.36</v>
      </c>
    </row>
    <row r="25" spans="1:6">
      <c r="A25" s="7">
        <v>2020</v>
      </c>
      <c r="B25" s="10"/>
      <c r="C25" s="9"/>
      <c r="D25" s="10"/>
      <c r="E25" s="647"/>
      <c r="F25" s="479">
        <v>0.44</v>
      </c>
    </row>
    <row r="26" spans="1:6">
      <c r="A26" s="7">
        <v>2021</v>
      </c>
      <c r="B26" s="10"/>
      <c r="C26" s="9"/>
      <c r="D26" s="10"/>
      <c r="E26" s="647"/>
      <c r="F26" s="479">
        <v>0.44</v>
      </c>
    </row>
    <row r="27" spans="1:6">
      <c r="A27" s="7">
        <v>2022</v>
      </c>
      <c r="B27" s="10"/>
      <c r="C27" s="9"/>
      <c r="D27" s="10"/>
      <c r="E27" s="647"/>
    </row>
    <row r="28" spans="1:6">
      <c r="A28" s="7">
        <v>2023</v>
      </c>
      <c r="B28" s="10"/>
      <c r="C28" s="9"/>
      <c r="D28" s="10"/>
      <c r="E28" s="647"/>
    </row>
    <row r="29" spans="1:6">
      <c r="A29" s="7">
        <v>2024</v>
      </c>
      <c r="B29" s="10"/>
      <c r="C29" s="9"/>
      <c r="D29" s="10"/>
      <c r="E29" s="647"/>
    </row>
    <row r="30" spans="1:6">
      <c r="A30" s="649"/>
      <c r="B30" s="657">
        <f>SUM(B2:B29)</f>
        <v>939.39</v>
      </c>
      <c r="C30" s="658">
        <f>SUM(C2:C29)</f>
        <v>2596</v>
      </c>
      <c r="D30" s="657">
        <f t="shared" ref="D30" si="2">SUM(D2:D29)</f>
        <v>344.82549999999998</v>
      </c>
      <c r="E30" s="658">
        <f>SUM(E2:E29)</f>
        <v>959.65999999999985</v>
      </c>
    </row>
    <row r="31" spans="1:6">
      <c r="B31" s="11"/>
    </row>
    <row r="32" spans="1:6">
      <c r="B32" s="11"/>
      <c r="C32" s="245" t="s">
        <v>389</v>
      </c>
      <c r="E32" s="651">
        <v>46062</v>
      </c>
    </row>
    <row r="33" spans="1:7">
      <c r="B33" s="11"/>
    </row>
    <row r="34" spans="1:7" ht="15.75">
      <c r="A34" s="28" t="s">
        <v>590</v>
      </c>
      <c r="B34" s="21"/>
      <c r="C34" s="21"/>
      <c r="D34" s="21"/>
      <c r="E34" s="21"/>
    </row>
    <row r="39" spans="1:7">
      <c r="A39" s="8">
        <v>9174</v>
      </c>
      <c r="B39" s="8" t="s">
        <v>594</v>
      </c>
      <c r="C39" s="8">
        <v>7109.38</v>
      </c>
      <c r="D39" s="8" t="s">
        <v>614</v>
      </c>
      <c r="E39" s="8" t="s">
        <v>615</v>
      </c>
      <c r="G39" s="8" t="s">
        <v>616</v>
      </c>
    </row>
    <row r="42" spans="1:7">
      <c r="D42" s="129" t="s">
        <v>623</v>
      </c>
      <c r="E42" s="14"/>
    </row>
  </sheetData>
  <mergeCells count="1">
    <mergeCell ref="A17:A1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C37"/>
  <sheetViews>
    <sheetView workbookViewId="0">
      <pane ySplit="1" topLeftCell="A2" activePane="bottomLeft" state="frozen"/>
      <selection pane="bottomLeft" activeCell="O19" sqref="O19"/>
    </sheetView>
  </sheetViews>
  <sheetFormatPr defaultRowHeight="11.25"/>
  <cols>
    <col min="1" max="1" width="3.44140625" style="225" bestFit="1" customWidth="1"/>
    <col min="2" max="2" width="5" style="225" bestFit="1" customWidth="1"/>
    <col min="3" max="4" width="6.33203125" style="225" bestFit="1" customWidth="1"/>
    <col min="5" max="5" width="6.21875" style="225" customWidth="1"/>
    <col min="6" max="6" width="6.33203125" style="225" bestFit="1" customWidth="1"/>
    <col min="7" max="9" width="2.6640625" style="225" bestFit="1" customWidth="1"/>
    <col min="10" max="10" width="5.6640625" style="225" bestFit="1" customWidth="1"/>
    <col min="11" max="11" width="3.33203125" style="225" bestFit="1" customWidth="1"/>
    <col min="12" max="12" width="5" style="225" bestFit="1" customWidth="1"/>
    <col min="13" max="13" width="4.109375" style="225" bestFit="1" customWidth="1"/>
    <col min="14" max="14" width="6.33203125" style="225" bestFit="1" customWidth="1"/>
    <col min="15" max="15" width="7.77734375" style="225" bestFit="1" customWidth="1"/>
    <col min="16" max="16" width="4.88671875" style="225" customWidth="1"/>
    <col min="17" max="17" width="4" style="225" bestFit="1" customWidth="1"/>
    <col min="18" max="18" width="5.6640625" style="225" bestFit="1" customWidth="1"/>
    <col min="19" max="19" width="6.33203125" style="225" bestFit="1" customWidth="1"/>
    <col min="20" max="20" width="1.44140625" style="225" bestFit="1" customWidth="1"/>
    <col min="21" max="21" width="4.6640625" style="225" bestFit="1" customWidth="1"/>
    <col min="22" max="24" width="1.44140625" style="225" bestFit="1" customWidth="1"/>
    <col min="25" max="25" width="4.6640625" style="225" bestFit="1" customWidth="1"/>
    <col min="26" max="28" width="2.109375" style="225" bestFit="1" customWidth="1"/>
    <col min="29" max="29" width="5.6640625" style="225" bestFit="1" customWidth="1"/>
    <col min="30" max="16384" width="8.88671875" style="225"/>
  </cols>
  <sheetData>
    <row r="1" spans="1:29" ht="12" thickBot="1">
      <c r="A1" s="353"/>
      <c r="B1" s="17" t="s">
        <v>18</v>
      </c>
      <c r="C1" s="18" t="s">
        <v>19</v>
      </c>
      <c r="D1" s="17" t="s">
        <v>20</v>
      </c>
      <c r="E1" s="19" t="s">
        <v>21</v>
      </c>
      <c r="F1" s="17" t="s">
        <v>2</v>
      </c>
      <c r="G1" s="18" t="s">
        <v>22</v>
      </c>
      <c r="H1" s="17" t="s">
        <v>23</v>
      </c>
      <c r="I1" s="19" t="s">
        <v>24</v>
      </c>
      <c r="J1" s="17" t="s">
        <v>25</v>
      </c>
      <c r="K1" s="18" t="s">
        <v>26</v>
      </c>
      <c r="L1" s="17" t="s">
        <v>27</v>
      </c>
      <c r="M1" s="19" t="s">
        <v>28</v>
      </c>
      <c r="N1" s="16" t="s">
        <v>16</v>
      </c>
      <c r="O1" s="35" t="s">
        <v>54</v>
      </c>
      <c r="Q1" s="225">
        <v>1</v>
      </c>
      <c r="R1" s="225">
        <v>2</v>
      </c>
      <c r="S1" s="225">
        <v>3</v>
      </c>
      <c r="T1" s="225">
        <v>4</v>
      </c>
      <c r="U1" s="225">
        <v>5</v>
      </c>
      <c r="V1" s="225">
        <v>6</v>
      </c>
      <c r="W1" s="225">
        <v>7</v>
      </c>
      <c r="X1" s="225">
        <v>8</v>
      </c>
      <c r="Y1" s="225">
        <v>9</v>
      </c>
      <c r="Z1" s="225">
        <v>10</v>
      </c>
      <c r="AA1" s="225">
        <v>11</v>
      </c>
      <c r="AB1" s="225">
        <v>12</v>
      </c>
      <c r="AC1" s="225" t="s">
        <v>35</v>
      </c>
    </row>
    <row r="2" spans="1:29">
      <c r="A2" s="229">
        <v>1998</v>
      </c>
      <c r="B2" s="230"/>
      <c r="C2" s="230"/>
      <c r="D2" s="230"/>
      <c r="E2" s="230"/>
      <c r="F2" s="230"/>
      <c r="G2" s="230"/>
      <c r="H2" s="230"/>
      <c r="I2" s="231"/>
      <c r="J2" s="231"/>
      <c r="K2" s="231"/>
      <c r="L2" s="231"/>
      <c r="M2" s="231"/>
      <c r="N2" s="231">
        <f t="shared" ref="N2:N17" si="0">SUM(B2:M2)</f>
        <v>0</v>
      </c>
      <c r="O2" s="494">
        <f>AC2</f>
        <v>0</v>
      </c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>
        <f>SUM(Q2:AB2)</f>
        <v>0</v>
      </c>
    </row>
    <row r="3" spans="1:29">
      <c r="A3" s="226">
        <v>1999</v>
      </c>
      <c r="B3" s="232">
        <v>3.17</v>
      </c>
      <c r="C3" s="232"/>
      <c r="D3" s="232">
        <v>296.63</v>
      </c>
      <c r="E3" s="232"/>
      <c r="F3" s="232">
        <v>32.85</v>
      </c>
      <c r="G3" s="232"/>
      <c r="H3" s="232"/>
      <c r="I3" s="232"/>
      <c r="J3" s="232">
        <v>15.51</v>
      </c>
      <c r="K3" s="232"/>
      <c r="L3" s="232"/>
      <c r="M3" s="232"/>
      <c r="N3" s="231">
        <f t="shared" si="0"/>
        <v>348.16</v>
      </c>
      <c r="O3" s="494">
        <f t="shared" ref="O3:O17" si="1">AC3</f>
        <v>9239</v>
      </c>
      <c r="Q3" s="237">
        <v>88</v>
      </c>
      <c r="R3" s="237"/>
      <c r="S3" s="237">
        <v>7929</v>
      </c>
      <c r="T3" s="237"/>
      <c r="U3" s="237">
        <v>848</v>
      </c>
      <c r="V3" s="237"/>
      <c r="W3" s="237"/>
      <c r="X3" s="237"/>
      <c r="Y3" s="237">
        <v>374</v>
      </c>
      <c r="Z3" s="237"/>
      <c r="AA3" s="237"/>
      <c r="AB3" s="237"/>
      <c r="AC3" s="237">
        <f t="shared" ref="AC3:AC17" si="2">SUM(Q3:AB3)</f>
        <v>9239</v>
      </c>
    </row>
    <row r="4" spans="1:29">
      <c r="A4" s="226">
        <v>2000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1">
        <f t="shared" si="0"/>
        <v>0</v>
      </c>
      <c r="O4" s="494">
        <f t="shared" si="1"/>
        <v>0</v>
      </c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>
        <f t="shared" si="2"/>
        <v>0</v>
      </c>
    </row>
    <row r="5" spans="1:29">
      <c r="A5" s="226">
        <v>2001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1">
        <f t="shared" si="0"/>
        <v>0</v>
      </c>
      <c r="O5" s="494">
        <f t="shared" si="1"/>
        <v>0</v>
      </c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>
        <f t="shared" si="2"/>
        <v>0</v>
      </c>
    </row>
    <row r="6" spans="1:29">
      <c r="A6" s="226">
        <v>2002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1">
        <f t="shared" si="0"/>
        <v>0</v>
      </c>
      <c r="O6" s="494">
        <f t="shared" si="1"/>
        <v>0</v>
      </c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>
        <f t="shared" si="2"/>
        <v>0</v>
      </c>
    </row>
    <row r="7" spans="1:29">
      <c r="A7" s="226">
        <v>2003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2"/>
      <c r="M7" s="232"/>
      <c r="N7" s="231">
        <f t="shared" si="0"/>
        <v>0</v>
      </c>
      <c r="O7" s="494">
        <f t="shared" si="1"/>
        <v>0</v>
      </c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>
        <f t="shared" si="2"/>
        <v>0</v>
      </c>
    </row>
    <row r="8" spans="1:29">
      <c r="A8" s="226">
        <v>2004</v>
      </c>
      <c r="B8" s="233"/>
      <c r="C8" s="233">
        <v>115.4</v>
      </c>
      <c r="D8" s="233"/>
      <c r="E8" s="233"/>
      <c r="F8" s="233">
        <v>52.1</v>
      </c>
      <c r="G8" s="233"/>
      <c r="H8" s="233"/>
      <c r="I8" s="233"/>
      <c r="J8" s="233"/>
      <c r="K8" s="233"/>
      <c r="L8" s="232"/>
      <c r="M8" s="232"/>
      <c r="N8" s="231">
        <f t="shared" si="0"/>
        <v>167.5</v>
      </c>
      <c r="O8" s="494">
        <f t="shared" si="1"/>
        <v>2283</v>
      </c>
      <c r="Q8" s="237"/>
      <c r="R8" s="237">
        <v>1585</v>
      </c>
      <c r="S8" s="237"/>
      <c r="T8" s="237"/>
      <c r="U8" s="237">
        <v>698</v>
      </c>
      <c r="V8" s="237"/>
      <c r="W8" s="237"/>
      <c r="X8" s="237"/>
      <c r="Y8" s="237"/>
      <c r="Z8" s="237"/>
      <c r="AA8" s="237"/>
      <c r="AB8" s="237"/>
      <c r="AC8" s="237">
        <f t="shared" si="2"/>
        <v>2283</v>
      </c>
    </row>
    <row r="9" spans="1:29">
      <c r="A9" s="226">
        <v>2005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1">
        <f t="shared" si="0"/>
        <v>0</v>
      </c>
      <c r="O9" s="494">
        <f t="shared" si="1"/>
        <v>0</v>
      </c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>
        <f t="shared" si="2"/>
        <v>0</v>
      </c>
    </row>
    <row r="10" spans="1:29">
      <c r="A10" s="226">
        <v>2006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234">
        <f t="shared" si="0"/>
        <v>0</v>
      </c>
      <c r="O10" s="494">
        <f t="shared" si="1"/>
        <v>0</v>
      </c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>
        <f t="shared" si="2"/>
        <v>0</v>
      </c>
    </row>
    <row r="11" spans="1:29">
      <c r="A11" s="226">
        <v>2007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234">
        <f t="shared" si="0"/>
        <v>0</v>
      </c>
      <c r="O11" s="494">
        <f t="shared" si="1"/>
        <v>0</v>
      </c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>
        <f t="shared" si="2"/>
        <v>0</v>
      </c>
    </row>
    <row r="12" spans="1:29">
      <c r="A12" s="226">
        <v>2008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234">
        <f t="shared" si="0"/>
        <v>0</v>
      </c>
      <c r="O12" s="494">
        <f t="shared" si="1"/>
        <v>0</v>
      </c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>
        <f t="shared" si="2"/>
        <v>0</v>
      </c>
    </row>
    <row r="13" spans="1:29">
      <c r="A13" s="226">
        <v>2009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234">
        <f t="shared" si="0"/>
        <v>0</v>
      </c>
      <c r="O13" s="494">
        <f t="shared" si="1"/>
        <v>0</v>
      </c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>
        <f t="shared" si="2"/>
        <v>0</v>
      </c>
    </row>
    <row r="14" spans="1:29">
      <c r="A14" s="226">
        <v>2010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234">
        <f t="shared" si="0"/>
        <v>0</v>
      </c>
      <c r="O14" s="494">
        <f t="shared" si="1"/>
        <v>0</v>
      </c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>
        <f t="shared" si="2"/>
        <v>0</v>
      </c>
    </row>
    <row r="15" spans="1:29">
      <c r="A15" s="226">
        <v>2011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234">
        <f t="shared" si="0"/>
        <v>0</v>
      </c>
      <c r="O15" s="494">
        <f t="shared" si="1"/>
        <v>0</v>
      </c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>
        <f t="shared" si="2"/>
        <v>0</v>
      </c>
    </row>
    <row r="16" spans="1:29">
      <c r="A16" s="226">
        <v>2012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234">
        <f t="shared" si="0"/>
        <v>0</v>
      </c>
      <c r="O16" s="494">
        <f t="shared" si="1"/>
        <v>0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>
        <f t="shared" si="2"/>
        <v>0</v>
      </c>
    </row>
    <row r="17" spans="1:29">
      <c r="A17" s="226">
        <v>2013</v>
      </c>
      <c r="B17" s="47"/>
      <c r="C17" s="47"/>
      <c r="D17" s="47"/>
      <c r="E17" s="47"/>
      <c r="F17" s="47"/>
      <c r="G17" s="236"/>
      <c r="H17" s="236"/>
      <c r="I17" s="236"/>
      <c r="J17" s="236"/>
      <c r="K17" s="236"/>
      <c r="L17" s="236"/>
      <c r="M17" s="236"/>
      <c r="N17" s="234">
        <f t="shared" si="0"/>
        <v>0</v>
      </c>
      <c r="O17" s="494">
        <f t="shared" si="1"/>
        <v>0</v>
      </c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>
        <f t="shared" si="2"/>
        <v>0</v>
      </c>
    </row>
    <row r="18" spans="1:29"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2">
        <f>SUM(N2:N17)</f>
        <v>515.66000000000008</v>
      </c>
      <c r="O18" s="240">
        <f>SUM(O2:O17)</f>
        <v>11522</v>
      </c>
    </row>
    <row r="19" spans="1:29">
      <c r="N19" s="228"/>
      <c r="O19" s="245" t="s">
        <v>389</v>
      </c>
      <c r="P19" s="245"/>
      <c r="Q19" s="111"/>
      <c r="R19" s="111"/>
    </row>
    <row r="20" spans="1:29" ht="15.75" customHeight="1">
      <c r="A20" s="799" t="s">
        <v>60</v>
      </c>
      <c r="B20" s="799"/>
      <c r="C20" s="799"/>
      <c r="D20" s="799"/>
      <c r="E20" s="799"/>
      <c r="F20" s="799"/>
      <c r="G20" s="799"/>
      <c r="H20" s="799"/>
      <c r="I20" s="799"/>
      <c r="J20" s="799"/>
      <c r="K20" s="799"/>
      <c r="L20" s="799"/>
      <c r="M20" s="799"/>
      <c r="N20" s="799"/>
      <c r="O20" s="111">
        <v>46062</v>
      </c>
    </row>
    <row r="22" spans="1:29">
      <c r="B22" s="264"/>
      <c r="C22" s="264"/>
      <c r="D22" s="264"/>
      <c r="E22" s="264"/>
    </row>
    <row r="23" spans="1:29" ht="12" thickBot="1">
      <c r="A23" s="645">
        <v>1999</v>
      </c>
      <c r="B23" s="365" t="s">
        <v>353</v>
      </c>
      <c r="C23" s="373">
        <v>252</v>
      </c>
      <c r="D23" s="366">
        <v>1080</v>
      </c>
      <c r="E23" s="367">
        <f t="shared" ref="E23:E30" si="3">D23/340.75</f>
        <v>3.1694790902421128</v>
      </c>
      <c r="F23" s="362"/>
    </row>
    <row r="24" spans="1:29">
      <c r="A24" s="645"/>
      <c r="B24" s="362" t="s">
        <v>354</v>
      </c>
      <c r="C24" s="362">
        <v>298</v>
      </c>
      <c r="D24" s="372">
        <v>18569</v>
      </c>
      <c r="E24" s="156">
        <f t="shared" si="3"/>
        <v>54.494497432134999</v>
      </c>
      <c r="F24" s="362"/>
    </row>
    <row r="25" spans="1:29">
      <c r="A25" s="645"/>
      <c r="B25" s="362" t="s">
        <v>355</v>
      </c>
      <c r="C25" s="362">
        <v>299</v>
      </c>
      <c r="D25" s="372">
        <v>41184</v>
      </c>
      <c r="E25" s="156">
        <f t="shared" si="3"/>
        <v>120.86280264123258</v>
      </c>
      <c r="F25" s="362"/>
    </row>
    <row r="26" spans="1:29" ht="12" thickBot="1">
      <c r="A26" s="645"/>
      <c r="B26" s="365" t="s">
        <v>355</v>
      </c>
      <c r="C26" s="373">
        <v>327</v>
      </c>
      <c r="D26" s="366">
        <v>41323</v>
      </c>
      <c r="E26" s="374">
        <f t="shared" si="3"/>
        <v>121.27072633895818</v>
      </c>
      <c r="F26" s="269">
        <f>SUM(E24:E26)</f>
        <v>296.62802641232577</v>
      </c>
    </row>
    <row r="27" spans="1:29">
      <c r="A27" s="645"/>
      <c r="B27" s="362" t="s">
        <v>352</v>
      </c>
      <c r="C27" s="362">
        <v>381</v>
      </c>
      <c r="D27" s="372">
        <v>1545</v>
      </c>
      <c r="E27" s="156">
        <f t="shared" si="3"/>
        <v>4.5341159207630231</v>
      </c>
      <c r="F27" s="362"/>
    </row>
    <row r="28" spans="1:29">
      <c r="A28" s="645"/>
      <c r="B28" s="362" t="s">
        <v>352</v>
      </c>
      <c r="C28" s="362">
        <v>382</v>
      </c>
      <c r="D28" s="372">
        <v>7728</v>
      </c>
      <c r="E28" s="156">
        <f t="shared" si="3"/>
        <v>22.679383712399119</v>
      </c>
      <c r="F28" s="362"/>
    </row>
    <row r="29" spans="1:29" ht="12" thickBot="1">
      <c r="A29" s="645"/>
      <c r="B29" s="365" t="s">
        <v>352</v>
      </c>
      <c r="C29" s="373">
        <v>412</v>
      </c>
      <c r="D29" s="366">
        <v>1922</v>
      </c>
      <c r="E29" s="374">
        <f t="shared" si="3"/>
        <v>5.6404988994864267</v>
      </c>
      <c r="F29" s="269">
        <f>SUM(E27:E29)</f>
        <v>32.853998532648568</v>
      </c>
    </row>
    <row r="30" spans="1:29" ht="12" thickBot="1">
      <c r="A30" s="645"/>
      <c r="B30" s="365" t="s">
        <v>360</v>
      </c>
      <c r="C30" s="369">
        <v>634</v>
      </c>
      <c r="D30" s="370">
        <v>5284</v>
      </c>
      <c r="E30" s="371">
        <f t="shared" si="3"/>
        <v>15.50696991929567</v>
      </c>
    </row>
    <row r="31" spans="1:29">
      <c r="A31" s="362"/>
      <c r="B31" s="362"/>
      <c r="C31" s="362"/>
      <c r="D31" s="362"/>
      <c r="E31" s="362"/>
      <c r="F31" s="362"/>
    </row>
    <row r="32" spans="1:29">
      <c r="A32" s="644">
        <v>2004</v>
      </c>
      <c r="B32" s="643" t="s">
        <v>551</v>
      </c>
      <c r="C32" s="643">
        <v>3681</v>
      </c>
      <c r="D32" s="643"/>
      <c r="E32" s="643">
        <v>76.790000000000006</v>
      </c>
      <c r="F32" s="362"/>
    </row>
    <row r="33" spans="1:6" ht="12" thickBot="1">
      <c r="A33" s="644"/>
      <c r="B33" s="379" t="s">
        <v>552</v>
      </c>
      <c r="C33" s="379">
        <v>3682</v>
      </c>
      <c r="D33" s="379"/>
      <c r="E33" s="379">
        <v>38.61</v>
      </c>
      <c r="F33" s="367">
        <f>E32+E33</f>
        <v>115.4</v>
      </c>
    </row>
    <row r="34" spans="1:6" ht="12" thickBot="1">
      <c r="A34" s="644"/>
      <c r="B34" s="646" t="s">
        <v>553</v>
      </c>
      <c r="C34" s="646">
        <v>3876</v>
      </c>
      <c r="D34" s="646"/>
      <c r="E34" s="313">
        <v>52.1</v>
      </c>
      <c r="F34" s="368"/>
    </row>
    <row r="35" spans="1:6">
      <c r="A35" s="362"/>
      <c r="B35" s="362"/>
      <c r="C35" s="362"/>
      <c r="D35" s="362"/>
      <c r="E35" s="362"/>
      <c r="F35" s="362"/>
    </row>
    <row r="37" spans="1:6">
      <c r="E37" s="361" t="s">
        <v>204</v>
      </c>
      <c r="F37" s="362"/>
    </row>
  </sheetData>
  <mergeCells count="1">
    <mergeCell ref="A20:N20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33"/>
  <sheetViews>
    <sheetView workbookViewId="0">
      <selection activeCell="O21" sqref="O21"/>
    </sheetView>
  </sheetViews>
  <sheetFormatPr defaultRowHeight="11.25"/>
  <cols>
    <col min="1" max="1" width="3.44140625" style="225" bestFit="1" customWidth="1"/>
    <col min="2" max="2" width="5" style="225" bestFit="1" customWidth="1"/>
    <col min="3" max="3" width="6.88671875" style="225" customWidth="1"/>
    <col min="4" max="4" width="6.33203125" style="225" bestFit="1" customWidth="1"/>
    <col min="5" max="5" width="7.33203125" style="225" customWidth="1"/>
    <col min="6" max="6" width="6.33203125" style="225" bestFit="1" customWidth="1"/>
    <col min="7" max="7" width="5.6640625" style="225" bestFit="1" customWidth="1"/>
    <col min="8" max="8" width="4.6640625" style="225" bestFit="1" customWidth="1"/>
    <col min="9" max="10" width="6.33203125" style="225" bestFit="1" customWidth="1"/>
    <col min="11" max="11" width="4.6640625" style="225" bestFit="1" customWidth="1"/>
    <col min="12" max="14" width="6.33203125" style="225" bestFit="1" customWidth="1"/>
    <col min="15" max="15" width="6.5546875" style="225" bestFit="1" customWidth="1"/>
    <col min="16" max="16" width="7.6640625" style="225" bestFit="1" customWidth="1"/>
    <col min="17" max="17" width="6.5546875" style="225" bestFit="1" customWidth="1"/>
    <col min="18" max="18" width="4.6640625" style="225" customWidth="1"/>
    <col min="19" max="19" width="5.5546875" style="225" bestFit="1" customWidth="1"/>
    <col min="20" max="20" width="8" style="225" bestFit="1" customWidth="1"/>
    <col min="21" max="22" width="6.5546875" style="225" bestFit="1" customWidth="1"/>
    <col min="23" max="23" width="5.6640625" style="225" bestFit="1" customWidth="1"/>
    <col min="24" max="24" width="4.6640625" style="225" bestFit="1" customWidth="1"/>
    <col min="25" max="25" width="3.77734375" style="225" customWidth="1"/>
    <col min="26" max="26" width="8.88671875" style="225"/>
    <col min="27" max="27" width="4.44140625" style="225" customWidth="1"/>
    <col min="28" max="28" width="9.33203125" style="225" bestFit="1" customWidth="1"/>
    <col min="29" max="16384" width="8.88671875" style="225"/>
  </cols>
  <sheetData>
    <row r="1" spans="1:28" ht="12" thickBot="1">
      <c r="A1" s="353"/>
      <c r="B1" s="17" t="s">
        <v>18</v>
      </c>
      <c r="C1" s="18" t="s">
        <v>19</v>
      </c>
      <c r="D1" s="17" t="s">
        <v>20</v>
      </c>
      <c r="E1" s="19" t="s">
        <v>21</v>
      </c>
      <c r="F1" s="17" t="s">
        <v>2</v>
      </c>
      <c r="G1" s="18" t="s">
        <v>22</v>
      </c>
      <c r="H1" s="17" t="s">
        <v>23</v>
      </c>
      <c r="I1" s="19" t="s">
        <v>24</v>
      </c>
      <c r="J1" s="17" t="s">
        <v>25</v>
      </c>
      <c r="K1" s="18" t="s">
        <v>26</v>
      </c>
      <c r="L1" s="17" t="s">
        <v>27</v>
      </c>
      <c r="M1" s="19" t="s">
        <v>28</v>
      </c>
      <c r="N1" s="16" t="s">
        <v>16</v>
      </c>
      <c r="O1" s="35" t="s">
        <v>54</v>
      </c>
      <c r="P1" s="16" t="s">
        <v>206</v>
      </c>
      <c r="Q1" s="35" t="s">
        <v>54</v>
      </c>
    </row>
    <row r="2" spans="1:28">
      <c r="A2" s="229">
        <v>1998</v>
      </c>
      <c r="B2" s="230"/>
      <c r="C2" s="230"/>
      <c r="D2" s="230"/>
      <c r="E2" s="230"/>
      <c r="F2" s="230"/>
      <c r="G2" s="230"/>
      <c r="H2" s="230"/>
      <c r="I2" s="231"/>
      <c r="J2" s="231"/>
      <c r="K2" s="231"/>
      <c r="L2" s="231">
        <v>3.17</v>
      </c>
      <c r="M2" s="231"/>
      <c r="N2" s="231">
        <f t="shared" ref="N2:N17" si="0">SUM(B2:M2)</f>
        <v>3.17</v>
      </c>
      <c r="O2" s="243">
        <v>91</v>
      </c>
      <c r="P2" s="231">
        <f>N2*R2</f>
        <v>0.95099999999999996</v>
      </c>
      <c r="Q2" s="243">
        <f>O2*R2</f>
        <v>27.3</v>
      </c>
      <c r="R2" s="622">
        <v>0.3</v>
      </c>
    </row>
    <row r="3" spans="1:28">
      <c r="A3" s="226">
        <v>1999</v>
      </c>
      <c r="B3" s="232"/>
      <c r="C3" s="232"/>
      <c r="D3" s="232"/>
      <c r="E3" s="232">
        <v>30.22</v>
      </c>
      <c r="F3" s="232">
        <v>37.450000000000003</v>
      </c>
      <c r="G3" s="232"/>
      <c r="H3" s="232"/>
      <c r="I3" s="232"/>
      <c r="J3" s="232"/>
      <c r="K3" s="232"/>
      <c r="L3" s="232"/>
      <c r="M3" s="232"/>
      <c r="N3" s="231">
        <f t="shared" si="0"/>
        <v>67.67</v>
      </c>
      <c r="O3" s="243">
        <f>W3</f>
        <v>1761</v>
      </c>
      <c r="P3" s="231">
        <f>N3*R3</f>
        <v>27.068000000000001</v>
      </c>
      <c r="Q3" s="243">
        <f>O3*R3</f>
        <v>704.40000000000009</v>
      </c>
      <c r="R3" s="622">
        <v>0.4</v>
      </c>
      <c r="S3" s="237">
        <v>794</v>
      </c>
      <c r="T3" s="237">
        <v>967</v>
      </c>
      <c r="U3" s="237"/>
      <c r="V3" s="284"/>
      <c r="W3" s="316">
        <f>SUM(S3:V3)</f>
        <v>1761</v>
      </c>
    </row>
    <row r="4" spans="1:28">
      <c r="A4" s="226">
        <v>2000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1">
        <f t="shared" si="0"/>
        <v>0</v>
      </c>
      <c r="O4" s="243"/>
      <c r="P4" s="231"/>
      <c r="Q4" s="243"/>
      <c r="S4" s="235"/>
    </row>
    <row r="5" spans="1:28">
      <c r="A5" s="226">
        <v>2001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1">
        <f t="shared" si="0"/>
        <v>0</v>
      </c>
      <c r="O5" s="243"/>
      <c r="P5" s="231"/>
      <c r="Q5" s="243"/>
      <c r="S5" s="235"/>
    </row>
    <row r="6" spans="1:28">
      <c r="A6" s="226">
        <v>2002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1">
        <f t="shared" si="0"/>
        <v>0</v>
      </c>
      <c r="O6" s="243"/>
      <c r="P6" s="231"/>
      <c r="Q6" s="243"/>
      <c r="S6" s="235"/>
    </row>
    <row r="7" spans="1:28">
      <c r="A7" s="226">
        <v>2003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2"/>
      <c r="M7" s="232"/>
      <c r="N7" s="231">
        <f t="shared" si="0"/>
        <v>0</v>
      </c>
      <c r="O7" s="243"/>
      <c r="P7" s="231"/>
      <c r="Q7" s="243"/>
      <c r="S7" s="235"/>
    </row>
    <row r="8" spans="1:28">
      <c r="A8" s="226">
        <v>2004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2"/>
      <c r="M8" s="232"/>
      <c r="N8" s="231">
        <f t="shared" si="0"/>
        <v>0</v>
      </c>
      <c r="O8" s="243"/>
      <c r="P8" s="231"/>
      <c r="Q8" s="243"/>
      <c r="U8" s="237"/>
      <c r="V8" s="485"/>
      <c r="W8" s="480"/>
      <c r="X8" s="482" t="s">
        <v>542</v>
      </c>
      <c r="Y8" s="480"/>
      <c r="Z8" s="480" t="s">
        <v>16</v>
      </c>
      <c r="AA8" s="480"/>
      <c r="AB8" s="480" t="s">
        <v>546</v>
      </c>
    </row>
    <row r="9" spans="1:28">
      <c r="A9" s="226">
        <v>2005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1">
        <f t="shared" si="0"/>
        <v>0</v>
      </c>
      <c r="O9" s="243"/>
      <c r="P9" s="231"/>
      <c r="Q9" s="243"/>
      <c r="U9" s="237"/>
      <c r="V9" s="481" t="s">
        <v>543</v>
      </c>
      <c r="W9" s="484">
        <v>5555</v>
      </c>
      <c r="X9" s="109">
        <v>22</v>
      </c>
      <c r="Y9" s="237"/>
      <c r="Z9" s="237">
        <f>W9*X9</f>
        <v>122210</v>
      </c>
      <c r="AB9" s="237">
        <f>O18*Z9/N18</f>
        <v>3194987.5776397516</v>
      </c>
    </row>
    <row r="10" spans="1:28">
      <c r="A10" s="226">
        <v>2006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1">
        <f t="shared" si="0"/>
        <v>0</v>
      </c>
      <c r="O10" s="243"/>
      <c r="P10" s="231"/>
      <c r="Q10" s="243"/>
      <c r="U10" s="237"/>
      <c r="V10" s="481" t="s">
        <v>544</v>
      </c>
      <c r="W10" s="109">
        <v>5555</v>
      </c>
      <c r="X10" s="109">
        <v>222</v>
      </c>
      <c r="Y10" s="237"/>
      <c r="Z10" s="237">
        <f>W10*X10</f>
        <v>1233210</v>
      </c>
      <c r="AA10" s="237"/>
      <c r="AB10" s="237">
        <f>Q18*Z10/P18</f>
        <v>32204566.793961238</v>
      </c>
    </row>
    <row r="11" spans="1:28">
      <c r="A11" s="226">
        <v>2007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234">
        <f t="shared" si="0"/>
        <v>0</v>
      </c>
      <c r="O11" s="357"/>
      <c r="P11" s="234"/>
      <c r="Q11" s="357"/>
      <c r="U11" s="237"/>
      <c r="V11" s="481" t="s">
        <v>545</v>
      </c>
      <c r="W11" s="109">
        <v>5555</v>
      </c>
      <c r="X11" s="109">
        <v>111</v>
      </c>
      <c r="Y11" s="237"/>
      <c r="Z11" s="237">
        <f>W11*X11</f>
        <v>616605</v>
      </c>
      <c r="AA11" s="237"/>
      <c r="AB11" s="237">
        <v>22222222</v>
      </c>
    </row>
    <row r="12" spans="1:28">
      <c r="A12" s="226">
        <v>2008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234">
        <f t="shared" si="0"/>
        <v>0</v>
      </c>
      <c r="O12" s="357"/>
      <c r="P12" s="234"/>
      <c r="Q12" s="357"/>
      <c r="U12" s="237"/>
      <c r="V12" s="235"/>
      <c r="W12" s="483"/>
      <c r="X12" s="237"/>
      <c r="Y12" s="237"/>
      <c r="Z12" s="237">
        <f t="shared" ref="Z12" si="1">SUM(Z9:Z11)</f>
        <v>1972025</v>
      </c>
      <c r="AA12" s="237"/>
      <c r="AB12" s="237">
        <f>SUM(AB9:AB11)</f>
        <v>57621776.371600993</v>
      </c>
    </row>
    <row r="13" spans="1:28">
      <c r="A13" s="226">
        <v>2009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234">
        <f t="shared" si="0"/>
        <v>0</v>
      </c>
      <c r="O13" s="357"/>
      <c r="P13" s="234"/>
      <c r="Q13" s="357"/>
    </row>
    <row r="14" spans="1:28">
      <c r="A14" s="226">
        <v>2010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234">
        <f t="shared" si="0"/>
        <v>0</v>
      </c>
      <c r="O14" s="357"/>
      <c r="P14" s="234"/>
      <c r="Q14" s="357"/>
    </row>
    <row r="15" spans="1:28">
      <c r="A15" s="226">
        <v>2011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234">
        <f t="shared" si="0"/>
        <v>0</v>
      </c>
      <c r="O15" s="357"/>
      <c r="P15" s="234"/>
      <c r="Q15" s="357"/>
    </row>
    <row r="16" spans="1:28">
      <c r="A16" s="226">
        <v>2012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234">
        <f t="shared" si="0"/>
        <v>0</v>
      </c>
      <c r="O16" s="357"/>
      <c r="P16" s="234"/>
      <c r="Q16" s="357"/>
    </row>
    <row r="17" spans="1:17">
      <c r="A17" s="226">
        <v>2013</v>
      </c>
      <c r="B17" s="47"/>
      <c r="C17" s="47"/>
      <c r="D17" s="47"/>
      <c r="E17" s="47"/>
      <c r="F17" s="47"/>
      <c r="G17" s="236"/>
      <c r="H17" s="236"/>
      <c r="I17" s="236"/>
      <c r="J17" s="236"/>
      <c r="K17" s="236"/>
      <c r="L17" s="236"/>
      <c r="M17" s="236"/>
      <c r="N17" s="234">
        <f t="shared" si="0"/>
        <v>0</v>
      </c>
      <c r="O17" s="357"/>
      <c r="P17" s="234"/>
      <c r="Q17" s="357"/>
    </row>
    <row r="18" spans="1:17"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2">
        <f>SUM(N2:N17)</f>
        <v>70.84</v>
      </c>
      <c r="O18" s="240">
        <f t="shared" ref="O18:Q18" si="2">SUM(O2:O17)</f>
        <v>1852</v>
      </c>
      <c r="P18" s="232">
        <f t="shared" si="2"/>
        <v>28.019000000000002</v>
      </c>
      <c r="Q18" s="240">
        <f t="shared" si="2"/>
        <v>731.7</v>
      </c>
    </row>
    <row r="19" spans="1:17">
      <c r="O19" s="251"/>
      <c r="P19" s="358" t="s">
        <v>207</v>
      </c>
      <c r="Q19" s="251"/>
    </row>
    <row r="20" spans="1:17">
      <c r="C20" s="359"/>
      <c r="D20" s="359"/>
      <c r="E20" s="359"/>
      <c r="L20" s="245"/>
      <c r="Q20" s="251"/>
    </row>
    <row r="21" spans="1:17">
      <c r="A21" s="799" t="s">
        <v>361</v>
      </c>
      <c r="B21" s="799"/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245" t="s">
        <v>389</v>
      </c>
      <c r="P21" s="360"/>
      <c r="Q21" s="360"/>
    </row>
    <row r="22" spans="1:17" s="362" customFormat="1">
      <c r="L22" s="363"/>
      <c r="O22" s="111">
        <v>46065</v>
      </c>
    </row>
    <row r="24" spans="1:17" ht="12" thickBot="1">
      <c r="A24" s="364">
        <v>1998</v>
      </c>
      <c r="B24" s="365" t="s">
        <v>362</v>
      </c>
      <c r="C24" s="365">
        <v>144</v>
      </c>
      <c r="D24" s="366">
        <v>1080</v>
      </c>
      <c r="E24" s="367">
        <f>D24/340.75</f>
        <v>3.1694790902421128</v>
      </c>
      <c r="F24" s="362"/>
    </row>
    <row r="25" spans="1:17" ht="12" thickBot="1">
      <c r="A25" s="771">
        <v>1999</v>
      </c>
      <c r="B25" s="368" t="s">
        <v>357</v>
      </c>
      <c r="C25" s="369">
        <v>359</v>
      </c>
      <c r="D25" s="370">
        <v>10296</v>
      </c>
      <c r="E25" s="371">
        <f t="shared" ref="E25:E29" si="3">D25/340.75</f>
        <v>30.215700660308144</v>
      </c>
      <c r="F25" s="362"/>
    </row>
    <row r="26" spans="1:17">
      <c r="A26" s="771"/>
      <c r="B26" s="362" t="s">
        <v>352</v>
      </c>
      <c r="C26" s="362">
        <v>381</v>
      </c>
      <c r="D26" s="372">
        <v>1545</v>
      </c>
      <c r="E26" s="156">
        <f t="shared" si="3"/>
        <v>4.5341159207630231</v>
      </c>
      <c r="F26" s="362"/>
    </row>
    <row r="27" spans="1:17">
      <c r="A27" s="771"/>
      <c r="B27" s="362" t="s">
        <v>352</v>
      </c>
      <c r="C27" s="362">
        <v>382</v>
      </c>
      <c r="D27" s="372">
        <v>7728</v>
      </c>
      <c r="E27" s="156">
        <f t="shared" si="3"/>
        <v>22.679383712399119</v>
      </c>
      <c r="F27" s="362"/>
    </row>
    <row r="28" spans="1:17">
      <c r="A28" s="771"/>
      <c r="B28" s="375" t="s">
        <v>352</v>
      </c>
      <c r="C28" s="376">
        <v>412</v>
      </c>
      <c r="D28" s="377">
        <v>1922</v>
      </c>
      <c r="E28" s="378">
        <f t="shared" si="3"/>
        <v>5.6404988994864267</v>
      </c>
      <c r="F28" s="362"/>
    </row>
    <row r="29" spans="1:17" ht="12" thickBot="1">
      <c r="A29" s="771"/>
      <c r="B29" s="365" t="s">
        <v>352</v>
      </c>
      <c r="C29" s="373">
        <v>415</v>
      </c>
      <c r="D29" s="366">
        <v>1565</v>
      </c>
      <c r="E29" s="374">
        <f t="shared" si="3"/>
        <v>4.5928099779897282</v>
      </c>
      <c r="F29" s="269">
        <f>SUM(E26:E29)</f>
        <v>37.446808510638299</v>
      </c>
    </row>
    <row r="30" spans="1:17">
      <c r="A30" s="362"/>
      <c r="B30" s="362"/>
      <c r="C30" s="362"/>
      <c r="D30" s="362"/>
      <c r="E30" s="362"/>
      <c r="F30" s="362"/>
    </row>
    <row r="31" spans="1:17">
      <c r="A31" s="362"/>
      <c r="B31" s="362"/>
      <c r="C31" s="362"/>
      <c r="D31" s="362"/>
      <c r="E31" s="362"/>
      <c r="F31" s="362"/>
    </row>
    <row r="32" spans="1:17">
      <c r="A32" s="362"/>
      <c r="B32" s="362"/>
      <c r="C32" s="362"/>
      <c r="D32" s="362"/>
      <c r="E32" s="362"/>
      <c r="F32" s="362"/>
    </row>
    <row r="33" spans="1:6">
      <c r="A33" s="362"/>
      <c r="B33" s="362"/>
      <c r="C33" s="362"/>
      <c r="D33" s="362"/>
      <c r="E33" s="361" t="s">
        <v>204</v>
      </c>
      <c r="F33" s="362"/>
    </row>
  </sheetData>
  <mergeCells count="2">
    <mergeCell ref="A21:N21"/>
    <mergeCell ref="A25:A2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F43"/>
  <sheetViews>
    <sheetView workbookViewId="0">
      <selection activeCell="R31" sqref="R31"/>
    </sheetView>
  </sheetViews>
  <sheetFormatPr defaultRowHeight="11.25"/>
  <cols>
    <col min="1" max="1" width="3.44140625" style="225" bestFit="1" customWidth="1"/>
    <col min="2" max="2" width="5" style="225" bestFit="1" customWidth="1"/>
    <col min="3" max="3" width="6.109375" style="225" customWidth="1"/>
    <col min="4" max="6" width="6.33203125" style="225" bestFit="1" customWidth="1"/>
    <col min="7" max="7" width="5.6640625" style="225" bestFit="1" customWidth="1"/>
    <col min="8" max="8" width="4.6640625" style="225" bestFit="1" customWidth="1"/>
    <col min="9" max="10" width="6.33203125" style="225" bestFit="1" customWidth="1"/>
    <col min="11" max="11" width="4.6640625" style="225" bestFit="1" customWidth="1"/>
    <col min="12" max="14" width="6.33203125" style="225" bestFit="1" customWidth="1"/>
    <col min="15" max="15" width="6.5546875" style="225" bestFit="1" customWidth="1"/>
    <col min="16" max="16" width="7.6640625" style="225" bestFit="1" customWidth="1"/>
    <col min="17" max="17" width="6.5546875" style="225" bestFit="1" customWidth="1"/>
    <col min="18" max="18" width="4.6640625" style="225" customWidth="1"/>
    <col min="19" max="19" width="4" style="225" bestFit="1" customWidth="1"/>
    <col min="20" max="20" width="5.6640625" style="225" bestFit="1" customWidth="1"/>
    <col min="21" max="22" width="4.6640625" style="225" bestFit="1" customWidth="1"/>
    <col min="23" max="25" width="2.77734375" style="225" bestFit="1" customWidth="1"/>
    <col min="26" max="26" width="8.88671875" style="225"/>
    <col min="27" max="27" width="5.6640625" style="225" bestFit="1" customWidth="1"/>
    <col min="28" max="28" width="4.6640625" style="225" bestFit="1" customWidth="1"/>
    <col min="29" max="29" width="4.44140625" style="225" customWidth="1"/>
    <col min="30" max="30" width="8.88671875" style="225"/>
    <col min="31" max="31" width="4.21875" style="225" customWidth="1"/>
    <col min="32" max="32" width="9.33203125" style="225" bestFit="1" customWidth="1"/>
    <col min="33" max="16384" width="8.88671875" style="225"/>
  </cols>
  <sheetData>
    <row r="1" spans="1:32" ht="12" thickBot="1">
      <c r="A1" s="353"/>
      <c r="B1" s="17" t="s">
        <v>18</v>
      </c>
      <c r="C1" s="18" t="s">
        <v>19</v>
      </c>
      <c r="D1" s="17" t="s">
        <v>20</v>
      </c>
      <c r="E1" s="19" t="s">
        <v>21</v>
      </c>
      <c r="F1" s="17" t="s">
        <v>2</v>
      </c>
      <c r="G1" s="18" t="s">
        <v>22</v>
      </c>
      <c r="H1" s="17" t="s">
        <v>23</v>
      </c>
      <c r="I1" s="19" t="s">
        <v>24</v>
      </c>
      <c r="J1" s="17" t="s">
        <v>25</v>
      </c>
      <c r="K1" s="18" t="s">
        <v>26</v>
      </c>
      <c r="L1" s="17" t="s">
        <v>27</v>
      </c>
      <c r="M1" s="19" t="s">
        <v>28</v>
      </c>
      <c r="N1" s="16" t="s">
        <v>16</v>
      </c>
      <c r="O1" s="35" t="s">
        <v>54</v>
      </c>
      <c r="P1" s="16" t="s">
        <v>206</v>
      </c>
      <c r="Q1" s="35" t="s">
        <v>54</v>
      </c>
    </row>
    <row r="2" spans="1:32">
      <c r="A2" s="229">
        <v>1998</v>
      </c>
      <c r="B2" s="230"/>
      <c r="C2" s="230"/>
      <c r="D2" s="230"/>
      <c r="E2" s="230"/>
      <c r="F2" s="230"/>
      <c r="G2" s="230"/>
      <c r="H2" s="230"/>
      <c r="I2" s="231"/>
      <c r="J2" s="231"/>
      <c r="K2" s="231"/>
      <c r="L2" s="231">
        <v>3.17</v>
      </c>
      <c r="M2" s="231"/>
      <c r="N2" s="231">
        <f t="shared" ref="N2:N17" si="0">SUM(B2:M2)</f>
        <v>3.17</v>
      </c>
      <c r="O2" s="243">
        <v>46</v>
      </c>
      <c r="P2" s="231">
        <f>N2*R2</f>
        <v>0.95099999999999996</v>
      </c>
      <c r="Q2" s="243">
        <f>O2*R2</f>
        <v>13.799999999999999</v>
      </c>
      <c r="R2" s="638">
        <v>0.3</v>
      </c>
    </row>
    <row r="3" spans="1:32">
      <c r="A3" s="226">
        <v>1999</v>
      </c>
      <c r="B3" s="232">
        <v>3.17</v>
      </c>
      <c r="C3" s="232"/>
      <c r="D3" s="232">
        <v>296.63</v>
      </c>
      <c r="E3" s="232">
        <v>30.22</v>
      </c>
      <c r="F3" s="232">
        <v>37.450000000000003</v>
      </c>
      <c r="G3" s="232">
        <v>4.01</v>
      </c>
      <c r="H3" s="232"/>
      <c r="I3" s="232">
        <v>4.99</v>
      </c>
      <c r="J3" s="232">
        <v>15.51</v>
      </c>
      <c r="K3" s="232"/>
      <c r="L3" s="232"/>
      <c r="M3" s="232"/>
      <c r="N3" s="231">
        <f t="shared" si="0"/>
        <v>391.97999999999996</v>
      </c>
      <c r="O3" s="243">
        <f>Z3</f>
        <v>5279</v>
      </c>
      <c r="P3" s="231">
        <f t="shared" ref="P3:P8" si="1">N3*R3</f>
        <v>156.792</v>
      </c>
      <c r="Q3" s="243">
        <f t="shared" ref="Q3:Q8" si="2">O3*R3</f>
        <v>2111.6</v>
      </c>
      <c r="R3" s="638">
        <v>0.4</v>
      </c>
      <c r="S3" s="237">
        <v>45</v>
      </c>
      <c r="T3" s="237">
        <v>4034</v>
      </c>
      <c r="U3" s="237">
        <v>404</v>
      </c>
      <c r="V3" s="284">
        <v>492</v>
      </c>
      <c r="W3" s="225">
        <v>52</v>
      </c>
      <c r="X3" s="225">
        <v>62</v>
      </c>
      <c r="Y3" s="225">
        <v>190</v>
      </c>
      <c r="Z3" s="634">
        <f>SUM(S3:Y3)</f>
        <v>5279</v>
      </c>
    </row>
    <row r="4" spans="1:32">
      <c r="A4" s="226">
        <v>2000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1">
        <f t="shared" si="0"/>
        <v>0</v>
      </c>
      <c r="O4" s="243">
        <f t="shared" ref="O4:O8" si="3">Z4</f>
        <v>0</v>
      </c>
      <c r="P4" s="231">
        <f t="shared" si="1"/>
        <v>0</v>
      </c>
      <c r="Q4" s="243">
        <f t="shared" si="2"/>
        <v>0</v>
      </c>
      <c r="R4" s="638">
        <v>0.45</v>
      </c>
      <c r="S4" s="235"/>
      <c r="Z4" s="634">
        <f t="shared" ref="Z4:Z8" si="4">SUM(S4:Y4)</f>
        <v>0</v>
      </c>
    </row>
    <row r="5" spans="1:32">
      <c r="A5" s="226">
        <v>2001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1">
        <f t="shared" si="0"/>
        <v>0</v>
      </c>
      <c r="O5" s="243">
        <f t="shared" si="3"/>
        <v>0</v>
      </c>
      <c r="P5" s="231">
        <f t="shared" si="1"/>
        <v>0</v>
      </c>
      <c r="Q5" s="243">
        <f t="shared" si="2"/>
        <v>0</v>
      </c>
      <c r="R5" s="638">
        <v>0.4</v>
      </c>
      <c r="S5" s="235"/>
      <c r="Z5" s="634">
        <f t="shared" si="4"/>
        <v>0</v>
      </c>
    </row>
    <row r="6" spans="1:32">
      <c r="A6" s="226">
        <v>2002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1">
        <f t="shared" si="0"/>
        <v>0</v>
      </c>
      <c r="O6" s="243">
        <f t="shared" si="3"/>
        <v>0</v>
      </c>
      <c r="P6" s="231">
        <f t="shared" si="1"/>
        <v>0</v>
      </c>
      <c r="Q6" s="243">
        <f t="shared" si="2"/>
        <v>0</v>
      </c>
      <c r="R6" s="638">
        <v>0.4</v>
      </c>
      <c r="S6" s="235"/>
      <c r="Z6" s="634">
        <f t="shared" si="4"/>
        <v>0</v>
      </c>
    </row>
    <row r="7" spans="1:32">
      <c r="A7" s="226">
        <v>2003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2"/>
      <c r="M7" s="232"/>
      <c r="N7" s="231">
        <f t="shared" si="0"/>
        <v>0</v>
      </c>
      <c r="O7" s="243">
        <f t="shared" si="3"/>
        <v>0</v>
      </c>
      <c r="P7" s="231">
        <f t="shared" si="1"/>
        <v>0</v>
      </c>
      <c r="Q7" s="243">
        <f t="shared" si="2"/>
        <v>0</v>
      </c>
      <c r="R7" s="638">
        <v>0.4</v>
      </c>
      <c r="S7" s="235"/>
      <c r="Z7" s="634">
        <f t="shared" si="4"/>
        <v>0</v>
      </c>
    </row>
    <row r="8" spans="1:32">
      <c r="A8" s="226">
        <v>2004</v>
      </c>
      <c r="B8" s="233"/>
      <c r="C8" s="233">
        <v>115.4</v>
      </c>
      <c r="D8" s="233"/>
      <c r="E8" s="233"/>
      <c r="F8" s="233">
        <v>52.1</v>
      </c>
      <c r="G8" s="233"/>
      <c r="H8" s="233"/>
      <c r="I8" s="233"/>
      <c r="J8" s="233"/>
      <c r="K8" s="233"/>
      <c r="L8" s="232"/>
      <c r="M8" s="232"/>
      <c r="N8" s="231">
        <f t="shared" si="0"/>
        <v>167.5</v>
      </c>
      <c r="O8" s="243">
        <f t="shared" si="3"/>
        <v>1151</v>
      </c>
      <c r="P8" s="231">
        <f t="shared" si="1"/>
        <v>67</v>
      </c>
      <c r="Q8" s="243">
        <f t="shared" si="2"/>
        <v>460.40000000000003</v>
      </c>
      <c r="R8" s="638">
        <v>0.4</v>
      </c>
      <c r="S8" s="225">
        <v>799</v>
      </c>
      <c r="T8" s="225">
        <v>352</v>
      </c>
      <c r="Z8" s="634">
        <f t="shared" si="4"/>
        <v>1151</v>
      </c>
    </row>
    <row r="9" spans="1:32">
      <c r="A9" s="226">
        <v>2005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1">
        <f t="shared" si="0"/>
        <v>0</v>
      </c>
      <c r="O9" s="243"/>
      <c r="P9" s="231"/>
      <c r="Q9" s="243"/>
      <c r="R9" s="638">
        <v>0.4</v>
      </c>
    </row>
    <row r="10" spans="1:32">
      <c r="A10" s="226">
        <v>2006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234">
        <f t="shared" si="0"/>
        <v>0</v>
      </c>
      <c r="O10" s="357"/>
      <c r="P10" s="234"/>
      <c r="Q10" s="357"/>
      <c r="R10" s="638">
        <v>0.4</v>
      </c>
    </row>
    <row r="11" spans="1:32">
      <c r="A11" s="226">
        <v>2007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234">
        <f t="shared" si="0"/>
        <v>0</v>
      </c>
      <c r="O11" s="357"/>
      <c r="P11" s="234"/>
      <c r="Q11" s="357"/>
      <c r="R11" s="638">
        <v>0.4</v>
      </c>
      <c r="Z11" s="485"/>
      <c r="AA11" s="480"/>
      <c r="AB11" s="482" t="s">
        <v>542</v>
      </c>
      <c r="AC11" s="480"/>
      <c r="AD11" s="480" t="s">
        <v>16</v>
      </c>
      <c r="AE11" s="480"/>
      <c r="AF11" s="480" t="s">
        <v>546</v>
      </c>
    </row>
    <row r="12" spans="1:32">
      <c r="A12" s="226">
        <v>2008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234">
        <f t="shared" si="0"/>
        <v>0</v>
      </c>
      <c r="O12" s="357"/>
      <c r="P12" s="234"/>
      <c r="Q12" s="357"/>
      <c r="R12" s="638">
        <v>0.4</v>
      </c>
      <c r="Z12" s="481" t="s">
        <v>543</v>
      </c>
      <c r="AA12" s="484">
        <v>5555</v>
      </c>
      <c r="AB12" s="109">
        <v>111</v>
      </c>
      <c r="AC12" s="237"/>
      <c r="AD12" s="237">
        <f>AA12*AB12</f>
        <v>616605</v>
      </c>
      <c r="AF12" s="237">
        <f>Q18*AD12/P18</f>
        <v>7094402.0903876871</v>
      </c>
    </row>
    <row r="13" spans="1:32">
      <c r="A13" s="226">
        <v>2009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234">
        <f t="shared" si="0"/>
        <v>0</v>
      </c>
      <c r="O13" s="357"/>
      <c r="P13" s="234"/>
      <c r="Q13" s="357"/>
      <c r="R13" s="638">
        <v>0.35</v>
      </c>
      <c r="Z13" s="481" t="s">
        <v>544</v>
      </c>
      <c r="AA13" s="109">
        <v>5555</v>
      </c>
      <c r="AB13" s="109">
        <v>888</v>
      </c>
      <c r="AC13" s="237"/>
      <c r="AD13" s="237">
        <f>AA13*AB13</f>
        <v>4932840</v>
      </c>
      <c r="AE13" s="237"/>
      <c r="AF13" s="237">
        <v>7777777</v>
      </c>
    </row>
    <row r="14" spans="1:32">
      <c r="A14" s="226">
        <v>2010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234">
        <f t="shared" si="0"/>
        <v>0</v>
      </c>
      <c r="O14" s="357"/>
      <c r="P14" s="234"/>
      <c r="Q14" s="357"/>
      <c r="R14" s="638">
        <v>0.45</v>
      </c>
      <c r="Z14" s="481" t="s">
        <v>545</v>
      </c>
      <c r="AA14" s="109">
        <v>5555</v>
      </c>
      <c r="AB14" s="109">
        <v>333</v>
      </c>
      <c r="AC14" s="237"/>
      <c r="AD14" s="237">
        <f>AA14*AB14</f>
        <v>1849815</v>
      </c>
      <c r="AE14" s="237"/>
      <c r="AF14" s="237">
        <v>9999999</v>
      </c>
    </row>
    <row r="15" spans="1:32">
      <c r="A15" s="226">
        <v>2011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234">
        <f t="shared" si="0"/>
        <v>0</v>
      </c>
      <c r="O15" s="357"/>
      <c r="P15" s="234"/>
      <c r="Q15" s="357"/>
      <c r="R15" s="638">
        <v>0.35</v>
      </c>
      <c r="Z15" s="235"/>
      <c r="AA15" s="483"/>
      <c r="AB15" s="237"/>
      <c r="AC15" s="237"/>
      <c r="AD15" s="237">
        <f t="shared" ref="AD15" si="5">SUM(AD12:AD14)</f>
        <v>7399260</v>
      </c>
      <c r="AE15" s="237"/>
      <c r="AF15" s="237">
        <f>SUM(AF12:AF14)</f>
        <v>24872178.090387687</v>
      </c>
    </row>
    <row r="16" spans="1:32">
      <c r="A16" s="226">
        <v>2012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234">
        <f t="shared" si="0"/>
        <v>0</v>
      </c>
      <c r="O16" s="357"/>
      <c r="P16" s="234"/>
      <c r="Q16" s="357"/>
      <c r="R16" s="638">
        <v>0.18</v>
      </c>
    </row>
    <row r="17" spans="1:18">
      <c r="A17" s="226">
        <v>2013</v>
      </c>
      <c r="B17" s="47"/>
      <c r="C17" s="47"/>
      <c r="D17" s="47"/>
      <c r="E17" s="47"/>
      <c r="F17" s="47"/>
      <c r="G17" s="236"/>
      <c r="H17" s="236"/>
      <c r="I17" s="236"/>
      <c r="J17" s="236"/>
      <c r="K17" s="236"/>
      <c r="L17" s="236"/>
      <c r="M17" s="236"/>
      <c r="N17" s="234">
        <f t="shared" si="0"/>
        <v>0</v>
      </c>
      <c r="O17" s="357"/>
      <c r="P17" s="234"/>
      <c r="Q17" s="357"/>
      <c r="R17" s="638">
        <v>0.26</v>
      </c>
    </row>
    <row r="18" spans="1:18"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2">
        <f>SUM(N2:N17)</f>
        <v>562.65</v>
      </c>
      <c r="O18" s="240">
        <f t="shared" ref="O18:Q18" si="6">SUM(O2:O17)</f>
        <v>6476</v>
      </c>
      <c r="P18" s="232">
        <f t="shared" si="6"/>
        <v>224.74299999999999</v>
      </c>
      <c r="Q18" s="240">
        <f t="shared" si="6"/>
        <v>2585.8000000000002</v>
      </c>
    </row>
    <row r="19" spans="1:18">
      <c r="O19" s="251"/>
      <c r="P19" s="358" t="s">
        <v>207</v>
      </c>
      <c r="Q19" s="251"/>
    </row>
    <row r="20" spans="1:18">
      <c r="C20" s="359"/>
      <c r="D20" s="359"/>
      <c r="E20" s="359"/>
      <c r="L20" s="245"/>
      <c r="O20" s="245" t="s">
        <v>386</v>
      </c>
      <c r="Q20" s="251"/>
    </row>
    <row r="21" spans="1:18">
      <c r="A21" s="799" t="s">
        <v>356</v>
      </c>
      <c r="B21" s="799"/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111">
        <v>45670</v>
      </c>
      <c r="P21" s="360"/>
      <c r="Q21" s="360"/>
    </row>
    <row r="22" spans="1:18" s="362" customFormat="1">
      <c r="L22" s="363"/>
    </row>
    <row r="23" spans="1:18" s="362" customFormat="1" ht="12" thickBot="1">
      <c r="A23" s="364">
        <v>1998</v>
      </c>
      <c r="B23" s="365" t="s">
        <v>362</v>
      </c>
      <c r="C23" s="365">
        <v>144</v>
      </c>
      <c r="D23" s="366">
        <v>1080</v>
      </c>
      <c r="E23" s="367">
        <f>D23/340.75</f>
        <v>3.1694790902421128</v>
      </c>
    </row>
    <row r="24" spans="1:18" s="362" customFormat="1" ht="12" thickBot="1">
      <c r="A24" s="771">
        <v>1999</v>
      </c>
      <c r="B24" s="368" t="s">
        <v>353</v>
      </c>
      <c r="C24" s="369">
        <v>252</v>
      </c>
      <c r="D24" s="370">
        <v>1080</v>
      </c>
      <c r="E24" s="371">
        <f t="shared" ref="E24:E35" si="7">D24/340.75</f>
        <v>3.1694790902421128</v>
      </c>
    </row>
    <row r="25" spans="1:18" s="362" customFormat="1">
      <c r="A25" s="771"/>
      <c r="B25" s="362" t="s">
        <v>354</v>
      </c>
      <c r="C25" s="362">
        <v>298</v>
      </c>
      <c r="D25" s="372">
        <v>18569</v>
      </c>
      <c r="E25" s="156">
        <f t="shared" si="7"/>
        <v>54.494497432134999</v>
      </c>
    </row>
    <row r="26" spans="1:18" s="362" customFormat="1">
      <c r="A26" s="771"/>
      <c r="B26" s="362" t="s">
        <v>355</v>
      </c>
      <c r="C26" s="362">
        <v>299</v>
      </c>
      <c r="D26" s="372">
        <v>41184</v>
      </c>
      <c r="E26" s="156">
        <f t="shared" si="7"/>
        <v>120.86280264123258</v>
      </c>
    </row>
    <row r="27" spans="1:18" s="362" customFormat="1" ht="12" thickBot="1">
      <c r="A27" s="771"/>
      <c r="B27" s="365" t="s">
        <v>355</v>
      </c>
      <c r="C27" s="373">
        <v>327</v>
      </c>
      <c r="D27" s="366">
        <v>41323</v>
      </c>
      <c r="E27" s="374">
        <f t="shared" si="7"/>
        <v>121.27072633895818</v>
      </c>
      <c r="F27" s="269">
        <f>SUM(E25:E27)</f>
        <v>296.62802641232577</v>
      </c>
    </row>
    <row r="28" spans="1:18" s="362" customFormat="1" ht="12" thickBot="1">
      <c r="A28" s="771"/>
      <c r="B28" s="368" t="s">
        <v>357</v>
      </c>
      <c r="C28" s="369">
        <v>359</v>
      </c>
      <c r="D28" s="370">
        <v>10296</v>
      </c>
      <c r="E28" s="371">
        <f t="shared" si="7"/>
        <v>30.215700660308144</v>
      </c>
    </row>
    <row r="29" spans="1:18" s="362" customFormat="1">
      <c r="A29" s="771"/>
      <c r="B29" s="362" t="s">
        <v>352</v>
      </c>
      <c r="C29" s="362">
        <v>381</v>
      </c>
      <c r="D29" s="372">
        <v>1545</v>
      </c>
      <c r="E29" s="156">
        <f t="shared" si="7"/>
        <v>4.5341159207630231</v>
      </c>
    </row>
    <row r="30" spans="1:18" s="362" customFormat="1">
      <c r="A30" s="771"/>
      <c r="B30" s="362" t="s">
        <v>352</v>
      </c>
      <c r="C30" s="362">
        <v>382</v>
      </c>
      <c r="D30" s="372">
        <v>7728</v>
      </c>
      <c r="E30" s="156">
        <f t="shared" si="7"/>
        <v>22.679383712399119</v>
      </c>
    </row>
    <row r="31" spans="1:18" s="362" customFormat="1">
      <c r="A31" s="771"/>
      <c r="B31" s="375" t="s">
        <v>352</v>
      </c>
      <c r="C31" s="376">
        <v>412</v>
      </c>
      <c r="D31" s="377">
        <v>1922</v>
      </c>
      <c r="E31" s="378">
        <f t="shared" si="7"/>
        <v>5.6404988994864267</v>
      </c>
    </row>
    <row r="32" spans="1:18" s="362" customFormat="1" ht="12" thickBot="1">
      <c r="A32" s="771"/>
      <c r="B32" s="365" t="s">
        <v>352</v>
      </c>
      <c r="C32" s="373">
        <v>415</v>
      </c>
      <c r="D32" s="366">
        <v>1565</v>
      </c>
      <c r="E32" s="374">
        <f t="shared" si="7"/>
        <v>4.5928099779897282</v>
      </c>
      <c r="F32" s="269">
        <f>SUM(E29:E32)</f>
        <v>37.446808510638299</v>
      </c>
    </row>
    <row r="33" spans="1:17" ht="12" thickBot="1">
      <c r="A33" s="771"/>
      <c r="B33" s="365" t="s">
        <v>358</v>
      </c>
      <c r="C33" s="369">
        <v>466</v>
      </c>
      <c r="D33" s="370">
        <v>1365</v>
      </c>
      <c r="E33" s="371">
        <f t="shared" si="7"/>
        <v>4.0058694057226703</v>
      </c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</row>
    <row r="34" spans="1:17" ht="12" thickBot="1">
      <c r="A34" s="771"/>
      <c r="B34" s="365" t="s">
        <v>359</v>
      </c>
      <c r="C34" s="369">
        <v>527</v>
      </c>
      <c r="D34" s="370">
        <v>1700</v>
      </c>
      <c r="E34" s="371">
        <f t="shared" si="7"/>
        <v>4.9889948642699924</v>
      </c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</row>
    <row r="35" spans="1:17" ht="12" thickBot="1">
      <c r="A35" s="771"/>
      <c r="B35" s="365" t="s">
        <v>360</v>
      </c>
      <c r="C35" s="369">
        <v>634</v>
      </c>
      <c r="D35" s="370">
        <v>5284</v>
      </c>
      <c r="E35" s="371">
        <f t="shared" si="7"/>
        <v>15.50696991929567</v>
      </c>
      <c r="G35" s="362" t="s">
        <v>379</v>
      </c>
      <c r="H35" s="362"/>
      <c r="I35" s="362"/>
      <c r="J35" s="362"/>
      <c r="K35" s="362"/>
      <c r="L35" s="362"/>
      <c r="M35" s="362"/>
      <c r="N35" s="362"/>
      <c r="O35" s="362"/>
      <c r="P35" s="362"/>
      <c r="Q35" s="362"/>
    </row>
    <row r="36" spans="1:17">
      <c r="A36" s="362"/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</row>
    <row r="37" spans="1:17">
      <c r="A37" s="362"/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</row>
    <row r="38" spans="1:17">
      <c r="A38" s="362"/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</row>
    <row r="39" spans="1:17">
      <c r="A39" s="362"/>
      <c r="B39" s="362"/>
      <c r="C39" s="362"/>
      <c r="D39" s="362"/>
      <c r="E39" s="361" t="s">
        <v>204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</row>
    <row r="40" spans="1:17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</row>
    <row r="41" spans="1:17">
      <c r="A41" s="644">
        <v>2004</v>
      </c>
      <c r="B41" s="643" t="s">
        <v>551</v>
      </c>
      <c r="C41" s="643">
        <v>3681</v>
      </c>
      <c r="D41" s="643"/>
      <c r="E41" s="643">
        <v>76.790000000000006</v>
      </c>
      <c r="F41" s="362"/>
    </row>
    <row r="42" spans="1:17" ht="12" thickBot="1">
      <c r="A42" s="644"/>
      <c r="B42" s="379" t="s">
        <v>552</v>
      </c>
      <c r="C42" s="379">
        <v>3682</v>
      </c>
      <c r="D42" s="379"/>
      <c r="E42" s="379">
        <v>38.61</v>
      </c>
      <c r="F42" s="367">
        <f>E41+E42</f>
        <v>115.4</v>
      </c>
    </row>
    <row r="43" spans="1:17" ht="12" thickBot="1">
      <c r="A43" s="644"/>
      <c r="B43" s="646" t="s">
        <v>553</v>
      </c>
      <c r="C43" s="646">
        <v>3876</v>
      </c>
      <c r="D43" s="646"/>
      <c r="E43" s="313">
        <v>52.1</v>
      </c>
      <c r="F43" s="368"/>
    </row>
  </sheetData>
  <mergeCells count="2">
    <mergeCell ref="A21:N21"/>
    <mergeCell ref="A24:A3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E37"/>
  <sheetViews>
    <sheetView workbookViewId="0">
      <pane ySplit="1" topLeftCell="A2" activePane="bottomLeft" state="frozen"/>
      <selection pane="bottomLeft" activeCell="O20" sqref="O20:O21"/>
    </sheetView>
  </sheetViews>
  <sheetFormatPr defaultRowHeight="11.25"/>
  <cols>
    <col min="1" max="1" width="5" style="225" bestFit="1" customWidth="1"/>
    <col min="2" max="2" width="8.109375" style="225" bestFit="1" customWidth="1"/>
    <col min="3" max="5" width="8" style="225" bestFit="1" customWidth="1"/>
    <col min="6" max="9" width="7.109375" style="225" bestFit="1" customWidth="1"/>
    <col min="10" max="10" width="8" style="225" bestFit="1" customWidth="1"/>
    <col min="11" max="11" width="6.5546875" style="225" bestFit="1" customWidth="1"/>
    <col min="12" max="12" width="8" style="225" bestFit="1" customWidth="1"/>
    <col min="13" max="13" width="7.109375" style="225" bestFit="1" customWidth="1"/>
    <col min="14" max="14" width="5.88671875" style="225" bestFit="1" customWidth="1"/>
    <col min="15" max="15" width="7.33203125" style="225" bestFit="1" customWidth="1"/>
    <col min="16" max="16" width="7.44140625" style="225" bestFit="1" customWidth="1"/>
    <col min="17" max="17" width="6.5546875" style="225" bestFit="1" customWidth="1"/>
    <col min="18" max="18" width="5" style="225" customWidth="1"/>
    <col min="19" max="20" width="3.33203125" style="237" bestFit="1" customWidth="1"/>
    <col min="21" max="21" width="4" style="237" bestFit="1" customWidth="1"/>
    <col min="22" max="22" width="3.33203125" style="237" bestFit="1" customWidth="1"/>
    <col min="23" max="26" width="4" style="237" bestFit="1" customWidth="1"/>
    <col min="27" max="27" width="4.6640625" style="237" bestFit="1" customWidth="1"/>
    <col min="28" max="28" width="4" style="237" bestFit="1" customWidth="1"/>
    <col min="29" max="29" width="4.6640625" style="237" bestFit="1" customWidth="1"/>
    <col min="30" max="30" width="4" style="237" bestFit="1" customWidth="1"/>
    <col min="31" max="31" width="4.6640625" style="237" bestFit="1" customWidth="1"/>
    <col min="32" max="32" width="4" style="225" bestFit="1" customWidth="1"/>
    <col min="33" max="33" width="7.109375" style="225" bestFit="1" customWidth="1"/>
    <col min="34" max="16384" width="8.88671875" style="225"/>
  </cols>
  <sheetData>
    <row r="1" spans="1:31">
      <c r="A1" s="353"/>
      <c r="B1" s="355" t="s">
        <v>18</v>
      </c>
      <c r="C1" s="354" t="s">
        <v>19</v>
      </c>
      <c r="D1" s="355" t="s">
        <v>20</v>
      </c>
      <c r="E1" s="352" t="s">
        <v>21</v>
      </c>
      <c r="F1" s="355" t="s">
        <v>2</v>
      </c>
      <c r="G1" s="354" t="s">
        <v>22</v>
      </c>
      <c r="H1" s="355" t="s">
        <v>23</v>
      </c>
      <c r="I1" s="352" t="s">
        <v>24</v>
      </c>
      <c r="J1" s="355" t="s">
        <v>25</v>
      </c>
      <c r="K1" s="354" t="s">
        <v>26</v>
      </c>
      <c r="L1" s="355" t="s">
        <v>27</v>
      </c>
      <c r="M1" s="352" t="s">
        <v>28</v>
      </c>
      <c r="N1" s="356" t="s">
        <v>16</v>
      </c>
      <c r="O1" s="356" t="s">
        <v>54</v>
      </c>
      <c r="P1" s="356" t="s">
        <v>276</v>
      </c>
      <c r="Q1" s="356" t="s">
        <v>54</v>
      </c>
      <c r="S1" s="237">
        <v>1</v>
      </c>
      <c r="T1" s="237">
        <v>2</v>
      </c>
      <c r="U1" s="237">
        <v>3</v>
      </c>
      <c r="V1" s="237">
        <v>4</v>
      </c>
      <c r="W1" s="237">
        <v>5</v>
      </c>
      <c r="X1" s="237">
        <v>6</v>
      </c>
      <c r="Y1" s="237">
        <v>7</v>
      </c>
      <c r="Z1" s="237">
        <v>8</v>
      </c>
      <c r="AA1" s="237">
        <v>9</v>
      </c>
      <c r="AB1" s="237">
        <v>10</v>
      </c>
      <c r="AC1" s="237">
        <v>11</v>
      </c>
      <c r="AD1" s="237">
        <v>12</v>
      </c>
    </row>
    <row r="2" spans="1:31">
      <c r="A2" s="229">
        <v>1998</v>
      </c>
      <c r="B2" s="230"/>
      <c r="C2" s="230"/>
      <c r="D2" s="230"/>
      <c r="E2" s="230"/>
      <c r="F2" s="230"/>
      <c r="G2" s="230"/>
      <c r="H2" s="230"/>
      <c r="I2" s="231"/>
      <c r="J2" s="231">
        <v>14.63</v>
      </c>
      <c r="K2" s="231"/>
      <c r="L2" s="231">
        <v>16.68</v>
      </c>
      <c r="M2" s="231"/>
      <c r="N2" s="231">
        <f>SUM(I2:M2)</f>
        <v>31.310000000000002</v>
      </c>
      <c r="O2" s="243">
        <f>AE2</f>
        <v>363</v>
      </c>
      <c r="P2" s="231">
        <f>N2*R2</f>
        <v>9.3930000000000007</v>
      </c>
      <c r="Q2" s="243">
        <f>O2*R2</f>
        <v>108.89999999999999</v>
      </c>
      <c r="R2" s="626">
        <v>0.3</v>
      </c>
      <c r="AA2" s="237">
        <v>173</v>
      </c>
      <c r="AC2" s="237">
        <v>190</v>
      </c>
      <c r="AE2" s="458">
        <f>SUM(S2:AD2)</f>
        <v>363</v>
      </c>
    </row>
    <row r="3" spans="1:31">
      <c r="A3" s="226">
        <v>1999</v>
      </c>
      <c r="B3" s="232"/>
      <c r="C3" s="232"/>
      <c r="D3" s="232"/>
      <c r="E3" s="232"/>
      <c r="F3" s="232">
        <v>4.59</v>
      </c>
      <c r="G3" s="232">
        <v>5.75</v>
      </c>
      <c r="H3" s="232">
        <v>2.2599999999999998</v>
      </c>
      <c r="I3" s="232">
        <v>7.27</v>
      </c>
      <c r="J3" s="232"/>
      <c r="K3" s="232"/>
      <c r="L3" s="232"/>
      <c r="M3" s="232">
        <v>4.75</v>
      </c>
      <c r="N3" s="231">
        <f>SUM(B3:M3)</f>
        <v>24.619999999999997</v>
      </c>
      <c r="O3" s="243">
        <f t="shared" ref="O3:O4" si="0">AE3</f>
        <v>240</v>
      </c>
      <c r="P3" s="231">
        <f t="shared" ref="P3:P4" si="1">N3*R3</f>
        <v>9.847999999999999</v>
      </c>
      <c r="Q3" s="243">
        <f t="shared" ref="Q3:Q8" si="2">O3*R3</f>
        <v>96</v>
      </c>
      <c r="R3" s="626">
        <v>0.4</v>
      </c>
      <c r="U3" s="284"/>
      <c r="V3" s="284"/>
      <c r="W3" s="284">
        <v>47</v>
      </c>
      <c r="X3" s="237">
        <v>58</v>
      </c>
      <c r="Y3" s="237">
        <v>22</v>
      </c>
      <c r="Z3" s="237">
        <v>70</v>
      </c>
      <c r="AD3" s="237">
        <v>43</v>
      </c>
      <c r="AE3" s="458">
        <f t="shared" ref="AE3:AE4" si="3">SUM(S3:AD3)</f>
        <v>240</v>
      </c>
    </row>
    <row r="4" spans="1:31">
      <c r="A4" s="226">
        <v>2000</v>
      </c>
      <c r="B4" s="232"/>
      <c r="C4" s="232"/>
      <c r="D4" s="232">
        <v>1.58</v>
      </c>
      <c r="E4" s="232"/>
      <c r="F4" s="232"/>
      <c r="G4" s="232"/>
      <c r="H4" s="232"/>
      <c r="I4" s="232">
        <v>1.58</v>
      </c>
      <c r="J4" s="232"/>
      <c r="K4" s="232"/>
      <c r="L4" s="232">
        <v>0.95</v>
      </c>
      <c r="M4" s="232">
        <v>3.79</v>
      </c>
      <c r="N4" s="231">
        <f>SUM(B4:M4)</f>
        <v>7.9</v>
      </c>
      <c r="O4" s="243">
        <f t="shared" si="0"/>
        <v>63</v>
      </c>
      <c r="P4" s="231">
        <f t="shared" si="1"/>
        <v>3.5550000000000002</v>
      </c>
      <c r="Q4" s="243">
        <f t="shared" si="2"/>
        <v>28.35</v>
      </c>
      <c r="R4" s="626">
        <v>0.45</v>
      </c>
      <c r="U4" s="284">
        <v>14</v>
      </c>
      <c r="V4" s="284"/>
      <c r="Z4" s="237">
        <v>13</v>
      </c>
      <c r="AC4" s="237">
        <v>7</v>
      </c>
      <c r="AD4" s="237">
        <v>29</v>
      </c>
      <c r="AE4" s="458">
        <f t="shared" si="3"/>
        <v>63</v>
      </c>
    </row>
    <row r="5" spans="1:31">
      <c r="A5" s="226">
        <v>2001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1"/>
      <c r="O5" s="243"/>
      <c r="P5" s="231"/>
      <c r="Q5" s="243">
        <f t="shared" si="2"/>
        <v>0</v>
      </c>
      <c r="R5" s="235"/>
    </row>
    <row r="6" spans="1:31">
      <c r="A6" s="226">
        <v>2002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1"/>
      <c r="O6" s="243"/>
      <c r="P6" s="231"/>
      <c r="Q6" s="243">
        <f t="shared" si="2"/>
        <v>0</v>
      </c>
      <c r="R6" s="235"/>
      <c r="T6" s="430"/>
      <c r="U6" s="430"/>
    </row>
    <row r="7" spans="1:31">
      <c r="A7" s="226">
        <v>2003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2"/>
      <c r="M7" s="232"/>
      <c r="N7" s="231"/>
      <c r="O7" s="243"/>
      <c r="P7" s="231"/>
      <c r="Q7" s="243">
        <f t="shared" si="2"/>
        <v>0</v>
      </c>
      <c r="R7" s="235"/>
    </row>
    <row r="8" spans="1:31">
      <c r="A8" s="226">
        <v>2004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2"/>
      <c r="M8" s="232"/>
      <c r="N8" s="231"/>
      <c r="O8" s="243"/>
      <c r="P8" s="231"/>
      <c r="Q8" s="243">
        <f t="shared" si="2"/>
        <v>0</v>
      </c>
      <c r="R8" s="235"/>
    </row>
    <row r="9" spans="1:31">
      <c r="A9" s="226">
        <v>2005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1"/>
      <c r="O9" s="243"/>
      <c r="P9" s="231"/>
      <c r="Q9" s="243">
        <f t="shared" ref="Q9:Q17" si="4">SUM(B9:M9)</f>
        <v>0</v>
      </c>
      <c r="R9" s="235"/>
    </row>
    <row r="10" spans="1:31">
      <c r="A10" s="226">
        <v>2006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234"/>
      <c r="O10" s="357"/>
      <c r="P10" s="234"/>
      <c r="Q10" s="357">
        <f t="shared" si="4"/>
        <v>0</v>
      </c>
      <c r="R10" s="235"/>
    </row>
    <row r="11" spans="1:31">
      <c r="A11" s="226">
        <v>2007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234"/>
      <c r="O11" s="357"/>
      <c r="P11" s="234"/>
      <c r="Q11" s="357">
        <f t="shared" si="4"/>
        <v>0</v>
      </c>
      <c r="R11" s="235"/>
    </row>
    <row r="12" spans="1:31">
      <c r="A12" s="226">
        <v>2008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234"/>
      <c r="O12" s="357"/>
      <c r="P12" s="234"/>
      <c r="Q12" s="357">
        <f t="shared" si="4"/>
        <v>0</v>
      </c>
      <c r="R12" s="235"/>
    </row>
    <row r="13" spans="1:31">
      <c r="A13" s="226">
        <v>2009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234"/>
      <c r="O13" s="357"/>
      <c r="P13" s="234"/>
      <c r="Q13" s="357">
        <f t="shared" si="4"/>
        <v>0</v>
      </c>
      <c r="R13" s="235"/>
    </row>
    <row r="14" spans="1:31">
      <c r="A14" s="226">
        <v>2010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234"/>
      <c r="O14" s="357"/>
      <c r="P14" s="234"/>
      <c r="Q14" s="357">
        <f t="shared" si="4"/>
        <v>0</v>
      </c>
      <c r="R14" s="235"/>
    </row>
    <row r="15" spans="1:31">
      <c r="A15" s="226">
        <v>2011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234"/>
      <c r="O15" s="357"/>
      <c r="P15" s="234"/>
      <c r="Q15" s="357">
        <f t="shared" si="4"/>
        <v>0</v>
      </c>
      <c r="R15" s="235"/>
    </row>
    <row r="16" spans="1:31">
      <c r="A16" s="226">
        <v>2012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234"/>
      <c r="O16" s="357"/>
      <c r="P16" s="234"/>
      <c r="Q16" s="357">
        <f t="shared" si="4"/>
        <v>0</v>
      </c>
      <c r="R16" s="235"/>
    </row>
    <row r="17" spans="1:18">
      <c r="A17" s="226">
        <v>2013</v>
      </c>
      <c r="B17" s="47"/>
      <c r="C17" s="47"/>
      <c r="D17" s="47"/>
      <c r="E17" s="47"/>
      <c r="F17" s="47"/>
      <c r="G17" s="236"/>
      <c r="H17" s="236"/>
      <c r="I17" s="236"/>
      <c r="J17" s="236"/>
      <c r="K17" s="236"/>
      <c r="L17" s="236"/>
      <c r="M17" s="236"/>
      <c r="N17" s="230"/>
      <c r="O17" s="108"/>
      <c r="P17" s="230"/>
      <c r="Q17" s="357">
        <f t="shared" si="4"/>
        <v>0</v>
      </c>
      <c r="R17" s="245"/>
    </row>
    <row r="18" spans="1:18"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2">
        <f>SUM(N2:N17)</f>
        <v>63.83</v>
      </c>
      <c r="O18" s="240">
        <f>SUM(O2:O17)</f>
        <v>666</v>
      </c>
      <c r="P18" s="232">
        <f>SUM(P2:P17)</f>
        <v>22.795999999999999</v>
      </c>
      <c r="Q18" s="240">
        <f>SUM(Q2:Q17)</f>
        <v>233.24999999999997</v>
      </c>
    </row>
    <row r="19" spans="1:18">
      <c r="O19" s="92">
        <v>1683</v>
      </c>
      <c r="Q19" s="489">
        <f>O19*40%</f>
        <v>673.2</v>
      </c>
    </row>
    <row r="20" spans="1:18" ht="15.75" customHeight="1">
      <c r="A20" s="846" t="s">
        <v>613</v>
      </c>
      <c r="B20" s="846"/>
      <c r="C20" s="846"/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318"/>
      <c r="O20" s="245" t="s">
        <v>389</v>
      </c>
      <c r="P20" s="318"/>
      <c r="Q20" s="318"/>
    </row>
    <row r="21" spans="1:18">
      <c r="C21" s="359"/>
      <c r="D21" s="359"/>
      <c r="E21" s="359"/>
      <c r="L21" s="245"/>
      <c r="O21" s="111">
        <v>46065</v>
      </c>
    </row>
    <row r="22" spans="1:18">
      <c r="A22" s="841">
        <v>1998</v>
      </c>
      <c r="B22" s="415" t="s">
        <v>365</v>
      </c>
      <c r="C22" s="289">
        <v>4985</v>
      </c>
      <c r="D22" s="416">
        <f>C22/340.75</f>
        <v>14.62949376375642</v>
      </c>
      <c r="E22" s="375"/>
      <c r="F22" s="362"/>
      <c r="G22" s="362"/>
      <c r="H22" s="362"/>
      <c r="I22" s="362"/>
      <c r="J22" s="362"/>
      <c r="K22" s="362"/>
      <c r="L22" s="363"/>
      <c r="M22" s="362"/>
      <c r="N22" s="362"/>
      <c r="O22" s="111"/>
      <c r="P22" s="362"/>
      <c r="Q22" s="362"/>
    </row>
    <row r="23" spans="1:18" ht="12" thickBot="1">
      <c r="A23" s="842"/>
      <c r="B23" s="379" t="s">
        <v>366</v>
      </c>
      <c r="C23" s="380">
        <v>5685</v>
      </c>
      <c r="D23" s="367">
        <f t="shared" ref="D23:D37" si="5">C23/340.75</f>
        <v>16.683785766691123</v>
      </c>
      <c r="E23" s="365"/>
      <c r="F23" s="362"/>
      <c r="G23" s="362"/>
      <c r="H23" s="362"/>
      <c r="I23" s="362"/>
      <c r="J23" s="362"/>
      <c r="K23" s="362"/>
      <c r="L23" s="363"/>
      <c r="M23" s="362"/>
      <c r="N23" s="362"/>
      <c r="O23" s="362"/>
      <c r="P23" s="362"/>
      <c r="Q23" s="362"/>
    </row>
    <row r="24" spans="1:18">
      <c r="A24" s="843">
        <v>1999</v>
      </c>
      <c r="B24" s="417" t="s">
        <v>367</v>
      </c>
      <c r="C24" s="418">
        <v>1565</v>
      </c>
      <c r="D24" s="419">
        <f t="shared" si="5"/>
        <v>4.5928099779897282</v>
      </c>
      <c r="E24" s="420"/>
      <c r="F24" s="362"/>
      <c r="G24" s="362"/>
      <c r="H24" s="362"/>
      <c r="I24" s="362"/>
      <c r="J24" s="362"/>
      <c r="K24" s="362"/>
      <c r="L24" s="363"/>
      <c r="M24" s="362"/>
      <c r="N24" s="362"/>
      <c r="O24" s="362"/>
      <c r="P24" s="362"/>
      <c r="Q24" s="362"/>
    </row>
    <row r="25" spans="1:18">
      <c r="A25" s="844"/>
      <c r="B25" s="415" t="s">
        <v>368</v>
      </c>
      <c r="C25" s="289">
        <v>310</v>
      </c>
      <c r="D25" s="378">
        <f t="shared" si="5"/>
        <v>0.90975788701393989</v>
      </c>
      <c r="E25" s="375"/>
      <c r="F25" s="362"/>
      <c r="G25" s="362"/>
      <c r="H25" s="362"/>
      <c r="I25" s="362"/>
      <c r="J25" s="362"/>
      <c r="K25" s="362"/>
      <c r="L25" s="363"/>
      <c r="M25" s="362"/>
      <c r="N25" s="362"/>
      <c r="O25" s="362"/>
      <c r="P25" s="362"/>
      <c r="Q25" s="362"/>
    </row>
    <row r="26" spans="1:18">
      <c r="A26" s="844"/>
      <c r="B26" s="415" t="s">
        <v>369</v>
      </c>
      <c r="C26" s="289">
        <v>284</v>
      </c>
      <c r="D26" s="378">
        <f t="shared" si="5"/>
        <v>0.8334556126192223</v>
      </c>
      <c r="E26" s="375"/>
      <c r="F26" s="362"/>
      <c r="G26" s="362"/>
      <c r="H26" s="362"/>
      <c r="I26" s="362"/>
      <c r="J26" s="362"/>
      <c r="K26" s="362"/>
      <c r="L26" s="363"/>
      <c r="M26" s="362"/>
      <c r="N26" s="362"/>
      <c r="O26" s="362"/>
      <c r="P26" s="362"/>
      <c r="Q26" s="362"/>
    </row>
    <row r="27" spans="1:18">
      <c r="A27" s="844"/>
      <c r="B27" s="415" t="s">
        <v>370</v>
      </c>
      <c r="C27" s="289">
        <v>1365</v>
      </c>
      <c r="D27" s="378">
        <f t="shared" si="5"/>
        <v>4.0058694057226703</v>
      </c>
      <c r="E27" s="324">
        <f>SUM(D25:D27)</f>
        <v>5.7490829053558326</v>
      </c>
      <c r="F27" s="362"/>
      <c r="G27" s="362"/>
      <c r="H27" s="362"/>
      <c r="I27" s="362"/>
      <c r="J27" s="362"/>
      <c r="K27" s="362"/>
      <c r="L27" s="363"/>
      <c r="M27" s="362"/>
      <c r="N27" s="362"/>
      <c r="O27" s="362"/>
      <c r="P27" s="362"/>
      <c r="Q27" s="362"/>
    </row>
    <row r="28" spans="1:18">
      <c r="A28" s="844"/>
      <c r="B28" s="415" t="s">
        <v>371</v>
      </c>
      <c r="C28" s="289">
        <v>771</v>
      </c>
      <c r="D28" s="416">
        <f t="shared" si="5"/>
        <v>2.2626559060895084</v>
      </c>
      <c r="E28" s="375"/>
      <c r="F28" s="362"/>
      <c r="G28" s="362"/>
      <c r="H28" s="362"/>
      <c r="I28" s="362"/>
      <c r="J28" s="362"/>
      <c r="K28" s="362"/>
      <c r="L28" s="363"/>
      <c r="M28" s="362"/>
      <c r="N28" s="362"/>
      <c r="O28" s="362"/>
      <c r="P28" s="362"/>
      <c r="Q28" s="362"/>
    </row>
    <row r="29" spans="1:18">
      <c r="A29" s="844"/>
      <c r="B29" s="415" t="s">
        <v>372</v>
      </c>
      <c r="C29" s="289">
        <v>1700</v>
      </c>
      <c r="D29" s="378">
        <f t="shared" si="5"/>
        <v>4.9889948642699924</v>
      </c>
      <c r="E29" s="375"/>
      <c r="F29" s="362"/>
      <c r="G29" s="362"/>
      <c r="H29" s="362"/>
      <c r="I29" s="362"/>
      <c r="J29" s="362"/>
      <c r="K29" s="362"/>
      <c r="L29" s="363"/>
      <c r="M29" s="362"/>
      <c r="N29" s="362"/>
      <c r="O29" s="362"/>
      <c r="P29" s="362"/>
      <c r="Q29" s="362"/>
    </row>
    <row r="30" spans="1:18">
      <c r="A30" s="844"/>
      <c r="B30" s="415" t="s">
        <v>373</v>
      </c>
      <c r="C30" s="289">
        <v>777</v>
      </c>
      <c r="D30" s="378">
        <f t="shared" si="5"/>
        <v>2.28026412325752</v>
      </c>
      <c r="E30" s="324">
        <f>SUM(D29:D30)</f>
        <v>7.2692589875275129</v>
      </c>
      <c r="F30" s="362"/>
      <c r="G30" s="362"/>
      <c r="H30" s="362"/>
      <c r="I30" s="362"/>
      <c r="J30" s="362"/>
      <c r="K30" s="362"/>
      <c r="L30" s="363"/>
      <c r="M30" s="362"/>
      <c r="N30" s="362"/>
      <c r="O30" s="362"/>
      <c r="P30" s="362"/>
      <c r="Q30" s="362"/>
    </row>
    <row r="31" spans="1:18">
      <c r="A31" s="844"/>
      <c r="B31" s="415" t="s">
        <v>374</v>
      </c>
      <c r="C31" s="289">
        <v>540</v>
      </c>
      <c r="D31" s="378">
        <f t="shared" si="5"/>
        <v>1.5847395451210564</v>
      </c>
      <c r="E31" s="375"/>
      <c r="F31" s="362"/>
      <c r="G31" s="362"/>
      <c r="H31" s="362"/>
      <c r="I31" s="362"/>
      <c r="J31" s="362"/>
      <c r="K31" s="362"/>
      <c r="L31" s="363"/>
      <c r="M31" s="362"/>
      <c r="N31" s="362"/>
      <c r="O31" s="362"/>
      <c r="P31" s="362"/>
      <c r="Q31" s="362"/>
    </row>
    <row r="32" spans="1:18" ht="12" thickBot="1">
      <c r="A32" s="845"/>
      <c r="B32" s="379" t="s">
        <v>375</v>
      </c>
      <c r="C32" s="380">
        <v>1080</v>
      </c>
      <c r="D32" s="374">
        <f t="shared" si="5"/>
        <v>3.1694790902421128</v>
      </c>
      <c r="E32" s="269">
        <f>SUM(D31:D32)</f>
        <v>4.754218635363169</v>
      </c>
      <c r="F32" s="362"/>
      <c r="G32" s="362"/>
      <c r="H32" s="362"/>
      <c r="I32" s="362"/>
      <c r="J32" s="362"/>
      <c r="K32" s="362"/>
      <c r="L32" s="363"/>
      <c r="M32" s="362"/>
      <c r="N32" s="362"/>
      <c r="O32" s="362"/>
      <c r="P32" s="362"/>
      <c r="Q32" s="362"/>
    </row>
    <row r="33" spans="1:17">
      <c r="A33" s="841">
        <v>2000</v>
      </c>
      <c r="B33" s="375" t="s">
        <v>376</v>
      </c>
      <c r="C33" s="377">
        <v>540</v>
      </c>
      <c r="D33" s="416">
        <f t="shared" si="5"/>
        <v>1.5847395451210564</v>
      </c>
      <c r="E33" s="362"/>
      <c r="F33" s="362"/>
      <c r="G33" s="362"/>
      <c r="H33" s="362"/>
      <c r="I33" s="362"/>
      <c r="J33" s="362"/>
      <c r="K33" s="362"/>
      <c r="L33" s="363"/>
      <c r="M33" s="362"/>
      <c r="N33" s="362"/>
      <c r="O33" s="362"/>
      <c r="P33" s="362"/>
      <c r="Q33" s="362"/>
    </row>
    <row r="34" spans="1:17">
      <c r="A34" s="841"/>
      <c r="B34" s="375" t="s">
        <v>377</v>
      </c>
      <c r="C34" s="377">
        <v>540</v>
      </c>
      <c r="D34" s="416">
        <f t="shared" si="5"/>
        <v>1.5847395451210564</v>
      </c>
      <c r="E34" s="362"/>
      <c r="F34" s="362"/>
      <c r="G34" s="362"/>
      <c r="H34" s="362"/>
      <c r="I34" s="362"/>
      <c r="J34" s="362"/>
      <c r="K34" s="362"/>
      <c r="L34" s="363"/>
      <c r="M34" s="362"/>
      <c r="N34" s="362"/>
      <c r="O34" s="362"/>
      <c r="P34" s="362"/>
      <c r="Q34" s="362"/>
    </row>
    <row r="35" spans="1:17">
      <c r="A35" s="841"/>
      <c r="B35" s="362" t="s">
        <v>385</v>
      </c>
      <c r="C35" s="372">
        <v>324</v>
      </c>
      <c r="D35" s="247">
        <f t="shared" si="5"/>
        <v>0.95084372707263387</v>
      </c>
      <c r="E35" s="362"/>
      <c r="F35" s="362"/>
      <c r="G35" s="362"/>
      <c r="H35" s="362"/>
      <c r="I35" s="362"/>
      <c r="J35" s="362"/>
      <c r="K35" s="362"/>
      <c r="L35" s="363"/>
      <c r="M35" s="362"/>
      <c r="N35" s="362"/>
      <c r="O35" s="362"/>
      <c r="P35" s="362"/>
      <c r="Q35" s="362"/>
    </row>
    <row r="36" spans="1:17" ht="12" thickBot="1">
      <c r="A36" s="842"/>
      <c r="B36" s="365" t="s">
        <v>378</v>
      </c>
      <c r="C36" s="366">
        <v>1293</v>
      </c>
      <c r="D36" s="367">
        <f t="shared" si="5"/>
        <v>3.7945707997065297</v>
      </c>
      <c r="E36" s="269"/>
      <c r="F36" s="362"/>
      <c r="G36" s="362"/>
      <c r="H36" s="362"/>
      <c r="I36" s="362"/>
      <c r="J36" s="362"/>
      <c r="K36" s="362"/>
      <c r="L36" s="363"/>
      <c r="M36" s="362"/>
      <c r="N36" s="362"/>
      <c r="O36" s="362"/>
      <c r="P36" s="362"/>
      <c r="Q36" s="362"/>
    </row>
    <row r="37" spans="1:17">
      <c r="A37" s="362"/>
      <c r="B37" s="362"/>
      <c r="C37" s="372"/>
      <c r="D37" s="156">
        <f t="shared" si="5"/>
        <v>0</v>
      </c>
      <c r="E37" s="362"/>
      <c r="F37" s="362"/>
      <c r="G37" s="362"/>
      <c r="H37" s="362"/>
      <c r="I37" s="362"/>
      <c r="J37" s="362"/>
      <c r="K37" s="362"/>
      <c r="L37" s="363"/>
      <c r="M37" s="362"/>
      <c r="N37" s="362"/>
      <c r="O37" s="362"/>
      <c r="P37" s="362"/>
      <c r="Q37" s="362"/>
    </row>
  </sheetData>
  <mergeCells count="4">
    <mergeCell ref="A22:A23"/>
    <mergeCell ref="A24:A32"/>
    <mergeCell ref="A33:A36"/>
    <mergeCell ref="A20:M20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Q23"/>
  <sheetViews>
    <sheetView workbookViewId="0">
      <pane ySplit="1" topLeftCell="A2" activePane="bottomLeft" state="frozen"/>
      <selection pane="bottomLeft" activeCell="O19" sqref="O19:O20"/>
    </sheetView>
  </sheetViews>
  <sheetFormatPr defaultRowHeight="15"/>
  <cols>
    <col min="1" max="1" width="5" style="21" bestFit="1" customWidth="1"/>
    <col min="2" max="2" width="7.109375" style="21" bestFit="1" customWidth="1"/>
    <col min="3" max="5" width="8" style="21" bestFit="1" customWidth="1"/>
    <col min="6" max="9" width="7.109375" style="21" bestFit="1" customWidth="1"/>
    <col min="10" max="12" width="8" style="21" bestFit="1" customWidth="1"/>
    <col min="13" max="13" width="7.109375" style="21" bestFit="1" customWidth="1"/>
    <col min="14" max="14" width="11.44140625" style="21" customWidth="1"/>
    <col min="15" max="15" width="8.6640625" style="21" bestFit="1" customWidth="1"/>
    <col min="16" max="16" width="11.44140625" style="21" customWidth="1"/>
    <col min="17" max="17" width="8.6640625" style="21" bestFit="1" customWidth="1"/>
    <col min="18" max="16384" width="8.88671875" style="21"/>
  </cols>
  <sheetData>
    <row r="1" spans="1:17">
      <c r="A1" s="175"/>
      <c r="B1" s="71" t="s">
        <v>18</v>
      </c>
      <c r="C1" s="72" t="s">
        <v>19</v>
      </c>
      <c r="D1" s="71" t="s">
        <v>20</v>
      </c>
      <c r="E1" s="73" t="s">
        <v>21</v>
      </c>
      <c r="F1" s="71" t="s">
        <v>2</v>
      </c>
      <c r="G1" s="72" t="s">
        <v>22</v>
      </c>
      <c r="H1" s="71" t="s">
        <v>23</v>
      </c>
      <c r="I1" s="73" t="s">
        <v>24</v>
      </c>
      <c r="J1" s="71" t="s">
        <v>25</v>
      </c>
      <c r="K1" s="72" t="s">
        <v>26</v>
      </c>
      <c r="L1" s="71" t="s">
        <v>27</v>
      </c>
      <c r="M1" s="73" t="s">
        <v>28</v>
      </c>
      <c r="N1" s="74" t="s">
        <v>16</v>
      </c>
      <c r="O1" s="176" t="s">
        <v>54</v>
      </c>
      <c r="P1" s="176" t="s">
        <v>276</v>
      </c>
      <c r="Q1" s="176" t="s">
        <v>54</v>
      </c>
    </row>
    <row r="2" spans="1:17">
      <c r="A2" s="23">
        <v>1998</v>
      </c>
      <c r="B2" s="24"/>
      <c r="C2" s="24"/>
      <c r="D2" s="24"/>
      <c r="E2" s="24"/>
      <c r="F2" s="24"/>
      <c r="G2" s="24"/>
      <c r="H2" s="24"/>
      <c r="I2" s="25">
        <f>'281υ1'!I2*6/9</f>
        <v>0</v>
      </c>
      <c r="J2" s="25">
        <f>'281υ1'!J2*6/9</f>
        <v>9.7533333333333339</v>
      </c>
      <c r="K2" s="25">
        <f>'281υ1'!K2*6/9</f>
        <v>0</v>
      </c>
      <c r="L2" s="25">
        <f>'281υ1'!L2*6/9</f>
        <v>11.12</v>
      </c>
      <c r="M2" s="25">
        <f>'281υ1'!M2*6/9</f>
        <v>0</v>
      </c>
      <c r="N2" s="25">
        <f>'281υ1'!N2*6/9</f>
        <v>20.873333333333335</v>
      </c>
      <c r="O2" s="33">
        <f>'281υ1'!O2*6/9</f>
        <v>242</v>
      </c>
      <c r="P2" s="25">
        <f>'281υ1'!P2*6/9</f>
        <v>6.2620000000000005</v>
      </c>
      <c r="Q2" s="33">
        <f>'281υ1'!Q2*6/9</f>
        <v>72.599999999999994</v>
      </c>
    </row>
    <row r="3" spans="1:17">
      <c r="A3" s="26">
        <v>1999</v>
      </c>
      <c r="B3" s="25">
        <f>'281υ1'!B3*6/9</f>
        <v>0</v>
      </c>
      <c r="C3" s="25">
        <f>'281υ1'!C3*6/9</f>
        <v>0</v>
      </c>
      <c r="D3" s="25">
        <f>'281υ1'!D3*6/9</f>
        <v>0</v>
      </c>
      <c r="E3" s="25">
        <f>'281υ1'!E3*6/9</f>
        <v>0</v>
      </c>
      <c r="F3" s="25">
        <f>'281υ1'!F3*6/9</f>
        <v>3.06</v>
      </c>
      <c r="G3" s="25">
        <f>'281υ1'!G3*6/9</f>
        <v>3.8333333333333335</v>
      </c>
      <c r="H3" s="25">
        <f>'281υ1'!H3*6/9</f>
        <v>1.5066666666666666</v>
      </c>
      <c r="I3" s="25">
        <f>'281υ1'!I3*6/9</f>
        <v>4.8466666666666667</v>
      </c>
      <c r="J3" s="25">
        <f>'281υ1'!J3*6/9</f>
        <v>0</v>
      </c>
      <c r="K3" s="25">
        <f>'281υ1'!K3*6/9</f>
        <v>0</v>
      </c>
      <c r="L3" s="25">
        <f>'281υ1'!L3*6/9</f>
        <v>0</v>
      </c>
      <c r="M3" s="25">
        <f>'281υ1'!M3*6/9</f>
        <v>3.1666666666666665</v>
      </c>
      <c r="N3" s="25">
        <f>'281υ1'!N3*6/9</f>
        <v>16.41333333333333</v>
      </c>
      <c r="O3" s="33">
        <f>'281υ1'!O3*6/9</f>
        <v>160</v>
      </c>
      <c r="P3" s="25">
        <f>'281υ1'!P3*6/9</f>
        <v>6.5653333333333324</v>
      </c>
      <c r="Q3" s="33">
        <f>'281υ1'!Q3*6/9</f>
        <v>64</v>
      </c>
    </row>
    <row r="4" spans="1:17">
      <c r="A4" s="26">
        <v>2000</v>
      </c>
      <c r="B4" s="25">
        <f>'281υ1'!B4*6/9</f>
        <v>0</v>
      </c>
      <c r="C4" s="25">
        <f>'281υ1'!C4*6/9</f>
        <v>0</v>
      </c>
      <c r="D4" s="25">
        <f>'281υ1'!D4*6/9</f>
        <v>1.0533333333333335</v>
      </c>
      <c r="E4" s="25">
        <f>'281υ1'!E4*6/9</f>
        <v>0</v>
      </c>
      <c r="F4" s="25">
        <f>'281υ1'!F4*6/9</f>
        <v>0</v>
      </c>
      <c r="G4" s="25">
        <f>'281υ1'!G4*6/9</f>
        <v>0</v>
      </c>
      <c r="H4" s="25">
        <f>'281υ1'!H4*6/9</f>
        <v>0</v>
      </c>
      <c r="I4" s="25">
        <f>'281υ1'!I4*6/9</f>
        <v>1.0533333333333335</v>
      </c>
      <c r="J4" s="25">
        <f>'281υ1'!J4*6/9</f>
        <v>0</v>
      </c>
      <c r="K4" s="25">
        <f>'281υ1'!K4*6/9</f>
        <v>0</v>
      </c>
      <c r="L4" s="25">
        <f>'281υ1'!L4*6/9</f>
        <v>0.6333333333333333</v>
      </c>
      <c r="M4" s="25">
        <f>'281υ1'!M4*6/9</f>
        <v>2.5266666666666668</v>
      </c>
      <c r="N4" s="25">
        <f>'281υ1'!N4*6/9</f>
        <v>5.2666666666666675</v>
      </c>
      <c r="O4" s="33">
        <f>'281υ1'!O4*6/9</f>
        <v>42</v>
      </c>
      <c r="P4" s="25">
        <f>'281υ1'!P4*6/9</f>
        <v>2.37</v>
      </c>
      <c r="Q4" s="33">
        <f>'281υ1'!Q4*6/9</f>
        <v>18.900000000000002</v>
      </c>
    </row>
    <row r="5" spans="1:17">
      <c r="A5" s="26">
        <v>2001</v>
      </c>
      <c r="B5" s="25">
        <f>'281υ1'!B5*6/9</f>
        <v>0</v>
      </c>
      <c r="C5" s="25">
        <f>'281υ1'!C5*6/9</f>
        <v>0</v>
      </c>
      <c r="D5" s="25">
        <f>'281υ1'!D5*6/9</f>
        <v>0</v>
      </c>
      <c r="E5" s="25">
        <f>'281υ1'!E5*6/9</f>
        <v>0</v>
      </c>
      <c r="F5" s="25">
        <f>'281υ1'!F5*6/9</f>
        <v>0</v>
      </c>
      <c r="G5" s="25">
        <f>'281υ1'!G5*6/9</f>
        <v>0</v>
      </c>
      <c r="H5" s="25">
        <f>'281υ1'!H5*6/9</f>
        <v>0</v>
      </c>
      <c r="I5" s="25">
        <f>'281υ1'!I5*6/9</f>
        <v>0</v>
      </c>
      <c r="J5" s="25">
        <f>'281υ1'!J5*6/9</f>
        <v>0</v>
      </c>
      <c r="K5" s="25">
        <f>'281υ1'!K5*6/9</f>
        <v>0</v>
      </c>
      <c r="L5" s="25">
        <f>'281υ1'!L5*6/9</f>
        <v>0</v>
      </c>
      <c r="M5" s="25">
        <f>'281υ1'!M5*6/9</f>
        <v>0</v>
      </c>
      <c r="N5" s="25">
        <f>'281υ1'!N5*6/9</f>
        <v>0</v>
      </c>
      <c r="O5" s="25">
        <f>'281υ1'!O5*6/9</f>
        <v>0</v>
      </c>
      <c r="P5" s="25">
        <f>'281υ1'!P5*6/9</f>
        <v>0</v>
      </c>
      <c r="Q5" s="25">
        <f>'281υ1'!Q5*6/9</f>
        <v>0</v>
      </c>
    </row>
    <row r="6" spans="1:17">
      <c r="A6" s="26">
        <v>2002</v>
      </c>
      <c r="B6" s="25">
        <f>'281υ1'!B6*6/9</f>
        <v>0</v>
      </c>
      <c r="C6" s="25">
        <f>'281υ1'!C6*6/9</f>
        <v>0</v>
      </c>
      <c r="D6" s="25">
        <f>'281υ1'!D6*6/9</f>
        <v>0</v>
      </c>
      <c r="E6" s="25">
        <f>'281υ1'!E6*6/9</f>
        <v>0</v>
      </c>
      <c r="F6" s="25">
        <f>'281υ1'!F6*6/9</f>
        <v>0</v>
      </c>
      <c r="G6" s="25">
        <f>'281υ1'!G6*6/9</f>
        <v>0</v>
      </c>
      <c r="H6" s="25">
        <f>'281υ1'!H6*6/9</f>
        <v>0</v>
      </c>
      <c r="I6" s="25">
        <f>'281υ1'!I6*6/9</f>
        <v>0</v>
      </c>
      <c r="J6" s="25">
        <f>'281υ1'!J6*6/9</f>
        <v>0</v>
      </c>
      <c r="K6" s="25">
        <f>'281υ1'!K6*6/9</f>
        <v>0</v>
      </c>
      <c r="L6" s="25">
        <f>'281υ1'!L6*6/9</f>
        <v>0</v>
      </c>
      <c r="M6" s="25">
        <f>'281υ1'!M6*6/9</f>
        <v>0</v>
      </c>
      <c r="N6" s="25">
        <f>'281υ1'!N6*6/9</f>
        <v>0</v>
      </c>
      <c r="O6" s="25">
        <f>'281υ1'!O6*6/9</f>
        <v>0</v>
      </c>
      <c r="P6" s="25">
        <f>'281υ1'!P6*6/9</f>
        <v>0</v>
      </c>
      <c r="Q6" s="25">
        <f>'281υ1'!Q6*6/9</f>
        <v>0</v>
      </c>
    </row>
    <row r="7" spans="1:17">
      <c r="A7" s="26">
        <v>2003</v>
      </c>
      <c r="B7" s="25">
        <f>'281υ1'!B7*6/9</f>
        <v>0</v>
      </c>
      <c r="C7" s="25">
        <f>'281υ1'!C7*6/9</f>
        <v>0</v>
      </c>
      <c r="D7" s="25">
        <f>'281υ1'!D7*6/9</f>
        <v>0</v>
      </c>
      <c r="E7" s="25">
        <f>'281υ1'!E7*6/9</f>
        <v>0</v>
      </c>
      <c r="F7" s="25">
        <f>'281υ1'!F7*6/9</f>
        <v>0</v>
      </c>
      <c r="G7" s="25">
        <f>'281υ1'!G7*6/9</f>
        <v>0</v>
      </c>
      <c r="H7" s="25">
        <f>'281υ1'!H7*6/9</f>
        <v>0</v>
      </c>
      <c r="I7" s="25">
        <f>'281υ1'!I7*6/9</f>
        <v>0</v>
      </c>
      <c r="J7" s="25">
        <f>'281υ1'!J7*6/9</f>
        <v>0</v>
      </c>
      <c r="K7" s="25">
        <f>'281υ1'!K7*6/9</f>
        <v>0</v>
      </c>
      <c r="L7" s="25">
        <f>'281υ1'!L7*6/9</f>
        <v>0</v>
      </c>
      <c r="M7" s="25">
        <f>'281υ1'!M7*6/9</f>
        <v>0</v>
      </c>
      <c r="N7" s="25">
        <f>'281υ1'!N7*6/9</f>
        <v>0</v>
      </c>
      <c r="O7" s="25">
        <f>'281υ1'!O7*6/9</f>
        <v>0</v>
      </c>
      <c r="P7" s="25">
        <f>'281υ1'!P7*6/9</f>
        <v>0</v>
      </c>
      <c r="Q7" s="25">
        <f>'281υ1'!Q7*6/9</f>
        <v>0</v>
      </c>
    </row>
    <row r="8" spans="1:17">
      <c r="A8" s="26">
        <v>2004</v>
      </c>
      <c r="B8" s="25">
        <f>'281υ1'!B8*6/9</f>
        <v>0</v>
      </c>
      <c r="C8" s="25">
        <f>'281υ1'!C8*6/9</f>
        <v>0</v>
      </c>
      <c r="D8" s="25">
        <f>'281υ1'!D8*6/9</f>
        <v>0</v>
      </c>
      <c r="E8" s="25">
        <f>'281υ1'!E8*6/9</f>
        <v>0</v>
      </c>
      <c r="F8" s="25">
        <f>'281υ1'!F8*6/9</f>
        <v>0</v>
      </c>
      <c r="G8" s="25">
        <f>'281υ1'!G8*6/9</f>
        <v>0</v>
      </c>
      <c r="H8" s="25">
        <f>'281υ1'!H8*6/9</f>
        <v>0</v>
      </c>
      <c r="I8" s="25">
        <f>'281υ1'!I8*6/9</f>
        <v>0</v>
      </c>
      <c r="J8" s="25">
        <f>'281υ1'!J8*6/9</f>
        <v>0</v>
      </c>
      <c r="K8" s="25">
        <f>'281υ1'!K8*6/9</f>
        <v>0</v>
      </c>
      <c r="L8" s="25">
        <f>'281υ1'!L8*6/9</f>
        <v>0</v>
      </c>
      <c r="M8" s="25">
        <f>'281υ1'!M8*6/9</f>
        <v>0</v>
      </c>
      <c r="N8" s="25">
        <f>'281υ1'!N8*6/9</f>
        <v>0</v>
      </c>
      <c r="O8" s="25">
        <f>'281υ1'!O8*6/9</f>
        <v>0</v>
      </c>
      <c r="P8" s="25">
        <f>'281υ1'!P8*6/9</f>
        <v>0</v>
      </c>
      <c r="Q8" s="25">
        <f>'281υ1'!Q8*6/9</f>
        <v>0</v>
      </c>
    </row>
    <row r="9" spans="1:17">
      <c r="A9" s="26">
        <v>2005</v>
      </c>
      <c r="B9" s="25">
        <f>'281υ1'!B9*6/9</f>
        <v>0</v>
      </c>
      <c r="C9" s="25">
        <f>'281υ1'!C9*6/9</f>
        <v>0</v>
      </c>
      <c r="D9" s="25">
        <f>'281υ1'!D9*6/9</f>
        <v>0</v>
      </c>
      <c r="E9" s="25">
        <f>'281υ1'!E9*6/9</f>
        <v>0</v>
      </c>
      <c r="F9" s="25">
        <f>'281υ1'!F9*6/9</f>
        <v>0</v>
      </c>
      <c r="G9" s="25">
        <f>'281υ1'!G9*6/9</f>
        <v>0</v>
      </c>
      <c r="H9" s="25">
        <f>'281υ1'!H9*6/9</f>
        <v>0</v>
      </c>
      <c r="I9" s="25">
        <f>'281υ1'!I9*6/9</f>
        <v>0</v>
      </c>
      <c r="J9" s="25">
        <f>'281υ1'!J9*6/9</f>
        <v>0</v>
      </c>
      <c r="K9" s="25">
        <f>'281υ1'!K9*6/9</f>
        <v>0</v>
      </c>
      <c r="L9" s="25">
        <f>'281υ1'!L9*6/9</f>
        <v>0</v>
      </c>
      <c r="M9" s="25">
        <f>'281υ1'!M9*6/9</f>
        <v>0</v>
      </c>
      <c r="N9" s="25">
        <f>'281υ1'!N9*6/9</f>
        <v>0</v>
      </c>
      <c r="O9" s="25">
        <f>'281υ1'!O9*6/9</f>
        <v>0</v>
      </c>
      <c r="P9" s="25">
        <f>'281υ1'!P9*6/9</f>
        <v>0</v>
      </c>
      <c r="Q9" s="25">
        <f>'281υ1'!Q9*6/9</f>
        <v>0</v>
      </c>
    </row>
    <row r="10" spans="1:17">
      <c r="A10" s="26">
        <v>2006</v>
      </c>
      <c r="B10" s="25">
        <f>'281υ1'!B10*6/9</f>
        <v>0</v>
      </c>
      <c r="C10" s="25">
        <f>'281υ1'!C10*6/9</f>
        <v>0</v>
      </c>
      <c r="D10" s="25">
        <f>'281υ1'!D10*6/9</f>
        <v>0</v>
      </c>
      <c r="E10" s="25">
        <f>'281υ1'!E10*6/9</f>
        <v>0</v>
      </c>
      <c r="F10" s="25">
        <f>'281υ1'!F10*6/9</f>
        <v>0</v>
      </c>
      <c r="G10" s="25">
        <f>'281υ1'!G10*6/9</f>
        <v>0</v>
      </c>
      <c r="H10" s="25">
        <f>'281υ1'!H10*6/9</f>
        <v>0</v>
      </c>
      <c r="I10" s="25">
        <f>'281υ1'!I10*6/9</f>
        <v>0</v>
      </c>
      <c r="J10" s="25">
        <f>'281υ1'!J10*6/9</f>
        <v>0</v>
      </c>
      <c r="K10" s="25">
        <f>'281υ1'!K10*6/9</f>
        <v>0</v>
      </c>
      <c r="L10" s="25">
        <f>'281υ1'!L10*6/9</f>
        <v>0</v>
      </c>
      <c r="M10" s="25">
        <f>'281υ1'!M10*6/9</f>
        <v>0</v>
      </c>
      <c r="N10" s="25">
        <f>'281υ1'!N10*6/9</f>
        <v>0</v>
      </c>
      <c r="O10" s="25">
        <f>'281υ1'!O10*6/9</f>
        <v>0</v>
      </c>
      <c r="P10" s="25">
        <f>'281υ1'!P10*6/9</f>
        <v>0</v>
      </c>
      <c r="Q10" s="25">
        <f>'281υ1'!Q10*6/9</f>
        <v>0</v>
      </c>
    </row>
    <row r="11" spans="1:17">
      <c r="A11" s="26">
        <v>2007</v>
      </c>
      <c r="B11" s="25">
        <f>'281υ1'!B11*6/9</f>
        <v>0</v>
      </c>
      <c r="C11" s="25">
        <f>'281υ1'!C11*6/9</f>
        <v>0</v>
      </c>
      <c r="D11" s="25">
        <f>'281υ1'!D11*6/9</f>
        <v>0</v>
      </c>
      <c r="E11" s="25">
        <f>'281υ1'!E11*6/9</f>
        <v>0</v>
      </c>
      <c r="F11" s="25">
        <f>'281υ1'!F11*6/9</f>
        <v>0</v>
      </c>
      <c r="G11" s="25">
        <f>'281υ1'!G11*6/9</f>
        <v>0</v>
      </c>
      <c r="H11" s="25">
        <f>'281υ1'!H11*6/9</f>
        <v>0</v>
      </c>
      <c r="I11" s="25">
        <f>'281υ1'!I11*6/9</f>
        <v>0</v>
      </c>
      <c r="J11" s="25">
        <f>'281υ1'!J11*6/9</f>
        <v>0</v>
      </c>
      <c r="K11" s="25">
        <f>'281υ1'!K11*6/9</f>
        <v>0</v>
      </c>
      <c r="L11" s="25">
        <f>'281υ1'!L11*6/9</f>
        <v>0</v>
      </c>
      <c r="M11" s="25">
        <f>'281υ1'!M11*6/9</f>
        <v>0</v>
      </c>
      <c r="N11" s="25">
        <f>'281υ1'!N11*6/9</f>
        <v>0</v>
      </c>
      <c r="O11" s="25">
        <f>'281υ1'!O11*6/9</f>
        <v>0</v>
      </c>
      <c r="P11" s="25">
        <f>'281υ1'!P11*6/9</f>
        <v>0</v>
      </c>
      <c r="Q11" s="25">
        <f>'281υ1'!Q11*6/9</f>
        <v>0</v>
      </c>
    </row>
    <row r="12" spans="1:17">
      <c r="A12" s="26">
        <v>2008</v>
      </c>
      <c r="B12" s="25">
        <f>'281υ1'!B12*6/9</f>
        <v>0</v>
      </c>
      <c r="C12" s="25">
        <f>'281υ1'!C12*6/9</f>
        <v>0</v>
      </c>
      <c r="D12" s="25">
        <f>'281υ1'!D12*6/9</f>
        <v>0</v>
      </c>
      <c r="E12" s="25">
        <f>'281υ1'!E12*6/9</f>
        <v>0</v>
      </c>
      <c r="F12" s="25">
        <f>'281υ1'!F12*6/9</f>
        <v>0</v>
      </c>
      <c r="G12" s="25">
        <f>'281υ1'!G12*6/9</f>
        <v>0</v>
      </c>
      <c r="H12" s="25">
        <f>'281υ1'!H12*6/9</f>
        <v>0</v>
      </c>
      <c r="I12" s="25">
        <f>'281υ1'!I12*6/9</f>
        <v>0</v>
      </c>
      <c r="J12" s="25">
        <f>'281υ1'!J12*6/9</f>
        <v>0</v>
      </c>
      <c r="K12" s="25">
        <f>'281υ1'!K12*6/9</f>
        <v>0</v>
      </c>
      <c r="L12" s="25">
        <f>'281υ1'!L12*6/9</f>
        <v>0</v>
      </c>
      <c r="M12" s="25">
        <f>'281υ1'!M12*6/9</f>
        <v>0</v>
      </c>
      <c r="N12" s="25">
        <f>'281υ1'!N12*6/9</f>
        <v>0</v>
      </c>
      <c r="O12" s="25">
        <f>'281υ1'!O12*6/9</f>
        <v>0</v>
      </c>
      <c r="P12" s="25">
        <f>'281υ1'!P12*6/9</f>
        <v>0</v>
      </c>
      <c r="Q12" s="25">
        <f>'281υ1'!Q12*6/9</f>
        <v>0</v>
      </c>
    </row>
    <row r="13" spans="1:17">
      <c r="A13" s="26">
        <v>2009</v>
      </c>
      <c r="B13" s="25">
        <f>'281υ1'!B13*6/9</f>
        <v>0</v>
      </c>
      <c r="C13" s="25">
        <f>'281υ1'!C13*6/9</f>
        <v>0</v>
      </c>
      <c r="D13" s="25">
        <f>'281υ1'!D13*6/9</f>
        <v>0</v>
      </c>
      <c r="E13" s="25">
        <f>'281υ1'!E13*6/9</f>
        <v>0</v>
      </c>
      <c r="F13" s="25">
        <f>'281υ1'!F13*6/9</f>
        <v>0</v>
      </c>
      <c r="G13" s="25">
        <f>'281υ1'!G13*6/9</f>
        <v>0</v>
      </c>
      <c r="H13" s="25">
        <f>'281υ1'!H13*6/9</f>
        <v>0</v>
      </c>
      <c r="I13" s="25">
        <f>'281υ1'!I13*6/9</f>
        <v>0</v>
      </c>
      <c r="J13" s="25">
        <f>'281υ1'!J13*6/9</f>
        <v>0</v>
      </c>
      <c r="K13" s="25">
        <f>'281υ1'!K13*6/9</f>
        <v>0</v>
      </c>
      <c r="L13" s="25">
        <f>'281υ1'!L13*6/9</f>
        <v>0</v>
      </c>
      <c r="M13" s="25">
        <f>'281υ1'!M13*6/9</f>
        <v>0</v>
      </c>
      <c r="N13" s="25">
        <f>'281υ1'!N13*6/9</f>
        <v>0</v>
      </c>
      <c r="O13" s="25">
        <f>'281υ1'!O13*6/9</f>
        <v>0</v>
      </c>
      <c r="P13" s="25">
        <f>'281υ1'!P13*6/9</f>
        <v>0</v>
      </c>
      <c r="Q13" s="25">
        <f>'281υ1'!Q13*6/9</f>
        <v>0</v>
      </c>
    </row>
    <row r="14" spans="1:17">
      <c r="A14" s="26">
        <v>2010</v>
      </c>
      <c r="B14" s="25">
        <f>'281υ1'!B14*6/9</f>
        <v>0</v>
      </c>
      <c r="C14" s="25">
        <f>'281υ1'!C14*6/9</f>
        <v>0</v>
      </c>
      <c r="D14" s="25">
        <f>'281υ1'!D14*6/9</f>
        <v>0</v>
      </c>
      <c r="E14" s="25">
        <f>'281υ1'!E14*6/9</f>
        <v>0</v>
      </c>
      <c r="F14" s="25">
        <f>'281υ1'!F14*6/9</f>
        <v>0</v>
      </c>
      <c r="G14" s="25">
        <f>'281υ1'!G14*6/9</f>
        <v>0</v>
      </c>
      <c r="H14" s="25">
        <f>'281υ1'!H14*6/9</f>
        <v>0</v>
      </c>
      <c r="I14" s="25">
        <f>'281υ1'!I14*6/9</f>
        <v>0</v>
      </c>
      <c r="J14" s="25">
        <f>'281υ1'!J14*6/9</f>
        <v>0</v>
      </c>
      <c r="K14" s="25">
        <f>'281υ1'!K14*6/9</f>
        <v>0</v>
      </c>
      <c r="L14" s="25">
        <f>'281υ1'!L14*6/9</f>
        <v>0</v>
      </c>
      <c r="M14" s="25">
        <f>'281υ1'!M14*6/9</f>
        <v>0</v>
      </c>
      <c r="N14" s="25">
        <f>'281υ1'!N14*6/9</f>
        <v>0</v>
      </c>
      <c r="O14" s="25">
        <f>'281υ1'!O14*6/9</f>
        <v>0</v>
      </c>
      <c r="P14" s="25">
        <f>'281υ1'!P14*6/9</f>
        <v>0</v>
      </c>
      <c r="Q14" s="25">
        <f>'281υ1'!Q14*6/9</f>
        <v>0</v>
      </c>
    </row>
    <row r="15" spans="1:17">
      <c r="A15" s="26">
        <v>2011</v>
      </c>
      <c r="B15" s="25">
        <f>'281υ1'!B15*6/9</f>
        <v>0</v>
      </c>
      <c r="C15" s="25">
        <f>'281υ1'!C15*6/9</f>
        <v>0</v>
      </c>
      <c r="D15" s="25">
        <f>'281υ1'!D15*6/9</f>
        <v>0</v>
      </c>
      <c r="E15" s="25">
        <f>'281υ1'!E15*6/9</f>
        <v>0</v>
      </c>
      <c r="F15" s="25">
        <f>'281υ1'!F15*6/9</f>
        <v>0</v>
      </c>
      <c r="G15" s="25">
        <f>'281υ1'!G15*6/9</f>
        <v>0</v>
      </c>
      <c r="H15" s="25">
        <f>'281υ1'!H15*6/9</f>
        <v>0</v>
      </c>
      <c r="I15" s="25">
        <f>'281υ1'!I15*6/9</f>
        <v>0</v>
      </c>
      <c r="J15" s="25">
        <f>'281υ1'!J15*6/9</f>
        <v>0</v>
      </c>
      <c r="K15" s="25">
        <f>'281υ1'!K15*6/9</f>
        <v>0</v>
      </c>
      <c r="L15" s="25">
        <f>'281υ1'!L15*6/9</f>
        <v>0</v>
      </c>
      <c r="M15" s="25">
        <f>'281υ1'!M15*6/9</f>
        <v>0</v>
      </c>
      <c r="N15" s="25">
        <f>'281υ1'!N15*6/9</f>
        <v>0</v>
      </c>
      <c r="O15" s="25">
        <f>'281υ1'!O15*6/9</f>
        <v>0</v>
      </c>
      <c r="P15" s="25">
        <f>'281υ1'!P15*6/9</f>
        <v>0</v>
      </c>
      <c r="Q15" s="25">
        <f>'281υ1'!Q15*6/9</f>
        <v>0</v>
      </c>
    </row>
    <row r="16" spans="1:17">
      <c r="A16" s="26">
        <v>2012</v>
      </c>
      <c r="B16" s="25">
        <f>'281υ1'!B16*6/9</f>
        <v>0</v>
      </c>
      <c r="C16" s="25">
        <f>'281υ1'!C16*6/9</f>
        <v>0</v>
      </c>
      <c r="D16" s="25">
        <f>'281υ1'!D16*6/9</f>
        <v>0</v>
      </c>
      <c r="E16" s="25">
        <f>'281υ1'!E16*6/9</f>
        <v>0</v>
      </c>
      <c r="F16" s="25">
        <f>'281υ1'!F16*6/9</f>
        <v>0</v>
      </c>
      <c r="G16" s="25">
        <f>'281υ1'!G16*6/9</f>
        <v>0</v>
      </c>
      <c r="H16" s="25">
        <f>'281υ1'!H16*6/9</f>
        <v>0</v>
      </c>
      <c r="I16" s="25">
        <f>'281υ1'!I16*6/9</f>
        <v>0</v>
      </c>
      <c r="J16" s="25">
        <f>'281υ1'!J16*6/9</f>
        <v>0</v>
      </c>
      <c r="K16" s="25">
        <f>'281υ1'!K16*6/9</f>
        <v>0</v>
      </c>
      <c r="L16" s="25">
        <f>'281υ1'!L16*6/9</f>
        <v>0</v>
      </c>
      <c r="M16" s="25">
        <f>'281υ1'!M16*6/9</f>
        <v>0</v>
      </c>
      <c r="N16" s="25">
        <f>'281υ1'!N16*6/9</f>
        <v>0</v>
      </c>
      <c r="O16" s="25">
        <f>'281υ1'!O16*6/9</f>
        <v>0</v>
      </c>
      <c r="P16" s="25">
        <f>'281υ1'!P16*6/9</f>
        <v>0</v>
      </c>
      <c r="Q16" s="25">
        <f>'281υ1'!Q16*6/9</f>
        <v>0</v>
      </c>
    </row>
    <row r="17" spans="1:17">
      <c r="A17" s="26">
        <v>2013</v>
      </c>
      <c r="B17" s="25">
        <f>'281υ1'!B17*6/9</f>
        <v>0</v>
      </c>
      <c r="C17" s="25">
        <f>'281υ1'!C17*6/9</f>
        <v>0</v>
      </c>
      <c r="D17" s="25">
        <f>'281υ1'!D17*6/9</f>
        <v>0</v>
      </c>
      <c r="E17" s="25">
        <f>'281υ1'!E17*6/9</f>
        <v>0</v>
      </c>
      <c r="F17" s="25">
        <f>'281υ1'!F17*6/9</f>
        <v>0</v>
      </c>
      <c r="G17" s="25">
        <f>'281υ1'!G17*6/9</f>
        <v>0</v>
      </c>
      <c r="H17" s="25">
        <f>'281υ1'!H17*6/9</f>
        <v>0</v>
      </c>
      <c r="I17" s="25">
        <f>'281υ1'!I17*6/9</f>
        <v>0</v>
      </c>
      <c r="J17" s="25">
        <f>'281υ1'!J17*6/9</f>
        <v>0</v>
      </c>
      <c r="K17" s="25">
        <f>'281υ1'!K17*6/9</f>
        <v>0</v>
      </c>
      <c r="L17" s="25">
        <f>'281υ1'!L17*6/9</f>
        <v>0</v>
      </c>
      <c r="M17" s="25">
        <f>'281υ1'!M17*6/9</f>
        <v>0</v>
      </c>
      <c r="N17" s="25">
        <f>'281υ1'!N17*6/9</f>
        <v>0</v>
      </c>
      <c r="O17" s="25">
        <f>'281υ1'!O17*6/9</f>
        <v>0</v>
      </c>
      <c r="P17" s="25">
        <f>'281υ1'!P17*6/9</f>
        <v>0</v>
      </c>
      <c r="Q17" s="25">
        <f>'281υ1'!Q17*6/9</f>
        <v>0</v>
      </c>
    </row>
    <row r="18" spans="1:17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59">
        <f>SUM(N2:N4)</f>
        <v>42.553333333333327</v>
      </c>
      <c r="O18" s="83">
        <f>SUM(O2:O4)</f>
        <v>444</v>
      </c>
      <c r="P18" s="59">
        <f>SUM(P2:P4)</f>
        <v>15.197333333333333</v>
      </c>
      <c r="Q18" s="83">
        <f>SUM(Q2:Q4)</f>
        <v>155.5</v>
      </c>
    </row>
    <row r="19" spans="1:17">
      <c r="O19" s="245" t="s">
        <v>389</v>
      </c>
    </row>
    <row r="20" spans="1:17">
      <c r="O20" s="111">
        <v>46065</v>
      </c>
    </row>
    <row r="22" spans="1:17" ht="15.75" customHeight="1">
      <c r="A22" s="804" t="s">
        <v>277</v>
      </c>
      <c r="B22" s="804"/>
      <c r="C22" s="804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4"/>
      <c r="O22" s="804"/>
      <c r="P22" s="804"/>
      <c r="Q22" s="804"/>
    </row>
    <row r="23" spans="1:17" ht="15.75">
      <c r="C23" s="75"/>
      <c r="D23" s="75"/>
      <c r="E23" s="75"/>
      <c r="L23" s="28"/>
    </row>
  </sheetData>
  <mergeCells count="1">
    <mergeCell ref="A22:Q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1"/>
  <sheetViews>
    <sheetView workbookViewId="0">
      <selection activeCell="H66" sqref="H66"/>
    </sheetView>
  </sheetViews>
  <sheetFormatPr defaultRowHeight="14.25"/>
  <cols>
    <col min="1" max="1" width="7.21875" style="390" bestFit="1" customWidth="1"/>
    <col min="2" max="2" width="8.77734375" style="390" customWidth="1"/>
    <col min="3" max="3" width="8.44140625" style="390" bestFit="1" customWidth="1"/>
    <col min="4" max="4" width="8.109375" style="390" bestFit="1" customWidth="1"/>
    <col min="5" max="5" width="7.77734375" style="390" customWidth="1"/>
    <col min="6" max="6" width="8.77734375" style="390" bestFit="1" customWidth="1"/>
    <col min="7" max="7" width="8.88671875" style="390" customWidth="1"/>
    <col min="8" max="8" width="9.44140625" style="390" bestFit="1" customWidth="1"/>
    <col min="9" max="9" width="3.6640625" style="390" customWidth="1"/>
    <col min="10" max="10" width="2.5546875" style="390" customWidth="1"/>
    <col min="11" max="11" width="7.21875" style="390" bestFit="1" customWidth="1"/>
    <col min="12" max="12" width="7.6640625" style="390" customWidth="1"/>
    <col min="13" max="16384" width="8.88671875" style="390"/>
  </cols>
  <sheetData>
    <row r="1" spans="1:13">
      <c r="A1" s="763" t="s">
        <v>24</v>
      </c>
      <c r="B1" s="764"/>
      <c r="C1" s="765" t="s">
        <v>25</v>
      </c>
      <c r="D1" s="766"/>
      <c r="E1" s="761" t="s">
        <v>16</v>
      </c>
      <c r="F1" s="762"/>
      <c r="G1" s="762"/>
    </row>
    <row r="2" spans="1:13" ht="15" thickBot="1">
      <c r="A2" s="517" t="s">
        <v>29</v>
      </c>
      <c r="B2" s="518" t="s">
        <v>30</v>
      </c>
      <c r="C2" s="517" t="s">
        <v>29</v>
      </c>
      <c r="D2" s="519" t="s">
        <v>30</v>
      </c>
      <c r="E2" s="517" t="s">
        <v>31</v>
      </c>
      <c r="F2" s="517" t="s">
        <v>32</v>
      </c>
      <c r="G2" s="520" t="s">
        <v>54</v>
      </c>
      <c r="H2" s="390" t="s">
        <v>62</v>
      </c>
      <c r="J2" s="715"/>
      <c r="K2" s="715"/>
      <c r="L2" s="716"/>
      <c r="M2" s="716"/>
    </row>
    <row r="3" spans="1:13">
      <c r="A3" s="393">
        <v>82.45</v>
      </c>
      <c r="B3" s="393"/>
      <c r="C3" s="594"/>
      <c r="D3" s="393">
        <v>360.92</v>
      </c>
      <c r="E3" s="393">
        <f>A3+C3</f>
        <v>82.45</v>
      </c>
      <c r="F3" s="393">
        <f>B3+D3</f>
        <v>360.92</v>
      </c>
      <c r="G3" s="426">
        <v>10776</v>
      </c>
      <c r="H3" s="402">
        <v>290.49</v>
      </c>
      <c r="J3" s="534"/>
      <c r="K3" s="534"/>
      <c r="L3" s="534"/>
      <c r="M3" s="716"/>
    </row>
    <row r="4" spans="1:13">
      <c r="H4" s="402"/>
      <c r="J4" s="716"/>
      <c r="K4" s="716"/>
      <c r="L4" s="716"/>
      <c r="M4" s="716"/>
    </row>
    <row r="5" spans="1:13">
      <c r="G5" s="399">
        <v>46061</v>
      </c>
    </row>
    <row r="6" spans="1:13" ht="15">
      <c r="G6" s="401" t="s">
        <v>389</v>
      </c>
    </row>
    <row r="10" spans="1:13" ht="15">
      <c r="A10" s="601" t="s">
        <v>567</v>
      </c>
    </row>
    <row r="12" spans="1:13" ht="15">
      <c r="A12" s="601" t="s">
        <v>568</v>
      </c>
    </row>
    <row r="17" spans="1:12">
      <c r="A17" s="537" t="s">
        <v>571</v>
      </c>
      <c r="C17" s="390" t="s">
        <v>286</v>
      </c>
      <c r="D17" s="390" t="s">
        <v>29</v>
      </c>
      <c r="F17" s="390" t="s">
        <v>30</v>
      </c>
      <c r="H17" s="537" t="s">
        <v>572</v>
      </c>
    </row>
    <row r="18" spans="1:12">
      <c r="A18" s="525">
        <v>1998</v>
      </c>
      <c r="B18" s="510" t="s">
        <v>24</v>
      </c>
      <c r="C18" s="395">
        <v>3</v>
      </c>
      <c r="D18" s="402">
        <v>7.96</v>
      </c>
      <c r="E18" s="523"/>
      <c r="F18" s="535"/>
      <c r="G18" s="524"/>
      <c r="H18" s="402">
        <v>7.96</v>
      </c>
    </row>
    <row r="19" spans="1:12">
      <c r="A19" s="525"/>
      <c r="B19" s="523"/>
      <c r="C19" s="395">
        <v>5</v>
      </c>
      <c r="D19" s="402">
        <v>9.8699999999999992</v>
      </c>
      <c r="F19" s="402"/>
      <c r="G19" s="402"/>
      <c r="H19" s="402">
        <v>9.8699999999999992</v>
      </c>
    </row>
    <row r="20" spans="1:12">
      <c r="A20" s="525"/>
      <c r="B20" s="523"/>
      <c r="C20" s="395">
        <v>9</v>
      </c>
      <c r="D20" s="402">
        <v>12.24</v>
      </c>
      <c r="F20" s="402"/>
      <c r="G20" s="402"/>
      <c r="H20" s="402">
        <v>12.24</v>
      </c>
    </row>
    <row r="21" spans="1:12">
      <c r="A21" s="525"/>
      <c r="B21" s="523"/>
      <c r="C21" s="395">
        <v>12</v>
      </c>
      <c r="D21" s="402">
        <v>23.02</v>
      </c>
      <c r="F21" s="402"/>
      <c r="G21" s="402"/>
      <c r="H21" s="402">
        <v>23.02</v>
      </c>
    </row>
    <row r="22" spans="1:12">
      <c r="A22" s="525"/>
      <c r="B22" s="523"/>
      <c r="C22" s="395">
        <v>14</v>
      </c>
      <c r="D22" s="402">
        <v>29.36</v>
      </c>
      <c r="F22" s="402"/>
      <c r="G22" s="402"/>
      <c r="H22" s="402">
        <v>29.36</v>
      </c>
    </row>
    <row r="23" spans="1:12" ht="15" thickBot="1">
      <c r="A23" s="525"/>
      <c r="B23" s="542"/>
      <c r="C23" s="543"/>
      <c r="D23" s="544">
        <f>SUM(D18:D22)</f>
        <v>82.45</v>
      </c>
      <c r="E23" s="545" t="s">
        <v>562</v>
      </c>
      <c r="F23" s="546"/>
      <c r="G23" s="546"/>
      <c r="H23" s="547">
        <f>SUM(H18:H22)</f>
        <v>82.45</v>
      </c>
      <c r="I23" s="523" t="s">
        <v>565</v>
      </c>
    </row>
    <row r="24" spans="1:12">
      <c r="A24" s="525"/>
      <c r="B24" s="512" t="s">
        <v>25</v>
      </c>
      <c r="C24" s="534">
        <v>15</v>
      </c>
      <c r="D24" s="535"/>
      <c r="E24" s="512"/>
      <c r="G24" s="526"/>
    </row>
    <row r="25" spans="1:12">
      <c r="A25" s="525"/>
      <c r="B25" s="536"/>
      <c r="C25" s="534">
        <v>17</v>
      </c>
      <c r="D25" s="535"/>
      <c r="E25" s="535"/>
      <c r="F25" s="402"/>
      <c r="G25" s="535"/>
      <c r="H25" s="402">
        <v>16.68</v>
      </c>
    </row>
    <row r="26" spans="1:12">
      <c r="A26" s="525"/>
      <c r="B26" s="536"/>
      <c r="C26" s="395">
        <v>18</v>
      </c>
      <c r="D26" s="402"/>
      <c r="E26" s="402"/>
      <c r="F26" s="569"/>
      <c r="G26" s="402"/>
      <c r="H26" s="402">
        <v>19.850000000000001</v>
      </c>
      <c r="L26" s="390" t="s">
        <v>566</v>
      </c>
    </row>
    <row r="27" spans="1:12">
      <c r="A27" s="525"/>
      <c r="B27" s="536"/>
      <c r="C27" s="395">
        <v>19</v>
      </c>
      <c r="D27" s="402"/>
      <c r="E27" s="402"/>
      <c r="F27" s="402">
        <v>5.91</v>
      </c>
      <c r="G27" s="402"/>
      <c r="H27" s="402"/>
      <c r="L27" s="390" t="s">
        <v>566</v>
      </c>
    </row>
    <row r="28" spans="1:12">
      <c r="A28" s="525"/>
      <c r="B28" s="536"/>
      <c r="C28" s="395">
        <v>20</v>
      </c>
      <c r="D28" s="402"/>
      <c r="E28" s="402"/>
      <c r="F28" s="402"/>
      <c r="G28" s="402"/>
      <c r="H28" s="402">
        <v>4</v>
      </c>
    </row>
    <row r="29" spans="1:12">
      <c r="A29" s="525"/>
      <c r="B29" s="536"/>
      <c r="C29" s="395">
        <v>22</v>
      </c>
      <c r="D29" s="402"/>
      <c r="E29" s="402"/>
      <c r="F29" s="402">
        <v>10.18</v>
      </c>
      <c r="G29" s="402"/>
      <c r="H29" s="402">
        <v>10.18</v>
      </c>
      <c r="L29" s="390" t="s">
        <v>566</v>
      </c>
    </row>
    <row r="30" spans="1:12">
      <c r="A30" s="525"/>
      <c r="B30" s="536"/>
      <c r="C30" s="395">
        <v>23</v>
      </c>
      <c r="D30" s="402"/>
      <c r="E30" s="402"/>
      <c r="F30" s="402"/>
      <c r="G30" s="402"/>
      <c r="H30" s="402">
        <v>8.4</v>
      </c>
    </row>
    <row r="31" spans="1:12">
      <c r="A31" s="525"/>
      <c r="B31" s="536"/>
      <c r="C31" s="395">
        <v>25</v>
      </c>
      <c r="D31" s="402"/>
      <c r="E31" s="402"/>
      <c r="F31" s="402"/>
      <c r="G31" s="402"/>
      <c r="H31" s="402"/>
    </row>
    <row r="32" spans="1:12">
      <c r="A32" s="525"/>
      <c r="B32" s="536"/>
      <c r="C32" s="395">
        <v>30</v>
      </c>
      <c r="D32" s="402"/>
      <c r="E32" s="402"/>
      <c r="F32" s="402">
        <v>9.98</v>
      </c>
      <c r="G32" s="402"/>
      <c r="H32" s="402"/>
    </row>
    <row r="33" spans="1:12">
      <c r="A33" s="525"/>
      <c r="B33" s="536"/>
      <c r="C33" s="395">
        <v>32</v>
      </c>
      <c r="D33" s="402"/>
      <c r="E33" s="402"/>
      <c r="F33" s="402">
        <v>29.36</v>
      </c>
      <c r="G33" s="402"/>
      <c r="H33" s="402"/>
    </row>
    <row r="34" spans="1:12">
      <c r="A34" s="525"/>
      <c r="B34" s="536"/>
      <c r="C34" s="395">
        <v>34</v>
      </c>
      <c r="D34" s="402"/>
      <c r="E34" s="402"/>
      <c r="F34" s="402"/>
      <c r="G34" s="402"/>
      <c r="H34" s="402">
        <v>17.63</v>
      </c>
    </row>
    <row r="35" spans="1:12">
      <c r="A35" s="525"/>
      <c r="B35" s="536"/>
      <c r="C35" s="395">
        <v>36</v>
      </c>
      <c r="D35" s="402"/>
      <c r="E35" s="402"/>
      <c r="F35" s="569"/>
      <c r="G35" s="402"/>
      <c r="H35" s="402">
        <v>12.24</v>
      </c>
      <c r="L35" s="390" t="s">
        <v>566</v>
      </c>
    </row>
    <row r="36" spans="1:12">
      <c r="A36" s="525"/>
      <c r="B36" s="536"/>
      <c r="C36" s="395">
        <v>38</v>
      </c>
      <c r="D36" s="402"/>
      <c r="E36" s="402"/>
      <c r="F36" s="569"/>
      <c r="G36" s="402"/>
      <c r="H36" s="402">
        <v>10.43</v>
      </c>
      <c r="L36" s="390" t="s">
        <v>566</v>
      </c>
    </row>
    <row r="37" spans="1:12">
      <c r="A37" s="525"/>
      <c r="B37" s="536"/>
      <c r="C37" s="395">
        <v>41</v>
      </c>
      <c r="D37" s="402"/>
      <c r="E37" s="402"/>
      <c r="F37" s="402"/>
      <c r="G37" s="402"/>
      <c r="H37" s="402">
        <v>4</v>
      </c>
    </row>
    <row r="38" spans="1:12">
      <c r="A38" s="525"/>
      <c r="B38" s="536"/>
      <c r="C38" s="395">
        <v>43</v>
      </c>
      <c r="D38" s="402"/>
      <c r="E38" s="402"/>
      <c r="F38" s="402">
        <v>7.65</v>
      </c>
      <c r="G38" s="402"/>
      <c r="H38" s="402"/>
    </row>
    <row r="39" spans="1:12">
      <c r="A39" s="525"/>
      <c r="B39" s="536"/>
      <c r="C39" s="395">
        <v>44</v>
      </c>
      <c r="D39" s="402"/>
      <c r="E39" s="402"/>
      <c r="F39" s="402">
        <v>5.38</v>
      </c>
      <c r="G39" s="402"/>
      <c r="H39" s="402"/>
      <c r="L39" s="390" t="s">
        <v>566</v>
      </c>
    </row>
    <row r="40" spans="1:12">
      <c r="A40" s="525"/>
      <c r="B40" s="536"/>
      <c r="C40" s="395">
        <v>45</v>
      </c>
      <c r="D40" s="402"/>
      <c r="E40" s="402"/>
      <c r="F40" s="569"/>
      <c r="G40" s="402"/>
      <c r="H40" s="402">
        <v>4.08</v>
      </c>
      <c r="L40" s="390" t="s">
        <v>566</v>
      </c>
    </row>
    <row r="41" spans="1:12">
      <c r="A41" s="525"/>
      <c r="B41" s="536"/>
      <c r="C41" s="395">
        <v>47</v>
      </c>
      <c r="D41" s="402"/>
      <c r="E41" s="402"/>
      <c r="F41" s="402">
        <v>5.43</v>
      </c>
      <c r="G41" s="402"/>
      <c r="H41" s="402"/>
      <c r="L41" s="390" t="s">
        <v>566</v>
      </c>
    </row>
    <row r="42" spans="1:12">
      <c r="A42" s="525"/>
      <c r="B42" s="536"/>
      <c r="C42" s="395">
        <v>50</v>
      </c>
      <c r="D42" s="402"/>
      <c r="E42" s="402"/>
      <c r="F42" s="402"/>
      <c r="G42" s="402"/>
      <c r="H42" s="402">
        <v>2.93</v>
      </c>
    </row>
    <row r="43" spans="1:12">
      <c r="A43" s="525"/>
      <c r="B43" s="536"/>
      <c r="C43" s="395">
        <v>51</v>
      </c>
      <c r="D43" s="402"/>
      <c r="E43" s="402"/>
      <c r="F43" s="402"/>
      <c r="G43" s="402"/>
      <c r="H43" s="402">
        <v>8.76</v>
      </c>
    </row>
    <row r="44" spans="1:12">
      <c r="A44" s="525"/>
      <c r="B44" s="536"/>
      <c r="C44" s="395">
        <v>52</v>
      </c>
      <c r="D44" s="402"/>
      <c r="E44" s="402"/>
      <c r="F44" s="402"/>
      <c r="G44" s="402"/>
      <c r="H44" s="402">
        <v>5.59</v>
      </c>
      <c r="L44" s="390" t="s">
        <v>566</v>
      </c>
    </row>
    <row r="45" spans="1:12">
      <c r="A45" s="525"/>
      <c r="B45" s="536"/>
      <c r="C45" s="395">
        <v>53</v>
      </c>
      <c r="D45" s="402"/>
      <c r="E45" s="402"/>
      <c r="F45" s="402"/>
      <c r="G45" s="402"/>
      <c r="H45" s="402">
        <v>4.8099999999999996</v>
      </c>
    </row>
    <row r="46" spans="1:12">
      <c r="A46" s="525"/>
      <c r="B46" s="536"/>
      <c r="C46" s="395">
        <v>54</v>
      </c>
      <c r="D46" s="402"/>
      <c r="E46" s="402"/>
      <c r="F46" s="402"/>
      <c r="G46" s="402"/>
      <c r="H46" s="402">
        <v>46.62</v>
      </c>
    </row>
    <row r="47" spans="1:12">
      <c r="A47" s="525"/>
      <c r="B47" s="536"/>
      <c r="C47" s="395">
        <v>55</v>
      </c>
      <c r="D47" s="402"/>
      <c r="E47" s="402"/>
      <c r="F47" s="402"/>
      <c r="G47" s="402"/>
      <c r="H47" s="402">
        <v>6.06</v>
      </c>
      <c r="L47" s="390" t="s">
        <v>566</v>
      </c>
    </row>
    <row r="48" spans="1:12">
      <c r="A48" s="525"/>
      <c r="B48" s="536"/>
      <c r="C48" s="395">
        <v>59</v>
      </c>
      <c r="D48" s="402"/>
      <c r="E48" s="402"/>
      <c r="F48" s="402"/>
      <c r="G48" s="402"/>
      <c r="H48" s="402">
        <v>1.63</v>
      </c>
    </row>
    <row r="49" spans="1:15">
      <c r="A49" s="525"/>
      <c r="B49" s="536"/>
      <c r="C49" s="395">
        <v>61</v>
      </c>
      <c r="D49" s="402"/>
      <c r="E49" s="402"/>
      <c r="F49" s="402"/>
      <c r="G49" s="402"/>
      <c r="H49" s="402">
        <v>13.51</v>
      </c>
    </row>
    <row r="50" spans="1:15">
      <c r="A50" s="525"/>
      <c r="B50" s="536"/>
      <c r="C50" s="395">
        <v>64</v>
      </c>
      <c r="D50" s="402"/>
      <c r="E50" s="402"/>
      <c r="F50" s="402"/>
      <c r="G50" s="402"/>
      <c r="H50" s="402">
        <v>2.83</v>
      </c>
    </row>
    <row r="51" spans="1:15">
      <c r="A51" s="525"/>
      <c r="B51" s="536"/>
      <c r="C51" s="395">
        <v>65</v>
      </c>
      <c r="D51" s="402"/>
      <c r="E51" s="402"/>
      <c r="F51" s="402"/>
      <c r="G51" s="402"/>
      <c r="H51" s="402">
        <v>7.81</v>
      </c>
    </row>
    <row r="52" spans="1:15" ht="15" thickBot="1">
      <c r="A52" s="525"/>
      <c r="B52" s="548"/>
      <c r="C52" s="549"/>
      <c r="D52" s="548"/>
      <c r="E52" s="550" t="s">
        <v>562</v>
      </c>
      <c r="F52" s="546">
        <v>360.92</v>
      </c>
      <c r="G52" s="551"/>
      <c r="H52" s="552">
        <f>SUM(H24:H51)</f>
        <v>208.04000000000002</v>
      </c>
      <c r="I52" s="536" t="s">
        <v>563</v>
      </c>
      <c r="O52" s="536" t="s">
        <v>565</v>
      </c>
    </row>
    <row r="54" spans="1:15">
      <c r="H54" s="595">
        <f>H23+H52</f>
        <v>290.49</v>
      </c>
    </row>
    <row r="58" spans="1:15">
      <c r="E58" s="390" t="s">
        <v>617</v>
      </c>
      <c r="F58" s="595">
        <f>F27+F29+F39+F41</f>
        <v>26.9</v>
      </c>
      <c r="H58" s="595">
        <f>H29+H44+H47</f>
        <v>21.83</v>
      </c>
    </row>
    <row r="59" spans="1:15">
      <c r="G59" s="595">
        <f>F58+H58</f>
        <v>48.73</v>
      </c>
    </row>
    <row r="61" spans="1:15">
      <c r="G61" s="395">
        <v>1455</v>
      </c>
      <c r="H61" s="399">
        <v>46065</v>
      </c>
    </row>
  </sheetData>
  <mergeCells count="3">
    <mergeCell ref="E1:G1"/>
    <mergeCell ref="A1:B1"/>
    <mergeCell ref="C1:D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BH160"/>
  <sheetViews>
    <sheetView workbookViewId="0">
      <pane ySplit="1" topLeftCell="A2" activePane="bottomLeft" state="frozen"/>
      <selection pane="bottomLeft" activeCell="O7" sqref="O7"/>
    </sheetView>
  </sheetViews>
  <sheetFormatPr defaultRowHeight="15"/>
  <cols>
    <col min="1" max="1" width="5" style="21" bestFit="1" customWidth="1"/>
    <col min="2" max="7" width="8" style="21" bestFit="1" customWidth="1"/>
    <col min="8" max="9" width="7.109375" style="21" bestFit="1" customWidth="1"/>
    <col min="10" max="12" width="8" style="21" bestFit="1" customWidth="1"/>
    <col min="13" max="13" width="7.109375" style="21" bestFit="1" customWidth="1"/>
    <col min="14" max="14" width="11.44140625" style="21" customWidth="1"/>
    <col min="15" max="15" width="8.6640625" style="21" bestFit="1" customWidth="1"/>
    <col min="16" max="16" width="16.21875" style="21" customWidth="1"/>
    <col min="17" max="17" width="8.6640625" style="21" bestFit="1" customWidth="1"/>
    <col min="18" max="19" width="11.44140625" style="21" bestFit="1" customWidth="1"/>
    <col min="20" max="20" width="8.44140625" style="21" bestFit="1" customWidth="1"/>
    <col min="21" max="21" width="9.6640625" style="21" customWidth="1"/>
    <col min="22" max="22" width="10.44140625" style="21" customWidth="1"/>
    <col min="23" max="25" width="9" style="21" bestFit="1" customWidth="1"/>
    <col min="26" max="26" width="12.44140625" style="21" customWidth="1"/>
    <col min="27" max="27" width="11.77734375" style="21" customWidth="1"/>
    <col min="28" max="29" width="9" style="21" bestFit="1" customWidth="1"/>
    <col min="30" max="30" width="10" style="21" bestFit="1" customWidth="1"/>
    <col min="31" max="31" width="10.5546875" style="21" customWidth="1"/>
    <col min="32" max="32" width="10.44140625" style="21" bestFit="1" customWidth="1"/>
    <col min="33" max="33" width="9.33203125" style="21" bestFit="1" customWidth="1"/>
    <col min="34" max="36" width="9" style="21" bestFit="1" customWidth="1"/>
    <col min="37" max="37" width="10.44140625" style="21" bestFit="1" customWidth="1"/>
    <col min="38" max="38" width="8" style="21" bestFit="1" customWidth="1"/>
    <col min="39" max="39" width="9" style="21" bestFit="1" customWidth="1"/>
    <col min="40" max="40" width="8" style="21" bestFit="1" customWidth="1"/>
    <col min="41" max="42" width="11.44140625" style="21" bestFit="1" customWidth="1"/>
    <col min="43" max="43" width="10.44140625" style="21" bestFit="1" customWidth="1"/>
    <col min="44" max="50" width="8.88671875" style="21"/>
    <col min="51" max="51" width="11.44140625" style="21" bestFit="1" customWidth="1"/>
    <col min="52" max="16384" width="8.88671875" style="21"/>
  </cols>
  <sheetData>
    <row r="1" spans="1:60">
      <c r="A1" s="171"/>
      <c r="B1" s="71" t="s">
        <v>18</v>
      </c>
      <c r="C1" s="72" t="s">
        <v>19</v>
      </c>
      <c r="D1" s="71" t="s">
        <v>20</v>
      </c>
      <c r="E1" s="73" t="s">
        <v>21</v>
      </c>
      <c r="F1" s="71" t="s">
        <v>2</v>
      </c>
      <c r="G1" s="72" t="s">
        <v>22</v>
      </c>
      <c r="H1" s="71" t="s">
        <v>23</v>
      </c>
      <c r="I1" s="73" t="s">
        <v>24</v>
      </c>
      <c r="J1" s="71" t="s">
        <v>25</v>
      </c>
      <c r="K1" s="72" t="s">
        <v>26</v>
      </c>
      <c r="L1" s="71" t="s">
        <v>27</v>
      </c>
      <c r="M1" s="73" t="s">
        <v>28</v>
      </c>
      <c r="N1" s="74" t="s">
        <v>16</v>
      </c>
      <c r="O1" s="176" t="s">
        <v>54</v>
      </c>
      <c r="P1" s="177" t="s">
        <v>210</v>
      </c>
      <c r="Q1" s="176" t="s">
        <v>54</v>
      </c>
      <c r="U1" s="847">
        <v>1998</v>
      </c>
      <c r="V1" s="847"/>
      <c r="W1" s="848">
        <v>1997</v>
      </c>
      <c r="X1" s="848"/>
      <c r="Y1" s="847">
        <v>1996</v>
      </c>
      <c r="Z1" s="847"/>
      <c r="AA1" s="848">
        <v>1995</v>
      </c>
      <c r="AB1" s="848"/>
      <c r="AC1" s="847">
        <v>1994</v>
      </c>
      <c r="AD1" s="847"/>
      <c r="AE1" s="848">
        <v>1993</v>
      </c>
      <c r="AF1" s="848"/>
      <c r="AG1" s="847">
        <v>1992</v>
      </c>
      <c r="AH1" s="847"/>
      <c r="AI1" s="848">
        <v>1991</v>
      </c>
      <c r="AJ1" s="848"/>
      <c r="AK1" s="847">
        <v>1990</v>
      </c>
      <c r="AL1" s="847"/>
      <c r="AM1" s="848">
        <v>1989</v>
      </c>
      <c r="AN1" s="848"/>
      <c r="AO1" s="847">
        <v>1988</v>
      </c>
      <c r="AP1" s="847"/>
      <c r="AQ1" s="848">
        <v>1987</v>
      </c>
      <c r="AR1" s="848"/>
      <c r="AS1" s="847">
        <v>1986</v>
      </c>
      <c r="AT1" s="847"/>
      <c r="AU1" s="848">
        <v>1985</v>
      </c>
      <c r="AV1" s="848"/>
      <c r="AW1" s="847">
        <v>1984</v>
      </c>
      <c r="AX1" s="847"/>
      <c r="AY1" s="848">
        <v>1983</v>
      </c>
      <c r="AZ1" s="848"/>
      <c r="BA1" s="847">
        <v>1982</v>
      </c>
      <c r="BB1" s="847"/>
      <c r="BC1" s="848">
        <v>1981</v>
      </c>
      <c r="BD1" s="848"/>
      <c r="BE1" s="847">
        <v>1980</v>
      </c>
      <c r="BF1" s="847"/>
      <c r="BG1" s="848">
        <v>1979</v>
      </c>
      <c r="BH1" s="848"/>
    </row>
    <row r="2" spans="1:60">
      <c r="A2" s="23">
        <v>1998</v>
      </c>
      <c r="B2" s="67"/>
      <c r="C2" s="67"/>
      <c r="D2" s="67"/>
      <c r="E2" s="67"/>
      <c r="F2" s="67"/>
      <c r="G2" s="67"/>
      <c r="H2" s="67"/>
      <c r="I2" s="25"/>
      <c r="J2" s="25"/>
      <c r="K2" s="25">
        <v>17.559999999999999</v>
      </c>
      <c r="L2" s="25"/>
      <c r="M2" s="25"/>
      <c r="N2" s="25">
        <f>SUM(I2:M2)</f>
        <v>17.559999999999999</v>
      </c>
      <c r="O2" s="33">
        <v>514</v>
      </c>
      <c r="P2" s="25">
        <f>N2*R2</f>
        <v>5.2679999999999998</v>
      </c>
      <c r="Q2" s="33">
        <f>O2*R2</f>
        <v>154.19999999999999</v>
      </c>
      <c r="R2" s="479">
        <v>0.3</v>
      </c>
      <c r="U2" s="178">
        <v>14084</v>
      </c>
      <c r="V2" s="178">
        <v>10152</v>
      </c>
      <c r="W2" s="178">
        <v>13287</v>
      </c>
      <c r="X2" s="178">
        <v>12879</v>
      </c>
      <c r="Y2" s="58">
        <v>12631</v>
      </c>
      <c r="Z2" s="179">
        <v>11386</v>
      </c>
      <c r="AA2" s="58"/>
      <c r="AB2" s="58">
        <v>12139</v>
      </c>
      <c r="AC2" s="58"/>
      <c r="AD2" s="58">
        <v>11455</v>
      </c>
      <c r="AE2" s="58"/>
      <c r="AF2" s="58">
        <v>10809</v>
      </c>
      <c r="AG2" s="58">
        <v>10435</v>
      </c>
      <c r="AH2" s="58">
        <v>5280</v>
      </c>
      <c r="AI2" s="58"/>
      <c r="AJ2" s="58">
        <v>9858</v>
      </c>
      <c r="AK2" s="58"/>
      <c r="AL2" s="58">
        <v>9367</v>
      </c>
      <c r="AM2" s="178">
        <v>8788</v>
      </c>
      <c r="AN2" s="178">
        <v>7753</v>
      </c>
      <c r="AO2" s="178">
        <v>8248</v>
      </c>
      <c r="AP2" s="178">
        <v>8132</v>
      </c>
      <c r="AQ2" s="178">
        <v>8029</v>
      </c>
      <c r="AR2" s="178">
        <v>7641</v>
      </c>
      <c r="AS2" s="178">
        <v>7414</v>
      </c>
      <c r="AT2" s="178">
        <v>7171</v>
      </c>
      <c r="AU2" s="58"/>
      <c r="AV2" s="58">
        <v>7037</v>
      </c>
      <c r="AW2" s="178">
        <v>6572</v>
      </c>
      <c r="AX2" s="178">
        <v>6513</v>
      </c>
      <c r="AY2" s="178">
        <v>6105</v>
      </c>
      <c r="AZ2" s="178">
        <v>5546</v>
      </c>
      <c r="BA2" s="178">
        <v>5591</v>
      </c>
      <c r="BB2" s="178">
        <v>5466</v>
      </c>
      <c r="BC2" s="178">
        <v>5200</v>
      </c>
      <c r="BD2" s="178">
        <v>4916</v>
      </c>
      <c r="BE2" s="58">
        <v>4663</v>
      </c>
      <c r="BF2" s="58">
        <v>4376</v>
      </c>
    </row>
    <row r="3" spans="1:60">
      <c r="A3" s="26">
        <v>1999</v>
      </c>
      <c r="B3" s="59"/>
      <c r="C3" s="59"/>
      <c r="D3" s="59"/>
      <c r="E3" s="59"/>
      <c r="F3" s="59"/>
      <c r="G3" s="59">
        <v>3.62</v>
      </c>
      <c r="H3" s="59"/>
      <c r="I3" s="59">
        <v>5.52</v>
      </c>
      <c r="J3" s="59"/>
      <c r="K3" s="59"/>
      <c r="L3" s="59"/>
      <c r="M3" s="59"/>
      <c r="N3" s="25">
        <f>SUM(B3:M3)</f>
        <v>9.14</v>
      </c>
      <c r="O3" s="33">
        <v>227</v>
      </c>
      <c r="P3" s="25">
        <f t="shared" ref="P3:P12" si="0">N3*R3</f>
        <v>3.6560000000000006</v>
      </c>
      <c r="Q3" s="33">
        <f t="shared" ref="Q3:Q12" si="1">O3*R3</f>
        <v>90.800000000000011</v>
      </c>
      <c r="R3" s="479">
        <v>0.4</v>
      </c>
      <c r="U3" s="58"/>
      <c r="V3" s="58">
        <v>14262</v>
      </c>
      <c r="W3" s="58"/>
      <c r="X3" s="58">
        <v>13325</v>
      </c>
      <c r="Y3" s="58"/>
      <c r="Z3" s="58">
        <v>12639</v>
      </c>
      <c r="AA3" s="178">
        <v>12208</v>
      </c>
      <c r="AB3" s="178">
        <v>12104</v>
      </c>
      <c r="AC3" s="58"/>
      <c r="AD3" s="58">
        <v>11547</v>
      </c>
      <c r="AE3" s="178">
        <v>10830</v>
      </c>
      <c r="AF3" s="178">
        <v>10624</v>
      </c>
      <c r="AG3" s="58"/>
      <c r="AH3" s="58">
        <v>10447</v>
      </c>
      <c r="AI3" s="58"/>
      <c r="AJ3" s="58">
        <v>9900</v>
      </c>
      <c r="AK3" s="178">
        <v>9369</v>
      </c>
      <c r="AL3" s="178">
        <v>7539</v>
      </c>
      <c r="AM3" s="178">
        <v>8797</v>
      </c>
      <c r="AN3" s="178">
        <v>8598</v>
      </c>
      <c r="AO3" s="178">
        <v>8258</v>
      </c>
      <c r="AP3" s="178">
        <v>8135</v>
      </c>
      <c r="AQ3" s="58">
        <v>8058</v>
      </c>
      <c r="AR3" s="58">
        <v>3508</v>
      </c>
      <c r="AS3" s="58">
        <v>7419</v>
      </c>
      <c r="AT3" s="58">
        <v>5276</v>
      </c>
      <c r="AU3" s="58"/>
      <c r="AV3" s="58">
        <v>7169</v>
      </c>
      <c r="AW3" s="58"/>
      <c r="AX3" s="58">
        <v>6574</v>
      </c>
      <c r="AY3" s="58">
        <v>6128</v>
      </c>
      <c r="AZ3" s="58">
        <v>3927</v>
      </c>
      <c r="BA3" s="58">
        <v>5609</v>
      </c>
      <c r="BB3" s="58">
        <v>4477</v>
      </c>
      <c r="BC3" s="58">
        <v>5268</v>
      </c>
      <c r="BD3" s="58">
        <v>4135</v>
      </c>
      <c r="BE3" s="58">
        <v>4723</v>
      </c>
      <c r="BF3" s="58">
        <v>1841</v>
      </c>
    </row>
    <row r="4" spans="1:60">
      <c r="A4" s="26">
        <v>2000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25"/>
      <c r="O4" s="33"/>
      <c r="P4" s="25">
        <f t="shared" si="0"/>
        <v>0</v>
      </c>
      <c r="Q4" s="33">
        <f t="shared" si="1"/>
        <v>0</v>
      </c>
      <c r="R4" s="479">
        <v>0.45</v>
      </c>
      <c r="U4" s="178">
        <v>14266</v>
      </c>
      <c r="V4" s="178">
        <v>14127</v>
      </c>
      <c r="W4" s="58"/>
      <c r="X4" s="58">
        <v>13402</v>
      </c>
      <c r="Y4" s="58"/>
      <c r="Z4" s="58">
        <v>12725</v>
      </c>
      <c r="AA4" s="178">
        <v>12231</v>
      </c>
      <c r="AB4" s="178">
        <v>12100</v>
      </c>
      <c r="AC4" s="58"/>
      <c r="AD4" s="58">
        <v>11608</v>
      </c>
      <c r="AE4" s="178">
        <v>10938</v>
      </c>
      <c r="AF4" s="178">
        <v>10874</v>
      </c>
      <c r="AG4" s="58"/>
      <c r="AH4" s="58">
        <v>10459</v>
      </c>
      <c r="AI4" s="58"/>
      <c r="AJ4" s="58">
        <v>9902</v>
      </c>
      <c r="AK4" s="58">
        <v>9387</v>
      </c>
      <c r="AL4" s="58">
        <v>2225</v>
      </c>
      <c r="AM4" s="178">
        <v>8863</v>
      </c>
      <c r="AN4" s="178">
        <v>8567</v>
      </c>
      <c r="AO4" s="58"/>
      <c r="AP4" s="58">
        <v>8260</v>
      </c>
      <c r="AQ4" s="178">
        <v>8068</v>
      </c>
      <c r="AR4" s="178">
        <v>8025</v>
      </c>
      <c r="AS4" s="58">
        <v>7631</v>
      </c>
      <c r="AT4" s="58">
        <v>1948</v>
      </c>
      <c r="AU4" s="178">
        <v>7191</v>
      </c>
      <c r="AV4" s="178">
        <v>6394</v>
      </c>
      <c r="AW4" s="58">
        <v>6661</v>
      </c>
      <c r="AX4" s="58">
        <v>2829</v>
      </c>
      <c r="AY4" s="58">
        <v>6186</v>
      </c>
      <c r="AZ4" s="58">
        <v>2345</v>
      </c>
      <c r="BA4" s="84">
        <v>5639</v>
      </c>
      <c r="BB4" s="178">
        <v>5477</v>
      </c>
      <c r="BC4" s="178">
        <v>5328</v>
      </c>
      <c r="BD4" s="178">
        <v>5249</v>
      </c>
      <c r="BE4" s="58">
        <v>4733</v>
      </c>
      <c r="BF4" s="58">
        <v>2926</v>
      </c>
    </row>
    <row r="5" spans="1:60">
      <c r="A5" s="26">
        <v>2001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>
        <v>6.47</v>
      </c>
      <c r="N5" s="25">
        <f t="shared" ref="N5:N8" si="2">SUM(B5:M5)</f>
        <v>6.47</v>
      </c>
      <c r="O5" s="33">
        <v>112</v>
      </c>
      <c r="P5" s="25">
        <f t="shared" si="0"/>
        <v>2.5880000000000001</v>
      </c>
      <c r="Q5" s="33">
        <f t="shared" si="1"/>
        <v>44.800000000000004</v>
      </c>
      <c r="R5" s="479">
        <v>0.4</v>
      </c>
      <c r="U5" s="58"/>
      <c r="V5" s="58"/>
      <c r="W5" s="58"/>
      <c r="X5" s="58">
        <v>13403</v>
      </c>
      <c r="Y5" s="178">
        <v>12728</v>
      </c>
      <c r="Z5" s="178">
        <v>12282</v>
      </c>
      <c r="AA5" s="58"/>
      <c r="AB5" s="58">
        <v>12275</v>
      </c>
      <c r="AC5" s="178">
        <v>11629</v>
      </c>
      <c r="AD5" s="178">
        <v>11602</v>
      </c>
      <c r="AE5" s="58"/>
      <c r="AF5" s="58">
        <v>10966</v>
      </c>
      <c r="AG5" s="58">
        <v>10483</v>
      </c>
      <c r="AH5" s="58">
        <v>10353</v>
      </c>
      <c r="AI5" s="58"/>
      <c r="AJ5" s="58">
        <v>9920</v>
      </c>
      <c r="AK5" s="58"/>
      <c r="AL5" s="58">
        <v>9455</v>
      </c>
      <c r="AM5" s="178">
        <v>8964</v>
      </c>
      <c r="AN5" s="178">
        <v>8926</v>
      </c>
      <c r="AO5" s="58"/>
      <c r="AP5" s="58">
        <v>8263</v>
      </c>
      <c r="AQ5" s="58"/>
      <c r="AR5" s="58">
        <v>8074</v>
      </c>
      <c r="AS5" s="58"/>
      <c r="AT5" s="58">
        <v>7643</v>
      </c>
      <c r="AU5" s="178">
        <v>7192</v>
      </c>
      <c r="AV5" s="178">
        <v>6393</v>
      </c>
      <c r="AW5" s="58">
        <v>6855</v>
      </c>
      <c r="AX5" s="58">
        <v>6813</v>
      </c>
      <c r="AY5" s="178">
        <v>6195</v>
      </c>
      <c r="AZ5" s="178">
        <v>6057</v>
      </c>
      <c r="BA5" s="178">
        <v>5731</v>
      </c>
      <c r="BB5" s="178">
        <v>4919</v>
      </c>
      <c r="BC5" s="58">
        <v>5353</v>
      </c>
      <c r="BD5" s="58">
        <v>3938</v>
      </c>
      <c r="BE5" s="178">
        <v>4737</v>
      </c>
      <c r="BF5" s="178">
        <v>4670</v>
      </c>
    </row>
    <row r="6" spans="1:60">
      <c r="A6" s="26">
        <v>2002</v>
      </c>
      <c r="B6" s="59"/>
      <c r="C6" s="59"/>
      <c r="D6" s="59"/>
      <c r="E6" s="59"/>
      <c r="F6" s="59"/>
      <c r="G6" s="59"/>
      <c r="H6" s="59"/>
      <c r="I6" s="59"/>
      <c r="J6" s="59">
        <v>2.08</v>
      </c>
      <c r="K6" s="59"/>
      <c r="L6" s="59"/>
      <c r="M6" s="59"/>
      <c r="N6" s="25">
        <f t="shared" si="2"/>
        <v>2.08</v>
      </c>
      <c r="O6" s="33">
        <v>33</v>
      </c>
      <c r="P6" s="25">
        <f t="shared" si="0"/>
        <v>0.83200000000000007</v>
      </c>
      <c r="Q6" s="33">
        <f t="shared" si="1"/>
        <v>13.200000000000001</v>
      </c>
      <c r="R6" s="479">
        <v>0.4</v>
      </c>
      <c r="S6" s="69" t="s">
        <v>208</v>
      </c>
      <c r="T6" s="69" t="s">
        <v>212</v>
      </c>
      <c r="U6" s="58"/>
      <c r="V6" s="58"/>
      <c r="W6" s="178">
        <v>13611</v>
      </c>
      <c r="X6" s="178">
        <v>13503</v>
      </c>
      <c r="Y6" s="178">
        <v>12729</v>
      </c>
      <c r="Z6" s="178">
        <v>10660</v>
      </c>
      <c r="AA6" s="178">
        <v>12340</v>
      </c>
      <c r="AB6" s="178">
        <v>12157</v>
      </c>
      <c r="AC6" s="58"/>
      <c r="AD6" s="58">
        <v>11669</v>
      </c>
      <c r="AE6" s="58"/>
      <c r="AF6" s="58">
        <v>10996</v>
      </c>
      <c r="AG6" s="58"/>
      <c r="AH6" s="58">
        <v>10512</v>
      </c>
      <c r="AI6" s="58">
        <v>9968</v>
      </c>
      <c r="AJ6" s="58">
        <v>8027</v>
      </c>
      <c r="AK6" s="178">
        <v>9528</v>
      </c>
      <c r="AL6" s="178">
        <v>9511</v>
      </c>
      <c r="AM6" s="58"/>
      <c r="AN6" s="58">
        <v>9090</v>
      </c>
      <c r="AO6" s="58"/>
      <c r="AP6" s="58">
        <v>8306</v>
      </c>
      <c r="AQ6" s="58"/>
      <c r="AR6" s="58">
        <v>8207</v>
      </c>
      <c r="AS6" s="178">
        <v>7808</v>
      </c>
      <c r="AT6" s="178">
        <v>7603</v>
      </c>
      <c r="AU6" s="178">
        <v>7265</v>
      </c>
      <c r="AV6" s="178">
        <v>6839</v>
      </c>
      <c r="AW6" s="58">
        <v>6861</v>
      </c>
      <c r="AX6" s="58">
        <v>482</v>
      </c>
      <c r="AY6" s="178">
        <v>6202</v>
      </c>
      <c r="AZ6" s="178">
        <v>6118</v>
      </c>
      <c r="BA6" s="58"/>
      <c r="BB6" s="58">
        <v>5734</v>
      </c>
      <c r="BC6" s="58">
        <v>5354</v>
      </c>
      <c r="BD6" s="58">
        <v>3939</v>
      </c>
      <c r="BE6" s="58">
        <v>4729</v>
      </c>
      <c r="BF6" s="58">
        <v>2926</v>
      </c>
    </row>
    <row r="7" spans="1:60">
      <c r="A7" s="26">
        <v>2003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59"/>
      <c r="M7" s="59"/>
      <c r="N7" s="25">
        <f t="shared" si="2"/>
        <v>0</v>
      </c>
      <c r="O7" s="33"/>
      <c r="P7" s="25">
        <f t="shared" si="0"/>
        <v>0</v>
      </c>
      <c r="Q7" s="33">
        <f t="shared" si="1"/>
        <v>0</v>
      </c>
      <c r="S7" s="58">
        <v>1200000</v>
      </c>
      <c r="U7" s="58"/>
      <c r="V7" s="58"/>
      <c r="W7" s="178">
        <v>13636</v>
      </c>
      <c r="X7" s="178">
        <v>13388</v>
      </c>
      <c r="Y7" s="178">
        <v>12811</v>
      </c>
      <c r="Z7" s="178">
        <v>12803</v>
      </c>
      <c r="AA7" s="58"/>
      <c r="AB7" s="58">
        <v>12373</v>
      </c>
      <c r="AC7" s="178">
        <v>11676</v>
      </c>
      <c r="AD7" s="178">
        <v>11222</v>
      </c>
      <c r="AE7" s="58"/>
      <c r="AF7" s="58">
        <v>11023</v>
      </c>
      <c r="AG7" s="178">
        <v>10607</v>
      </c>
      <c r="AH7" s="178">
        <v>10079</v>
      </c>
      <c r="AI7" s="178">
        <v>9987</v>
      </c>
      <c r="AJ7" s="178">
        <v>9663</v>
      </c>
      <c r="AK7" s="178">
        <v>9549</v>
      </c>
      <c r="AL7" s="178">
        <v>9131</v>
      </c>
      <c r="AM7" s="58"/>
      <c r="AN7" s="58">
        <v>9092</v>
      </c>
      <c r="AO7" s="178">
        <v>8436</v>
      </c>
      <c r="AP7" s="178">
        <v>8186</v>
      </c>
      <c r="AQ7" s="58"/>
      <c r="AR7" s="58">
        <v>8230</v>
      </c>
      <c r="AS7" s="58"/>
      <c r="AT7" s="58">
        <v>7809</v>
      </c>
      <c r="AU7" s="58"/>
      <c r="AV7" s="58">
        <v>7332</v>
      </c>
      <c r="AW7" s="178">
        <v>6935</v>
      </c>
      <c r="AX7" s="178">
        <v>6577</v>
      </c>
      <c r="AY7" s="178">
        <v>6205</v>
      </c>
      <c r="AZ7" s="178">
        <v>6114</v>
      </c>
      <c r="BA7" s="58"/>
      <c r="BB7" s="58">
        <v>5735</v>
      </c>
      <c r="BC7" s="178">
        <v>5363</v>
      </c>
      <c r="BD7" s="178">
        <v>5261</v>
      </c>
      <c r="BE7" s="58"/>
      <c r="BF7" s="58">
        <v>4852</v>
      </c>
    </row>
    <row r="8" spans="1:60">
      <c r="A8" s="26">
        <v>2004</v>
      </c>
      <c r="B8" s="180"/>
      <c r="C8" s="503"/>
      <c r="D8" s="180"/>
      <c r="E8" s="180"/>
      <c r="F8" s="180"/>
      <c r="G8" s="180"/>
      <c r="H8" s="180"/>
      <c r="I8" s="180"/>
      <c r="J8" s="180"/>
      <c r="K8" s="180"/>
      <c r="L8" s="59"/>
      <c r="M8" s="59"/>
      <c r="N8" s="25">
        <f t="shared" si="2"/>
        <v>0</v>
      </c>
      <c r="O8" s="33"/>
      <c r="P8" s="25">
        <f t="shared" si="0"/>
        <v>0</v>
      </c>
      <c r="Q8" s="33">
        <f t="shared" si="1"/>
        <v>0</v>
      </c>
      <c r="S8" s="58">
        <f>S7*1.2%</f>
        <v>14400</v>
      </c>
      <c r="U8" s="58"/>
      <c r="V8" s="58"/>
      <c r="W8" s="178">
        <v>13637</v>
      </c>
      <c r="X8" s="178">
        <v>13389</v>
      </c>
      <c r="Y8" s="58">
        <v>12846</v>
      </c>
      <c r="Z8" s="58">
        <v>11086</v>
      </c>
      <c r="AA8" s="58"/>
      <c r="AB8" s="58">
        <v>12387</v>
      </c>
      <c r="AC8" s="178">
        <v>11693</v>
      </c>
      <c r="AD8" s="178">
        <v>11667</v>
      </c>
      <c r="AE8" s="178">
        <v>11028</v>
      </c>
      <c r="AF8" s="178">
        <v>10759</v>
      </c>
      <c r="AG8" s="178">
        <v>10649</v>
      </c>
      <c r="AH8" s="178">
        <v>10572</v>
      </c>
      <c r="AI8" s="58">
        <v>10016</v>
      </c>
      <c r="AJ8" s="58">
        <v>8196</v>
      </c>
      <c r="AK8" s="58"/>
      <c r="AL8" s="58">
        <v>9580</v>
      </c>
      <c r="AM8" s="178">
        <v>9104</v>
      </c>
      <c r="AN8" s="178">
        <v>8752</v>
      </c>
      <c r="AO8" s="58"/>
      <c r="AP8" s="58">
        <v>8490</v>
      </c>
      <c r="AQ8" s="58"/>
      <c r="AR8" s="58">
        <v>8231</v>
      </c>
      <c r="AS8" s="58"/>
      <c r="AT8" s="58">
        <v>7810</v>
      </c>
      <c r="AU8" s="178">
        <v>7354</v>
      </c>
      <c r="AV8" s="178">
        <v>6058</v>
      </c>
      <c r="AW8" s="58"/>
      <c r="AX8" s="58"/>
      <c r="AY8" s="58">
        <v>6233</v>
      </c>
      <c r="AZ8" s="58">
        <v>4381</v>
      </c>
      <c r="BA8" s="58"/>
      <c r="BB8" s="58">
        <v>5736</v>
      </c>
      <c r="BC8" s="58">
        <v>5375</v>
      </c>
      <c r="BD8" s="58">
        <v>4369</v>
      </c>
      <c r="BE8" s="58">
        <v>4995</v>
      </c>
      <c r="BF8" s="58">
        <v>4297</v>
      </c>
    </row>
    <row r="9" spans="1:60">
      <c r="A9" s="26">
        <v>2005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25"/>
      <c r="O9" s="33"/>
      <c r="P9" s="25">
        <f t="shared" si="0"/>
        <v>0</v>
      </c>
      <c r="Q9" s="33">
        <f t="shared" si="1"/>
        <v>0</v>
      </c>
      <c r="R9" s="21">
        <v>4212</v>
      </c>
      <c r="S9" s="58">
        <f>S8*9%</f>
        <v>1296</v>
      </c>
      <c r="T9" s="70">
        <f>R9-S9</f>
        <v>2916</v>
      </c>
      <c r="U9" s="58"/>
      <c r="V9" s="58"/>
      <c r="W9" s="58">
        <v>13760</v>
      </c>
      <c r="X9" s="179">
        <v>9675</v>
      </c>
      <c r="Y9" s="58"/>
      <c r="Z9" s="58">
        <v>12943</v>
      </c>
      <c r="AA9" s="58"/>
      <c r="AB9" s="58">
        <v>12397</v>
      </c>
      <c r="AC9" s="178">
        <v>11694</v>
      </c>
      <c r="AD9" s="178">
        <v>11661</v>
      </c>
      <c r="AE9" s="58">
        <v>11047</v>
      </c>
      <c r="AF9" s="58">
        <v>10561</v>
      </c>
      <c r="AG9" s="58">
        <v>10653</v>
      </c>
      <c r="AH9" s="58">
        <v>10541</v>
      </c>
      <c r="AI9" s="58"/>
      <c r="AJ9" s="58">
        <v>10043</v>
      </c>
      <c r="AK9" s="58"/>
      <c r="AL9" s="58">
        <v>9583</v>
      </c>
      <c r="AM9" s="58"/>
      <c r="AN9" s="58">
        <v>9153</v>
      </c>
      <c r="AO9" s="178">
        <v>8494</v>
      </c>
      <c r="AP9" s="178">
        <v>5641</v>
      </c>
      <c r="AQ9" s="178">
        <v>8233</v>
      </c>
      <c r="AR9" s="178">
        <v>8162</v>
      </c>
      <c r="AS9" s="58"/>
      <c r="AT9" s="58">
        <v>7811</v>
      </c>
      <c r="AU9" s="58"/>
      <c r="AV9" s="58"/>
      <c r="AW9" s="58"/>
      <c r="AX9" s="58"/>
      <c r="AY9" s="178">
        <v>6289</v>
      </c>
      <c r="AZ9" s="178">
        <v>6254</v>
      </c>
      <c r="BA9" s="58">
        <v>5787</v>
      </c>
      <c r="BB9" s="58">
        <v>4394</v>
      </c>
      <c r="BC9" s="58">
        <v>5385</v>
      </c>
      <c r="BD9" s="58">
        <v>4423</v>
      </c>
      <c r="BE9" s="58">
        <v>5097</v>
      </c>
      <c r="BF9" s="58">
        <v>1706</v>
      </c>
    </row>
    <row r="10" spans="1:60">
      <c r="A10" s="26">
        <v>2006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25"/>
      <c r="O10" s="33"/>
      <c r="P10" s="25">
        <f t="shared" si="0"/>
        <v>0</v>
      </c>
      <c r="Q10" s="33">
        <f t="shared" si="1"/>
        <v>0</v>
      </c>
      <c r="U10" s="58"/>
      <c r="V10" s="58"/>
      <c r="W10" s="58"/>
      <c r="X10" s="58">
        <v>13807</v>
      </c>
      <c r="Y10" s="58"/>
      <c r="Z10" s="58">
        <v>12979</v>
      </c>
      <c r="AA10" s="178">
        <v>12450</v>
      </c>
      <c r="AB10" s="178">
        <v>7238</v>
      </c>
      <c r="AC10" s="178">
        <v>11715</v>
      </c>
      <c r="AD10" s="178">
        <v>10661</v>
      </c>
      <c r="AE10" s="58"/>
      <c r="AF10" s="58">
        <v>11088</v>
      </c>
      <c r="AG10" s="58"/>
      <c r="AH10" s="58">
        <v>10699</v>
      </c>
      <c r="AI10" s="178">
        <v>10123</v>
      </c>
      <c r="AJ10" s="178">
        <v>9641</v>
      </c>
      <c r="AK10" s="58"/>
      <c r="AL10" s="58">
        <v>9609</v>
      </c>
      <c r="AM10" s="58">
        <v>9269</v>
      </c>
      <c r="AN10" s="58">
        <v>9063</v>
      </c>
      <c r="AO10" s="58"/>
      <c r="AP10" s="58">
        <v>8508</v>
      </c>
      <c r="AQ10" s="58"/>
      <c r="AR10" s="58"/>
      <c r="AS10" s="58"/>
      <c r="AT10" s="84">
        <v>7812</v>
      </c>
      <c r="AU10" s="58"/>
      <c r="AV10" s="58"/>
      <c r="AW10" s="58"/>
      <c r="AX10" s="58"/>
      <c r="AY10" s="178">
        <v>6290</v>
      </c>
      <c r="AZ10" s="178">
        <v>6253</v>
      </c>
      <c r="BA10" s="178">
        <v>5857</v>
      </c>
      <c r="BB10" s="178">
        <v>5640</v>
      </c>
      <c r="BC10" s="178">
        <v>5411</v>
      </c>
      <c r="BD10" s="178">
        <v>4808</v>
      </c>
      <c r="BE10" s="178">
        <v>5165</v>
      </c>
      <c r="BF10" s="178">
        <v>4860</v>
      </c>
    </row>
    <row r="11" spans="1:60">
      <c r="A11" s="26">
        <v>2007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25"/>
      <c r="O11" s="33"/>
      <c r="P11" s="25">
        <f t="shared" si="0"/>
        <v>0</v>
      </c>
      <c r="Q11" s="33">
        <f t="shared" si="1"/>
        <v>0</v>
      </c>
      <c r="U11" s="58"/>
      <c r="V11" s="58"/>
      <c r="W11" s="178">
        <v>13828</v>
      </c>
      <c r="X11" s="178">
        <v>11017</v>
      </c>
      <c r="Y11" s="58">
        <v>13058</v>
      </c>
      <c r="Z11" s="58">
        <v>2684</v>
      </c>
      <c r="AA11" s="58"/>
      <c r="AB11" s="58">
        <v>12453</v>
      </c>
      <c r="AC11" s="178">
        <v>11726</v>
      </c>
      <c r="AD11" s="178">
        <v>11229</v>
      </c>
      <c r="AE11" s="58"/>
      <c r="AF11" s="58">
        <v>11090</v>
      </c>
      <c r="AG11" s="58"/>
      <c r="AH11" s="58">
        <v>10712</v>
      </c>
      <c r="AI11" s="58"/>
      <c r="AJ11" s="58">
        <v>10179</v>
      </c>
      <c r="AK11" s="58"/>
      <c r="AL11" s="58">
        <v>9674</v>
      </c>
      <c r="AM11" s="58"/>
      <c r="AN11" s="58">
        <v>9295</v>
      </c>
      <c r="AO11" s="58"/>
      <c r="AP11" s="58">
        <v>8510</v>
      </c>
      <c r="AQ11" s="58"/>
      <c r="AR11" s="58"/>
      <c r="AS11" s="58"/>
      <c r="AT11" s="58">
        <v>7813</v>
      </c>
      <c r="AU11" s="58"/>
      <c r="AV11" s="58"/>
      <c r="AW11" s="58"/>
      <c r="AX11" s="58"/>
      <c r="AY11" s="178">
        <v>6316</v>
      </c>
      <c r="AZ11" s="178">
        <v>5945</v>
      </c>
      <c r="BA11" s="178">
        <v>5890</v>
      </c>
      <c r="BB11" s="178">
        <v>5826</v>
      </c>
      <c r="BC11" s="178">
        <v>5421</v>
      </c>
      <c r="BD11" s="178">
        <v>4913</v>
      </c>
      <c r="BE11" s="58"/>
      <c r="BF11" s="58"/>
    </row>
    <row r="12" spans="1:60">
      <c r="A12" s="26">
        <v>2008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25"/>
      <c r="O12" s="33"/>
      <c r="P12" s="25">
        <f t="shared" si="0"/>
        <v>0</v>
      </c>
      <c r="Q12" s="33">
        <f t="shared" si="1"/>
        <v>0</v>
      </c>
      <c r="U12" s="58"/>
      <c r="V12" s="58"/>
      <c r="W12" s="178">
        <v>13877</v>
      </c>
      <c r="X12" s="178">
        <v>12380</v>
      </c>
      <c r="Y12" s="178">
        <v>13067</v>
      </c>
      <c r="Z12" s="178">
        <v>12632</v>
      </c>
      <c r="AA12" s="58">
        <v>12455</v>
      </c>
      <c r="AB12" s="58">
        <v>9373</v>
      </c>
      <c r="AC12" s="178">
        <v>11790</v>
      </c>
      <c r="AD12" s="178">
        <v>11203</v>
      </c>
      <c r="AE12" s="58">
        <v>11099</v>
      </c>
      <c r="AF12" s="58">
        <v>10747</v>
      </c>
      <c r="AG12" s="58"/>
      <c r="AH12" s="58">
        <v>10749</v>
      </c>
      <c r="AI12" s="58"/>
      <c r="AJ12" s="58">
        <v>10184</v>
      </c>
      <c r="AK12" s="178">
        <v>9684</v>
      </c>
      <c r="AL12" s="178">
        <v>9349</v>
      </c>
      <c r="AM12" s="58"/>
      <c r="AN12" s="58">
        <v>9298</v>
      </c>
      <c r="AO12" s="58"/>
      <c r="AP12" s="58">
        <v>8540</v>
      </c>
      <c r="AQ12" s="58"/>
      <c r="AR12" s="58"/>
      <c r="AS12" s="58"/>
      <c r="AT12" s="58"/>
      <c r="AU12" s="58"/>
      <c r="AV12" s="58"/>
      <c r="AW12" s="58"/>
      <c r="AX12" s="58"/>
      <c r="AY12" s="178">
        <v>6504</v>
      </c>
      <c r="AZ12" s="178">
        <v>6439</v>
      </c>
      <c r="BA12" s="178">
        <v>5970</v>
      </c>
      <c r="BB12" s="178">
        <v>5878</v>
      </c>
      <c r="BC12" s="178">
        <v>5447</v>
      </c>
      <c r="BD12" s="178">
        <v>5052</v>
      </c>
      <c r="BE12" s="58"/>
      <c r="BF12" s="58"/>
    </row>
    <row r="13" spans="1:60">
      <c r="A13" s="26">
        <v>2009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2"/>
      <c r="O13" s="431"/>
      <c r="P13" s="32"/>
      <c r="Q13" s="431"/>
      <c r="U13" s="58"/>
      <c r="V13" s="58"/>
      <c r="W13" s="58"/>
      <c r="X13" s="58"/>
      <c r="Y13" s="178">
        <v>13074</v>
      </c>
      <c r="Z13" s="178">
        <v>12843</v>
      </c>
      <c r="AA13" s="178">
        <v>12471</v>
      </c>
      <c r="AB13" s="178">
        <v>12372</v>
      </c>
      <c r="AC13" s="178">
        <v>11886</v>
      </c>
      <c r="AD13" s="178">
        <v>11010</v>
      </c>
      <c r="AE13" s="178">
        <v>11103</v>
      </c>
      <c r="AF13" s="178">
        <v>10748</v>
      </c>
      <c r="AG13" s="58"/>
      <c r="AH13" s="58">
        <v>10787</v>
      </c>
      <c r="AI13" s="58"/>
      <c r="AJ13" s="58">
        <v>10221</v>
      </c>
      <c r="AK13" s="58"/>
      <c r="AL13" s="58">
        <v>9689</v>
      </c>
      <c r="AM13" s="58">
        <v>9329</v>
      </c>
      <c r="AN13" s="58">
        <v>5624</v>
      </c>
      <c r="AO13" s="58">
        <v>8568</v>
      </c>
      <c r="AP13" s="58">
        <v>3912</v>
      </c>
      <c r="AQ13" s="58"/>
      <c r="AR13" s="58"/>
      <c r="AS13" s="58"/>
      <c r="AT13" s="58"/>
      <c r="AU13" s="58"/>
      <c r="AV13" s="58"/>
      <c r="AW13" s="58"/>
      <c r="AX13" s="58"/>
      <c r="AY13" s="178">
        <v>6507</v>
      </c>
      <c r="AZ13" s="178">
        <v>6442</v>
      </c>
      <c r="BA13" s="178">
        <v>5975</v>
      </c>
      <c r="BB13" s="178">
        <v>5921</v>
      </c>
      <c r="BC13" s="178">
        <v>5448</v>
      </c>
      <c r="BD13" s="178">
        <v>5053</v>
      </c>
      <c r="BE13" s="58"/>
      <c r="BF13" s="58"/>
    </row>
    <row r="14" spans="1:60">
      <c r="A14" s="26">
        <v>2010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2"/>
      <c r="O14" s="431"/>
      <c r="P14" s="32"/>
      <c r="Q14" s="431"/>
      <c r="U14" s="58"/>
      <c r="V14" s="58"/>
      <c r="W14" s="58"/>
      <c r="X14" s="58"/>
      <c r="Y14" s="178">
        <v>13081</v>
      </c>
      <c r="Z14" s="178">
        <v>12815</v>
      </c>
      <c r="AA14" s="178">
        <v>12497</v>
      </c>
      <c r="AB14" s="178">
        <v>5923</v>
      </c>
      <c r="AC14" s="178">
        <v>11887</v>
      </c>
      <c r="AD14" s="178">
        <v>11009</v>
      </c>
      <c r="AE14" s="58"/>
      <c r="AF14" s="58">
        <v>11175</v>
      </c>
      <c r="AG14" s="58">
        <v>10794</v>
      </c>
      <c r="AH14" s="58">
        <v>936</v>
      </c>
      <c r="AI14" s="58"/>
      <c r="AJ14" s="58">
        <v>10229</v>
      </c>
      <c r="AK14" s="178">
        <v>9712</v>
      </c>
      <c r="AL14" s="178">
        <v>9539</v>
      </c>
      <c r="AM14" s="58"/>
      <c r="AN14" s="58"/>
      <c r="AO14" s="58">
        <v>8587</v>
      </c>
      <c r="AP14" s="84">
        <v>8587</v>
      </c>
      <c r="AQ14" s="58"/>
      <c r="AR14" s="58"/>
      <c r="AS14" s="58"/>
      <c r="AT14" s="58"/>
      <c r="AU14" s="58"/>
      <c r="AV14" s="58"/>
      <c r="AW14" s="58"/>
      <c r="AX14" s="58"/>
      <c r="AY14" s="178">
        <v>6508</v>
      </c>
      <c r="AZ14" s="178">
        <v>6441</v>
      </c>
      <c r="BA14" s="58"/>
      <c r="BB14" s="58"/>
      <c r="BC14" s="178">
        <v>5464</v>
      </c>
      <c r="BD14" s="178">
        <v>4975</v>
      </c>
      <c r="BE14" s="58"/>
      <c r="BF14" s="58"/>
    </row>
    <row r="15" spans="1:60">
      <c r="A15" s="26">
        <v>2011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2"/>
      <c r="O15" s="431"/>
      <c r="P15" s="32"/>
      <c r="Q15" s="431"/>
      <c r="U15" s="58"/>
      <c r="V15" s="58"/>
      <c r="W15" s="58"/>
      <c r="X15" s="58"/>
      <c r="Y15" s="178">
        <v>13098</v>
      </c>
      <c r="Z15" s="178">
        <v>12838</v>
      </c>
      <c r="AA15" s="178">
        <v>12502</v>
      </c>
      <c r="AB15" s="178">
        <v>12345</v>
      </c>
      <c r="AC15" s="58"/>
      <c r="AD15" s="58">
        <v>11970</v>
      </c>
      <c r="AE15" s="178">
        <v>11208</v>
      </c>
      <c r="AF15" s="178">
        <v>10994</v>
      </c>
      <c r="AG15" s="58"/>
      <c r="AH15" s="58"/>
      <c r="AI15" s="58"/>
      <c r="AJ15" s="58"/>
      <c r="AK15" s="178">
        <v>9716</v>
      </c>
      <c r="AL15" s="178">
        <v>9643</v>
      </c>
      <c r="AM15" s="58"/>
      <c r="AN15" s="58"/>
      <c r="AO15" s="58">
        <v>8625</v>
      </c>
      <c r="AP15" s="58">
        <v>8509</v>
      </c>
      <c r="AQ15" s="58"/>
      <c r="AR15" s="58"/>
      <c r="AS15" s="58"/>
      <c r="AT15" s="58"/>
      <c r="AU15" s="58"/>
      <c r="AV15" s="58"/>
      <c r="AW15" s="58"/>
      <c r="AX15" s="58"/>
      <c r="AY15" s="178">
        <v>6557</v>
      </c>
      <c r="AZ15" s="178">
        <v>5896</v>
      </c>
      <c r="BA15" s="58"/>
      <c r="BB15" s="58"/>
      <c r="BC15" s="178">
        <v>5495</v>
      </c>
      <c r="BD15" s="178">
        <v>4792</v>
      </c>
      <c r="BE15" s="58"/>
      <c r="BF15" s="58"/>
    </row>
    <row r="16" spans="1:60">
      <c r="A16" s="26">
        <v>2012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  <c r="O16" s="431"/>
      <c r="P16" s="32"/>
      <c r="Q16" s="431"/>
      <c r="U16" s="58"/>
      <c r="V16" s="58"/>
      <c r="W16" s="58"/>
      <c r="X16" s="58"/>
      <c r="Y16" s="58"/>
      <c r="Z16" s="179">
        <v>13200</v>
      </c>
      <c r="AA16" s="58"/>
      <c r="AB16" s="58"/>
      <c r="AC16" s="178">
        <v>12002</v>
      </c>
      <c r="AD16" s="178">
        <v>11791</v>
      </c>
      <c r="AE16" s="178">
        <v>11228</v>
      </c>
      <c r="AF16" s="178">
        <v>11153</v>
      </c>
      <c r="AG16" s="58"/>
      <c r="AH16" s="58"/>
      <c r="AI16" s="58"/>
      <c r="AJ16" s="58"/>
      <c r="AK16" s="58">
        <v>9721</v>
      </c>
      <c r="AL16" s="58">
        <v>9453</v>
      </c>
      <c r="AM16" s="58"/>
      <c r="AN16" s="58"/>
      <c r="AO16" s="58"/>
      <c r="AP16" s="58">
        <v>8672</v>
      </c>
      <c r="AQ16" s="58"/>
      <c r="AR16" s="58"/>
      <c r="AS16" s="58"/>
      <c r="AT16" s="58"/>
      <c r="AU16" s="58"/>
      <c r="AV16" s="58"/>
      <c r="AW16" s="58"/>
      <c r="AX16" s="58"/>
      <c r="AY16" s="178">
        <v>6558</v>
      </c>
      <c r="AZ16" s="178">
        <v>5895</v>
      </c>
      <c r="BA16" s="58"/>
      <c r="BB16" s="58"/>
      <c r="BC16" s="58"/>
      <c r="BD16" s="58"/>
      <c r="BE16" s="58"/>
      <c r="BF16" s="58"/>
    </row>
    <row r="17" spans="1:58">
      <c r="A17" s="26">
        <v>2013</v>
      </c>
      <c r="B17" s="30"/>
      <c r="C17" s="30"/>
      <c r="D17" s="30"/>
      <c r="E17" s="30"/>
      <c r="F17" s="30"/>
      <c r="G17" s="27"/>
      <c r="H17" s="27"/>
      <c r="I17" s="27"/>
      <c r="J17" s="27"/>
      <c r="K17" s="27"/>
      <c r="L17" s="27"/>
      <c r="M17" s="27"/>
      <c r="N17" s="24"/>
      <c r="O17" s="173"/>
      <c r="P17" s="24"/>
      <c r="Q17" s="173"/>
      <c r="U17" s="58"/>
      <c r="V17" s="58"/>
      <c r="W17" s="58"/>
      <c r="X17" s="58"/>
      <c r="AA17" s="58"/>
      <c r="AB17" s="58"/>
      <c r="AC17" s="58"/>
      <c r="AD17" s="181">
        <v>11203</v>
      </c>
      <c r="AE17" s="178">
        <v>11239</v>
      </c>
      <c r="AF17" s="178">
        <v>11091</v>
      </c>
      <c r="AG17" s="58"/>
      <c r="AH17" s="58"/>
      <c r="AI17" s="58"/>
      <c r="AJ17" s="58"/>
      <c r="AK17" s="178">
        <v>9729</v>
      </c>
      <c r="AL17" s="178">
        <v>9685</v>
      </c>
      <c r="AM17" s="58"/>
      <c r="AN17" s="58"/>
      <c r="AO17" s="178">
        <v>8740</v>
      </c>
      <c r="AP17" s="178">
        <v>8289</v>
      </c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</row>
    <row r="18" spans="1:58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59">
        <f>SUM(N2:N17)</f>
        <v>35.25</v>
      </c>
      <c r="O18" s="83">
        <f>SUM(O2:O17)</f>
        <v>886</v>
      </c>
      <c r="P18" s="59">
        <f>SUM(P2:P17)</f>
        <v>12.344000000000001</v>
      </c>
      <c r="Q18" s="83">
        <f>SUM(Q2:Q17)</f>
        <v>303</v>
      </c>
      <c r="U18" s="58"/>
      <c r="V18" s="58"/>
      <c r="W18" s="58"/>
      <c r="X18" s="58"/>
      <c r="AA18" s="58"/>
      <c r="AB18" s="58"/>
      <c r="AC18" s="178">
        <v>12016</v>
      </c>
      <c r="AD18" s="178">
        <v>11962</v>
      </c>
      <c r="AE18" s="178">
        <v>11289</v>
      </c>
      <c r="AF18" s="178">
        <v>11174</v>
      </c>
      <c r="AG18" s="58"/>
      <c r="AH18" s="58"/>
      <c r="AI18" s="58"/>
      <c r="AJ18" s="58"/>
      <c r="AK18" s="178">
        <v>9732</v>
      </c>
      <c r="AL18" s="178">
        <v>9600</v>
      </c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</row>
    <row r="19" spans="1:58">
      <c r="O19" s="245" t="s">
        <v>389</v>
      </c>
      <c r="P19" s="245"/>
      <c r="U19"/>
      <c r="AA19" s="58"/>
      <c r="AB19" s="58"/>
      <c r="AC19" s="178">
        <v>12025</v>
      </c>
      <c r="AD19" s="178">
        <v>11578</v>
      </c>
      <c r="AE19" s="178">
        <v>11293</v>
      </c>
      <c r="AF19" s="178">
        <v>10069</v>
      </c>
      <c r="AG19" s="58"/>
      <c r="AH19" s="58"/>
      <c r="AI19" s="58"/>
      <c r="AJ19" s="58"/>
      <c r="AK19" s="58">
        <v>9733</v>
      </c>
      <c r="AL19" s="58">
        <v>9588</v>
      </c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</row>
    <row r="20" spans="1:58" ht="15.75" customHeight="1">
      <c r="A20" s="804" t="s">
        <v>213</v>
      </c>
      <c r="B20" s="804"/>
      <c r="C20" s="804"/>
      <c r="D20" s="804"/>
      <c r="E20" s="804"/>
      <c r="F20" s="804"/>
      <c r="G20" s="804"/>
      <c r="H20" s="804"/>
      <c r="I20" s="804"/>
      <c r="J20" s="804"/>
      <c r="K20" s="804"/>
      <c r="L20" s="804"/>
      <c r="M20" s="804"/>
      <c r="N20" s="513"/>
      <c r="O20" s="111">
        <v>46065</v>
      </c>
      <c r="P20" s="513"/>
      <c r="U20"/>
      <c r="AA20" s="58"/>
      <c r="AB20" s="58"/>
      <c r="AC20" s="58">
        <v>12026</v>
      </c>
      <c r="AD20" s="58">
        <v>890</v>
      </c>
      <c r="AE20" s="178">
        <v>11299</v>
      </c>
      <c r="AF20" s="178">
        <v>10765</v>
      </c>
      <c r="AG20" s="58"/>
      <c r="AH20" s="58"/>
      <c r="AI20" s="58"/>
      <c r="AJ20" s="58"/>
      <c r="AK20" s="178">
        <v>9778</v>
      </c>
      <c r="AL20" s="178">
        <v>9309</v>
      </c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</row>
    <row r="21" spans="1:58" ht="15.75">
      <c r="C21" s="75"/>
      <c r="D21" s="75"/>
      <c r="E21" s="75"/>
      <c r="L21" s="28"/>
      <c r="O21" s="245"/>
      <c r="U21"/>
      <c r="AA21" s="58"/>
      <c r="AB21" s="58"/>
      <c r="AC21" s="178">
        <v>12027</v>
      </c>
      <c r="AD21" s="178">
        <v>11149</v>
      </c>
      <c r="AE21" s="178">
        <v>11322</v>
      </c>
      <c r="AF21" s="178">
        <v>11048</v>
      </c>
      <c r="AG21" s="58"/>
      <c r="AH21" s="58"/>
      <c r="AI21" s="58"/>
      <c r="AJ21" s="58"/>
      <c r="AK21" s="178">
        <v>9797</v>
      </c>
      <c r="AL21" s="178">
        <v>7520</v>
      </c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</row>
    <row r="22" spans="1:58" ht="15.75">
      <c r="A22"/>
      <c r="C22" s="75"/>
      <c r="L22" s="28"/>
      <c r="O22" s="111"/>
      <c r="AA22" s="58"/>
      <c r="AB22" s="58"/>
      <c r="AC22" s="178">
        <v>12030</v>
      </c>
      <c r="AD22" s="178">
        <v>5863</v>
      </c>
      <c r="AE22" s="178">
        <v>11362</v>
      </c>
      <c r="AF22" s="178">
        <v>11037</v>
      </c>
      <c r="AG22" s="58"/>
      <c r="AH22" s="58"/>
      <c r="AI22" s="58"/>
      <c r="AJ22" s="58"/>
      <c r="AK22" s="178">
        <v>9812</v>
      </c>
      <c r="AL22" s="178">
        <v>9197</v>
      </c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</row>
    <row r="23" spans="1:58" ht="15.75">
      <c r="A23"/>
      <c r="C23" s="75"/>
      <c r="K23" s="832"/>
      <c r="L23" s="832"/>
      <c r="M23" s="832"/>
      <c r="N23" s="832"/>
      <c r="O23" s="832"/>
      <c r="P23" s="832"/>
      <c r="Q23" s="832"/>
      <c r="AA23" s="58"/>
      <c r="AB23" s="58"/>
      <c r="AC23" s="178">
        <v>12031</v>
      </c>
      <c r="AD23" s="178">
        <v>9942</v>
      </c>
      <c r="AE23" s="58"/>
      <c r="AF23" s="181">
        <v>11396</v>
      </c>
      <c r="AG23" s="58"/>
      <c r="AH23" s="58"/>
      <c r="AI23" s="58"/>
      <c r="AJ23" s="58"/>
      <c r="AK23" s="178">
        <v>9813</v>
      </c>
      <c r="AL23" s="178">
        <v>9520</v>
      </c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</row>
    <row r="24" spans="1:58" ht="15.75">
      <c r="B24"/>
      <c r="L24" s="28"/>
      <c r="AA24" s="58"/>
      <c r="AB24" s="58"/>
      <c r="AC24" s="178">
        <v>12032</v>
      </c>
      <c r="AD24" s="178">
        <v>9979</v>
      </c>
      <c r="AE24" s="58"/>
      <c r="AF24" s="58">
        <v>11400</v>
      </c>
      <c r="AG24" s="58"/>
      <c r="AH24" s="58"/>
      <c r="AI24" s="58"/>
      <c r="AJ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</row>
    <row r="25" spans="1:58">
      <c r="R25" t="s">
        <v>214</v>
      </c>
      <c r="S25" t="s">
        <v>215</v>
      </c>
      <c r="T25" t="s">
        <v>216</v>
      </c>
      <c r="U25" t="s">
        <v>43</v>
      </c>
      <c r="V25" t="s">
        <v>217</v>
      </c>
      <c r="W25" t="s">
        <v>218</v>
      </c>
      <c r="AA25" t="s">
        <v>219</v>
      </c>
      <c r="AB25" t="s">
        <v>217</v>
      </c>
      <c r="AC25" t="s">
        <v>43</v>
      </c>
      <c r="AD25" t="s">
        <v>220</v>
      </c>
      <c r="AE25" s="58" t="s">
        <v>221</v>
      </c>
      <c r="AF25" s="58"/>
      <c r="AG25" t="s">
        <v>214</v>
      </c>
      <c r="AH25" t="s">
        <v>215</v>
      </c>
      <c r="AI25" t="s">
        <v>216</v>
      </c>
      <c r="AJ25" t="s">
        <v>43</v>
      </c>
      <c r="AK25" t="s">
        <v>217</v>
      </c>
      <c r="AL25" t="s">
        <v>218</v>
      </c>
      <c r="AP25" t="s">
        <v>219</v>
      </c>
      <c r="AQ25" t="s">
        <v>217</v>
      </c>
      <c r="AR25" t="s">
        <v>43</v>
      </c>
      <c r="AS25" t="s">
        <v>220</v>
      </c>
      <c r="AT25" s="58" t="s">
        <v>221</v>
      </c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</row>
    <row r="26" spans="1:58">
      <c r="A26" s="76" t="s">
        <v>48</v>
      </c>
      <c r="B26" s="182"/>
      <c r="C26" s="183"/>
      <c r="D26" s="182"/>
      <c r="E26" s="184"/>
      <c r="F26" s="184"/>
      <c r="G26" s="184"/>
      <c r="H26" s="185"/>
      <c r="I26" s="185"/>
      <c r="J26" s="186"/>
      <c r="K26" s="186"/>
      <c r="L26" s="184"/>
      <c r="M26" s="184"/>
      <c r="N26" s="184"/>
      <c r="O26" s="184"/>
      <c r="P26" s="184"/>
      <c r="R26" s="187">
        <v>4985</v>
      </c>
      <c r="S26" s="188"/>
      <c r="T26" s="58">
        <v>4985</v>
      </c>
      <c r="U26" t="s">
        <v>222</v>
      </c>
      <c r="V26" s="29" t="s">
        <v>223</v>
      </c>
      <c r="W26" s="189" t="s">
        <v>224</v>
      </c>
      <c r="X26" s="190">
        <v>15</v>
      </c>
      <c r="Y26" s="178">
        <v>14170</v>
      </c>
      <c r="Z26" s="58">
        <v>5866000</v>
      </c>
      <c r="AA26" s="178">
        <v>1250000</v>
      </c>
      <c r="AB26" s="58">
        <v>15437</v>
      </c>
      <c r="AC26" s="58">
        <v>1635</v>
      </c>
      <c r="AD26" s="179">
        <v>1635</v>
      </c>
      <c r="AE26" s="191"/>
      <c r="AF26" s="58"/>
      <c r="AG26" s="58">
        <v>11085</v>
      </c>
      <c r="AH26" s="192"/>
      <c r="AI26" s="181"/>
      <c r="AJ26" s="58" t="s">
        <v>225</v>
      </c>
      <c r="AK26" s="58" t="s">
        <v>226</v>
      </c>
      <c r="AL26" s="85" t="s">
        <v>227</v>
      </c>
      <c r="AM26" s="190">
        <v>527</v>
      </c>
      <c r="AN26" s="193" t="s">
        <v>228</v>
      </c>
      <c r="AO26" s="58">
        <v>1300000</v>
      </c>
      <c r="AP26" s="58">
        <v>1300000</v>
      </c>
      <c r="AQ26" s="58">
        <v>16460</v>
      </c>
      <c r="AR26" s="58">
        <v>1234</v>
      </c>
      <c r="AS26" s="187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</row>
    <row r="27" spans="1:58">
      <c r="A27" s="26">
        <v>1998</v>
      </c>
      <c r="B27" s="194">
        <v>15</v>
      </c>
      <c r="C27" s="195">
        <v>75</v>
      </c>
      <c r="D27" s="195">
        <v>17.559999999999999</v>
      </c>
      <c r="E27" s="87"/>
      <c r="F27" s="78"/>
      <c r="G27" s="196"/>
      <c r="H27" s="197"/>
      <c r="I27" s="198"/>
      <c r="J27" s="199"/>
      <c r="K27" s="199"/>
      <c r="L27" s="199"/>
      <c r="M27" s="199"/>
      <c r="N27" s="199"/>
      <c r="O27" s="199"/>
      <c r="P27" s="199"/>
      <c r="R27" s="178">
        <v>5684</v>
      </c>
      <c r="S27" s="188"/>
      <c r="T27" s="58">
        <v>5685</v>
      </c>
      <c r="U27" s="200" t="s">
        <v>229</v>
      </c>
      <c r="V27" s="58">
        <v>53685</v>
      </c>
      <c r="W27" s="85" t="s">
        <v>227</v>
      </c>
      <c r="X27" s="190">
        <v>75</v>
      </c>
      <c r="Y27" s="178">
        <v>13320</v>
      </c>
      <c r="Z27" s="58">
        <v>5000000</v>
      </c>
      <c r="AA27" s="58">
        <v>5000000</v>
      </c>
      <c r="AB27" s="58">
        <v>68160</v>
      </c>
      <c r="AC27" s="58">
        <v>5774</v>
      </c>
      <c r="AD27" s="187"/>
      <c r="AE27" s="191"/>
      <c r="AG27" s="58"/>
      <c r="AH27" s="58"/>
      <c r="AI27" s="58"/>
      <c r="AJ27" s="58"/>
      <c r="AM27" s="190">
        <v>3075</v>
      </c>
      <c r="AN27" t="s">
        <v>230</v>
      </c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</row>
    <row r="28" spans="1:58">
      <c r="A28" s="26">
        <v>1999</v>
      </c>
      <c r="B28" s="194">
        <v>441</v>
      </c>
      <c r="C28" s="195">
        <v>527</v>
      </c>
      <c r="D28" s="201">
        <v>3.62</v>
      </c>
      <c r="E28" s="202">
        <v>597</v>
      </c>
      <c r="F28" s="203">
        <v>1.9</v>
      </c>
      <c r="G28" s="87"/>
      <c r="H28" s="83"/>
      <c r="I28" s="78"/>
      <c r="J28" s="78"/>
      <c r="K28" s="82"/>
      <c r="L28" s="78"/>
      <c r="M28" s="78"/>
      <c r="N28" s="78"/>
      <c r="O28" s="78"/>
      <c r="P28" s="199"/>
      <c r="R28" s="58"/>
      <c r="S28" s="204"/>
      <c r="T28" s="181"/>
      <c r="U28" s="200" t="s">
        <v>231</v>
      </c>
      <c r="V28" s="58" t="s">
        <v>232</v>
      </c>
      <c r="W28" s="189" t="s">
        <v>224</v>
      </c>
      <c r="X28" s="190">
        <v>441</v>
      </c>
      <c r="Y28" s="178">
        <v>14214</v>
      </c>
      <c r="Z28" s="58">
        <v>2000000</v>
      </c>
      <c r="AA28" s="58">
        <v>2000000</v>
      </c>
      <c r="AB28" s="58">
        <v>23087</v>
      </c>
      <c r="AC28" s="58">
        <v>2444</v>
      </c>
      <c r="AD28" s="58">
        <v>2444</v>
      </c>
      <c r="AE28" s="205"/>
      <c r="AG28" s="58"/>
      <c r="AH28" s="58"/>
      <c r="AI28" s="58"/>
      <c r="AJ28" s="29" t="s">
        <v>227</v>
      </c>
      <c r="AK28" s="85" t="s">
        <v>233</v>
      </c>
      <c r="AM28" s="190">
        <v>3132</v>
      </c>
      <c r="AN28" s="178" t="s">
        <v>234</v>
      </c>
      <c r="AO28" s="29">
        <v>1467.35</v>
      </c>
      <c r="AP28" s="29">
        <v>1467.35</v>
      </c>
      <c r="AQ28" s="58" t="s">
        <v>235</v>
      </c>
      <c r="AR28" s="192"/>
      <c r="AS28" t="s">
        <v>236</v>
      </c>
      <c r="AT28" s="192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</row>
    <row r="29" spans="1:58">
      <c r="A29" s="26">
        <v>2000</v>
      </c>
      <c r="B29" s="83"/>
      <c r="C29" s="86"/>
      <c r="D29" s="86"/>
      <c r="E29" s="83"/>
      <c r="F29" s="78"/>
      <c r="G29" s="78"/>
      <c r="H29" s="82"/>
      <c r="I29" s="78"/>
      <c r="J29" s="78"/>
      <c r="K29" s="83"/>
      <c r="L29" s="78"/>
      <c r="M29" s="78"/>
      <c r="N29" s="78"/>
      <c r="O29" s="78"/>
      <c r="P29" s="199"/>
      <c r="R29" s="188">
        <v>932</v>
      </c>
      <c r="S29" s="206"/>
      <c r="T29" s="192"/>
      <c r="U29" s="200" t="s">
        <v>237</v>
      </c>
      <c r="V29" s="58">
        <v>8805</v>
      </c>
      <c r="W29" s="85" t="s">
        <v>227</v>
      </c>
      <c r="X29" s="190">
        <v>597</v>
      </c>
      <c r="Y29" s="181">
        <v>10776</v>
      </c>
      <c r="Z29" s="58">
        <v>600000</v>
      </c>
      <c r="AA29" s="58">
        <v>600000</v>
      </c>
      <c r="AB29" s="58"/>
      <c r="AC29" s="58"/>
      <c r="AD29" s="58"/>
      <c r="AE29" s="58"/>
      <c r="AG29" s="58"/>
      <c r="AH29" s="58"/>
      <c r="AI29" s="58"/>
      <c r="AJ29" s="58"/>
      <c r="AM29" s="190">
        <v>3392</v>
      </c>
      <c r="AN29" t="s">
        <v>238</v>
      </c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</row>
    <row r="30" spans="1:58">
      <c r="A30" s="26">
        <v>2001</v>
      </c>
      <c r="B30" s="194">
        <v>1893</v>
      </c>
      <c r="C30" s="195">
        <v>1930</v>
      </c>
      <c r="D30" s="201">
        <v>6.47</v>
      </c>
      <c r="E30" s="207">
        <v>1946</v>
      </c>
      <c r="F30" s="86"/>
      <c r="G30" s="208"/>
      <c r="H30" s="172"/>
      <c r="I30" s="83"/>
      <c r="J30" s="82"/>
      <c r="K30" s="82"/>
      <c r="L30" s="199"/>
      <c r="M30" s="199"/>
      <c r="N30" s="199"/>
      <c r="O30" s="199"/>
      <c r="P30" s="199"/>
      <c r="R30" s="209">
        <v>0.01</v>
      </c>
      <c r="S30" s="204"/>
      <c r="T30" s="181"/>
      <c r="U30" s="200" t="s">
        <v>239</v>
      </c>
      <c r="V30" s="58" t="s">
        <v>232</v>
      </c>
      <c r="W30" s="189" t="s">
        <v>224</v>
      </c>
      <c r="X30" s="190">
        <v>1893</v>
      </c>
      <c r="Y30" s="178">
        <v>13429</v>
      </c>
      <c r="Z30" s="58">
        <v>800000</v>
      </c>
      <c r="AA30" s="58">
        <v>800000</v>
      </c>
      <c r="AB30" s="58">
        <v>12760</v>
      </c>
      <c r="AC30" s="181"/>
      <c r="AD30" s="181"/>
      <c r="AE30" s="191"/>
      <c r="AG30" s="58"/>
      <c r="AH30" s="58"/>
      <c r="AI30" s="200" t="s">
        <v>240</v>
      </c>
      <c r="AJ30" s="58"/>
      <c r="AM30" s="190">
        <v>3561</v>
      </c>
      <c r="AN30" s="210" t="s">
        <v>241</v>
      </c>
      <c r="AO30" s="29">
        <v>11738.81</v>
      </c>
      <c r="AP30" s="29">
        <v>11738.81</v>
      </c>
      <c r="AR30" s="192"/>
      <c r="AS30" s="58" t="s">
        <v>242</v>
      </c>
      <c r="AT30" s="181"/>
      <c r="AU30" s="58"/>
      <c r="AV30" s="58"/>
      <c r="AY30" s="58"/>
      <c r="AZ30" s="58"/>
      <c r="BA30" s="58"/>
      <c r="BB30" s="58"/>
      <c r="BC30" s="58"/>
      <c r="BD30" s="58"/>
      <c r="BE30" s="58"/>
      <c r="BF30" s="58"/>
    </row>
    <row r="31" spans="1:58">
      <c r="A31" s="26">
        <v>2002</v>
      </c>
      <c r="B31" s="194">
        <v>2272</v>
      </c>
      <c r="C31" s="202">
        <v>2414</v>
      </c>
      <c r="D31" s="203">
        <v>2.08</v>
      </c>
      <c r="E31" s="211">
        <v>2504</v>
      </c>
      <c r="F31" s="78"/>
      <c r="G31" s="196"/>
      <c r="H31" s="172"/>
      <c r="I31" s="83"/>
      <c r="J31" s="82"/>
      <c r="K31" s="82"/>
      <c r="L31" s="199"/>
      <c r="M31" s="199"/>
      <c r="N31" s="199"/>
      <c r="O31" s="199"/>
      <c r="P31" s="199"/>
      <c r="R31" s="212">
        <v>14.91</v>
      </c>
      <c r="S31" s="206"/>
      <c r="T31" s="181"/>
      <c r="U31" s="58">
        <v>5092</v>
      </c>
      <c r="V31" s="58" t="s">
        <v>243</v>
      </c>
      <c r="W31" s="85" t="s">
        <v>227</v>
      </c>
      <c r="X31" s="190">
        <v>1930</v>
      </c>
      <c r="Y31" s="178">
        <v>9190</v>
      </c>
      <c r="Z31" s="58">
        <v>2000000</v>
      </c>
      <c r="AA31" s="58">
        <v>2000000</v>
      </c>
      <c r="AB31" s="58">
        <v>24510</v>
      </c>
      <c r="AC31" s="181"/>
      <c r="AD31" s="58">
        <v>2206</v>
      </c>
      <c r="AE31" s="58"/>
      <c r="AG31" s="58"/>
      <c r="AH31" s="58"/>
      <c r="AI31" s="200" t="s">
        <v>240</v>
      </c>
      <c r="AJ31" s="58"/>
      <c r="AM31" s="190">
        <v>3562</v>
      </c>
      <c r="AN31" s="210" t="s">
        <v>244</v>
      </c>
      <c r="AO31" s="29">
        <v>11738.81</v>
      </c>
      <c r="AP31" s="29">
        <v>11738.81</v>
      </c>
      <c r="AR31" s="192"/>
      <c r="AS31" s="58" t="s">
        <v>242</v>
      </c>
      <c r="AT31" s="181"/>
      <c r="AU31" s="58"/>
      <c r="AV31" s="58"/>
      <c r="AY31" s="58"/>
      <c r="AZ31" s="58"/>
      <c r="BA31" s="58"/>
      <c r="BB31" s="58"/>
      <c r="BC31" s="58"/>
      <c r="BD31" s="58"/>
      <c r="BE31" s="58"/>
      <c r="BF31" s="58"/>
    </row>
    <row r="32" spans="1:58">
      <c r="A32" s="26">
        <v>2003</v>
      </c>
      <c r="B32" s="213">
        <v>3460</v>
      </c>
      <c r="C32" s="86"/>
      <c r="D32" s="87"/>
      <c r="E32" s="86"/>
      <c r="F32" s="87"/>
      <c r="G32" s="196"/>
      <c r="H32" s="172"/>
      <c r="I32" s="83"/>
      <c r="J32" s="82"/>
      <c r="K32" s="82"/>
      <c r="L32" s="199"/>
      <c r="M32" s="199"/>
      <c r="N32" s="199"/>
      <c r="O32" s="199"/>
      <c r="P32" s="199"/>
      <c r="R32" s="209">
        <v>0.01</v>
      </c>
      <c r="S32" s="204"/>
      <c r="T32" s="181"/>
      <c r="U32" s="58"/>
      <c r="V32" s="58" t="s">
        <v>232</v>
      </c>
      <c r="W32" s="189" t="s">
        <v>224</v>
      </c>
      <c r="X32" s="190">
        <v>1946</v>
      </c>
      <c r="Y32" s="178">
        <v>11265</v>
      </c>
      <c r="Z32" s="58">
        <v>100000</v>
      </c>
      <c r="AA32" s="58">
        <v>100000</v>
      </c>
      <c r="AB32" s="58">
        <v>2660</v>
      </c>
      <c r="AC32" s="181"/>
      <c r="AD32" s="181"/>
      <c r="AE32" s="191"/>
      <c r="AF32" s="58"/>
      <c r="AG32" s="58"/>
      <c r="AH32" s="58"/>
      <c r="AI32" s="58"/>
      <c r="AJ32" s="58"/>
      <c r="AK32" t="s">
        <v>245</v>
      </c>
      <c r="AL32" s="75" t="s">
        <v>227</v>
      </c>
      <c r="AM32" s="190">
        <v>4214</v>
      </c>
      <c r="AN32" s="178" t="s">
        <v>246</v>
      </c>
      <c r="AO32" s="58" t="s">
        <v>247</v>
      </c>
      <c r="AP32" s="58" t="s">
        <v>247</v>
      </c>
      <c r="AQ32" s="21">
        <v>370</v>
      </c>
      <c r="AR32" s="192"/>
      <c r="AS32" t="s">
        <v>236</v>
      </c>
      <c r="AT32" s="187" t="s">
        <v>248</v>
      </c>
      <c r="AU32" s="58"/>
      <c r="AV32" s="58"/>
      <c r="AY32" s="58"/>
      <c r="AZ32" s="58"/>
      <c r="BA32" s="58"/>
      <c r="BB32" s="58"/>
      <c r="BC32" s="58"/>
      <c r="BD32" s="58"/>
      <c r="BE32" s="58"/>
      <c r="BF32" s="58"/>
    </row>
    <row r="33" spans="1:58">
      <c r="A33" s="26">
        <v>2004</v>
      </c>
      <c r="B33" s="172"/>
      <c r="C33" s="172"/>
      <c r="D33" s="172"/>
      <c r="E33" s="172"/>
      <c r="F33" s="172"/>
      <c r="G33" s="172"/>
      <c r="H33" s="172"/>
      <c r="I33" s="83"/>
      <c r="J33" s="82"/>
      <c r="K33" s="82"/>
      <c r="L33" s="199"/>
      <c r="M33" s="199"/>
      <c r="N33" s="199"/>
      <c r="O33" s="199"/>
      <c r="P33" s="199"/>
      <c r="R33" s="212">
        <v>0.01</v>
      </c>
      <c r="S33" s="204"/>
      <c r="T33" s="181"/>
      <c r="U33" s="200" t="s">
        <v>249</v>
      </c>
      <c r="V33" s="58" t="s">
        <v>232</v>
      </c>
      <c r="W33" s="189" t="s">
        <v>224</v>
      </c>
      <c r="X33" s="190">
        <v>2272</v>
      </c>
      <c r="Y33" s="178">
        <v>12454</v>
      </c>
      <c r="Z33" s="58">
        <v>2500000</v>
      </c>
      <c r="AA33" s="58">
        <v>2500000</v>
      </c>
      <c r="AB33" s="58">
        <v>32960</v>
      </c>
      <c r="AC33" s="181"/>
      <c r="AD33" s="181"/>
      <c r="AE33" s="205"/>
      <c r="AG33" s="58"/>
      <c r="AH33" s="58"/>
      <c r="AI33" s="58"/>
      <c r="AJ33" s="58"/>
      <c r="AK33" t="s">
        <v>250</v>
      </c>
      <c r="AL33" s="75" t="s">
        <v>227</v>
      </c>
      <c r="AM33" s="190">
        <v>4361</v>
      </c>
      <c r="AN33" s="178" t="s">
        <v>251</v>
      </c>
      <c r="AO33" s="58" t="s">
        <v>252</v>
      </c>
      <c r="AP33" s="58" t="s">
        <v>247</v>
      </c>
      <c r="AQ33" s="21">
        <v>951</v>
      </c>
      <c r="AR33" s="192"/>
      <c r="AS33" t="s">
        <v>236</v>
      </c>
      <c r="AT33" s="187" t="s">
        <v>248</v>
      </c>
      <c r="AU33" s="58"/>
      <c r="AV33" s="58"/>
      <c r="AY33" s="58"/>
      <c r="AZ33" s="58"/>
      <c r="BA33" s="58"/>
      <c r="BB33" s="58"/>
      <c r="BC33" s="58"/>
      <c r="BD33" s="58"/>
      <c r="BE33" s="58"/>
      <c r="BF33" s="58"/>
    </row>
    <row r="34" spans="1:58">
      <c r="A34" s="26">
        <v>2005</v>
      </c>
      <c r="B34" s="82"/>
      <c r="C34" s="78"/>
      <c r="D34" s="78"/>
      <c r="E34" s="78"/>
      <c r="F34" s="78"/>
      <c r="G34" s="196"/>
      <c r="H34" s="172"/>
      <c r="I34" s="82"/>
      <c r="J34" s="82"/>
      <c r="K34" s="82"/>
      <c r="L34" s="199"/>
      <c r="M34" s="199"/>
      <c r="N34" s="199"/>
      <c r="O34" s="199"/>
      <c r="P34" s="199"/>
      <c r="R34" s="212">
        <v>14.36</v>
      </c>
      <c r="S34" s="206"/>
      <c r="T34" s="181"/>
      <c r="U34" s="200" t="s">
        <v>253</v>
      </c>
      <c r="V34" s="58"/>
      <c r="W34" s="85" t="s">
        <v>227</v>
      </c>
      <c r="X34" s="190">
        <v>2414</v>
      </c>
      <c r="Y34" s="178">
        <v>12037</v>
      </c>
      <c r="Z34" s="58">
        <v>325000</v>
      </c>
      <c r="AA34" s="58">
        <v>325000</v>
      </c>
      <c r="AB34" s="58">
        <v>11860</v>
      </c>
      <c r="AC34" s="181"/>
      <c r="AD34" s="58">
        <v>708</v>
      </c>
      <c r="AE34" s="205"/>
      <c r="AG34" s="58"/>
      <c r="AH34" s="58"/>
      <c r="AI34" s="58"/>
      <c r="AJ34" s="58"/>
      <c r="AK34" t="s">
        <v>232</v>
      </c>
      <c r="AL34" s="214"/>
      <c r="AM34" s="190">
        <v>4979</v>
      </c>
      <c r="AN34" s="178" t="s">
        <v>254</v>
      </c>
      <c r="AO34" s="58"/>
      <c r="AP34" s="58"/>
      <c r="AQ34" t="s">
        <v>255</v>
      </c>
      <c r="AR34" s="192"/>
      <c r="AS34" t="s">
        <v>236</v>
      </c>
      <c r="AT34" s="192"/>
      <c r="AU34" s="58"/>
      <c r="AV34" s="58"/>
      <c r="AY34" s="58"/>
      <c r="AZ34" s="58"/>
      <c r="BA34" s="58"/>
      <c r="BB34" s="58"/>
      <c r="BC34" s="58"/>
      <c r="BD34" s="58"/>
      <c r="BE34" s="58"/>
      <c r="BF34" s="58"/>
    </row>
    <row r="35" spans="1:58">
      <c r="A35" s="26">
        <v>2006</v>
      </c>
      <c r="B35" s="82"/>
      <c r="C35" s="78"/>
      <c r="D35" s="78"/>
      <c r="E35" s="78"/>
      <c r="F35" s="78"/>
      <c r="G35" s="196"/>
      <c r="H35" s="172"/>
      <c r="I35" s="82"/>
      <c r="J35" s="82"/>
      <c r="K35" s="82"/>
      <c r="L35" s="199"/>
      <c r="M35" s="199"/>
      <c r="N35" s="199"/>
      <c r="O35" s="199"/>
      <c r="P35" s="199"/>
      <c r="R35" s="191"/>
      <c r="S35" s="206"/>
      <c r="T35" s="191"/>
      <c r="U35" s="191"/>
      <c r="V35" s="191"/>
      <c r="W35" s="191"/>
      <c r="X35" s="190">
        <v>2504</v>
      </c>
      <c r="Y35" s="178">
        <v>9901</v>
      </c>
      <c r="Z35" s="58">
        <v>200000</v>
      </c>
      <c r="AA35" s="58"/>
      <c r="AB35" s="58"/>
      <c r="AC35" s="58"/>
      <c r="AD35" s="58"/>
      <c r="AE35" s="58"/>
      <c r="AG35" s="58"/>
      <c r="AH35" s="58"/>
      <c r="AI35" s="58"/>
      <c r="AJ35" s="58"/>
      <c r="AK35" t="s">
        <v>232</v>
      </c>
      <c r="AL35" s="214"/>
      <c r="AM35" s="190">
        <v>4980</v>
      </c>
      <c r="AN35" s="178" t="s">
        <v>256</v>
      </c>
      <c r="AO35" s="58"/>
      <c r="AP35" s="58"/>
      <c r="AQ35" t="s">
        <v>257</v>
      </c>
      <c r="AR35" s="192"/>
      <c r="AS35" t="s">
        <v>236</v>
      </c>
      <c r="AT35" s="192"/>
      <c r="AU35" s="58"/>
      <c r="AV35" s="58"/>
      <c r="AY35" s="58"/>
      <c r="AZ35" s="58"/>
      <c r="BA35" s="58"/>
      <c r="BB35" s="58"/>
      <c r="BC35" s="58"/>
      <c r="BE35" s="58"/>
      <c r="BF35" s="58"/>
    </row>
    <row r="36" spans="1:58">
      <c r="A36" s="26">
        <v>2007</v>
      </c>
      <c r="B36" s="82"/>
      <c r="C36" s="78"/>
      <c r="D36" s="78"/>
      <c r="E36" s="78"/>
      <c r="F36" s="78"/>
      <c r="G36" s="196"/>
      <c r="H36" s="172"/>
      <c r="I36" s="82"/>
      <c r="J36" s="82"/>
      <c r="K36" s="82"/>
      <c r="L36" s="199"/>
      <c r="M36" s="199"/>
      <c r="N36" s="199"/>
      <c r="O36" s="199"/>
      <c r="P36" s="199"/>
      <c r="R36" s="191"/>
      <c r="S36" s="206"/>
      <c r="T36" s="191"/>
      <c r="U36" s="191"/>
      <c r="V36" s="191"/>
      <c r="W36" s="206"/>
      <c r="X36" s="190">
        <v>3460</v>
      </c>
      <c r="Y36" s="178">
        <v>6979</v>
      </c>
      <c r="Z36" s="58">
        <v>250000</v>
      </c>
      <c r="AA36" s="58"/>
      <c r="AB36" s="58"/>
      <c r="AC36" s="58"/>
      <c r="AD36" s="58"/>
      <c r="AE36" s="58"/>
      <c r="AG36" s="58"/>
      <c r="AH36" s="58"/>
      <c r="AI36" s="58"/>
      <c r="AJ36" s="58"/>
      <c r="AL36" s="75" t="s">
        <v>227</v>
      </c>
      <c r="AM36" s="190">
        <v>7161</v>
      </c>
      <c r="AN36" s="215" t="s">
        <v>258</v>
      </c>
      <c r="AO36" s="58">
        <v>70000</v>
      </c>
      <c r="AP36" s="58">
        <v>70000</v>
      </c>
      <c r="AQ36" s="58">
        <v>7129</v>
      </c>
      <c r="AU36" s="58"/>
      <c r="AV36" s="58"/>
      <c r="AY36" s="58"/>
      <c r="AZ36" s="58"/>
      <c r="BA36" s="58"/>
      <c r="BB36" s="58"/>
      <c r="BC36" s="58"/>
      <c r="BE36" s="58"/>
      <c r="BF36" s="58"/>
    </row>
    <row r="37" spans="1:58">
      <c r="A37" s="26">
        <v>2008</v>
      </c>
      <c r="B37" s="194">
        <v>7736</v>
      </c>
      <c r="C37" s="78"/>
      <c r="D37" s="78"/>
      <c r="E37" s="78"/>
      <c r="F37" s="78"/>
      <c r="G37" s="196"/>
      <c r="H37" s="172"/>
      <c r="I37" s="82"/>
      <c r="J37" s="82"/>
      <c r="K37" s="82"/>
      <c r="L37" s="199"/>
      <c r="M37" s="199"/>
      <c r="N37" s="199"/>
      <c r="O37" s="199"/>
      <c r="P37" s="199"/>
      <c r="R37" s="849">
        <v>73.010000000000005</v>
      </c>
      <c r="S37" s="206"/>
      <c r="T37" s="181"/>
      <c r="U37" s="850" t="s">
        <v>259</v>
      </c>
      <c r="V37" s="851" t="s">
        <v>260</v>
      </c>
      <c r="W37" s="85" t="s">
        <v>227</v>
      </c>
      <c r="X37" s="190">
        <v>3684</v>
      </c>
      <c r="Y37" s="178">
        <v>10341</v>
      </c>
      <c r="Z37" s="58">
        <v>8000000</v>
      </c>
      <c r="AA37" s="58">
        <v>8000000</v>
      </c>
      <c r="AB37" s="58">
        <v>93510</v>
      </c>
      <c r="AC37" s="181"/>
      <c r="AD37" s="58">
        <v>8416</v>
      </c>
      <c r="AE37" s="58"/>
      <c r="AG37" s="58"/>
      <c r="AH37" s="58"/>
      <c r="AI37" t="s">
        <v>261</v>
      </c>
      <c r="AJ37" s="75">
        <v>7.42</v>
      </c>
      <c r="AK37" s="21">
        <v>24</v>
      </c>
      <c r="AL37" s="75" t="s">
        <v>262</v>
      </c>
      <c r="AM37" s="190">
        <v>7379</v>
      </c>
      <c r="AN37" s="178" t="s">
        <v>263</v>
      </c>
      <c r="AO37" s="216">
        <v>2000000</v>
      </c>
      <c r="AP37" s="216">
        <v>2000000</v>
      </c>
      <c r="AQ37" t="s">
        <v>264</v>
      </c>
      <c r="AR37" s="192"/>
      <c r="AS37" t="s">
        <v>236</v>
      </c>
      <c r="AT37" s="192"/>
      <c r="AU37" s="58"/>
      <c r="AV37" s="58"/>
      <c r="AY37" s="58"/>
      <c r="AZ37" s="58"/>
      <c r="BA37" s="58"/>
      <c r="BB37" s="58"/>
      <c r="BC37" s="58"/>
      <c r="BE37" s="58"/>
      <c r="BF37" s="58"/>
    </row>
    <row r="38" spans="1:58">
      <c r="A38" s="26">
        <v>2009</v>
      </c>
      <c r="B38" s="82"/>
      <c r="C38" s="78"/>
      <c r="D38" s="78"/>
      <c r="E38" s="78"/>
      <c r="F38" s="78"/>
      <c r="G38" s="196"/>
      <c r="H38" s="172"/>
      <c r="I38" s="82"/>
      <c r="J38" s="82"/>
      <c r="K38" s="82"/>
      <c r="L38" s="199"/>
      <c r="M38" s="199"/>
      <c r="N38" s="199"/>
      <c r="O38" s="199"/>
      <c r="P38" s="199"/>
      <c r="R38" s="849"/>
      <c r="S38" s="206"/>
      <c r="T38" s="181"/>
      <c r="U38" s="850"/>
      <c r="V38" s="851"/>
      <c r="W38" s="85" t="s">
        <v>227</v>
      </c>
      <c r="X38" s="190">
        <v>3684</v>
      </c>
      <c r="Y38" s="178">
        <v>10772</v>
      </c>
      <c r="Z38" s="58">
        <v>4000000</v>
      </c>
      <c r="AA38" s="58">
        <v>4000000</v>
      </c>
      <c r="AB38" s="58">
        <v>47510</v>
      </c>
      <c r="AC38" s="181"/>
      <c r="AD38" s="58">
        <v>4275</v>
      </c>
      <c r="AE38" s="191"/>
      <c r="AG38" s="58"/>
      <c r="AH38" s="58"/>
      <c r="AJ38" s="58"/>
      <c r="AM38" s="190">
        <v>10286</v>
      </c>
      <c r="AN38" t="s">
        <v>265</v>
      </c>
      <c r="AY38" s="58"/>
      <c r="AZ38" s="58"/>
      <c r="BA38" s="58"/>
      <c r="BB38" s="58"/>
      <c r="BC38" s="58"/>
      <c r="BE38" s="58"/>
      <c r="BF38" s="58"/>
    </row>
    <row r="39" spans="1:58">
      <c r="A39" s="26">
        <v>2010</v>
      </c>
      <c r="B39" s="82"/>
      <c r="C39" s="78"/>
      <c r="D39" s="78"/>
      <c r="E39" s="78"/>
      <c r="F39" s="78"/>
      <c r="G39" s="196"/>
      <c r="H39" s="172"/>
      <c r="I39" s="82"/>
      <c r="J39" s="82"/>
      <c r="K39" s="82"/>
      <c r="L39" s="199"/>
      <c r="M39" s="199"/>
      <c r="N39" s="199"/>
      <c r="O39" s="199"/>
      <c r="P39" s="199"/>
      <c r="R39" s="212">
        <v>3.3</v>
      </c>
      <c r="S39" s="206"/>
      <c r="T39" s="181"/>
      <c r="U39" s="29">
        <v>3.3</v>
      </c>
      <c r="V39" s="58" t="s">
        <v>232</v>
      </c>
      <c r="W39" s="189" t="s">
        <v>224</v>
      </c>
      <c r="X39" s="190">
        <v>3705</v>
      </c>
      <c r="Y39" s="178">
        <v>10692</v>
      </c>
      <c r="Z39" s="58">
        <v>1000000</v>
      </c>
      <c r="AA39" s="58">
        <v>1000000</v>
      </c>
      <c r="AB39" s="58">
        <v>13010</v>
      </c>
      <c r="AC39" s="181"/>
      <c r="AD39" s="58">
        <v>1171</v>
      </c>
      <c r="AE39" s="191"/>
      <c r="AG39" s="58"/>
      <c r="AH39" s="58"/>
      <c r="AJ39" s="58"/>
      <c r="AM39" s="58"/>
      <c r="AN39" s="58"/>
      <c r="AY39" s="58"/>
      <c r="AZ39" s="58"/>
      <c r="BA39" s="58"/>
      <c r="BB39" s="58"/>
    </row>
    <row r="40" spans="1:58">
      <c r="A40" s="26">
        <v>2011</v>
      </c>
      <c r="B40" s="77"/>
      <c r="C40" s="78"/>
      <c r="D40" s="78"/>
      <c r="E40" s="78"/>
      <c r="F40" s="78"/>
      <c r="G40" s="79"/>
      <c r="H40" s="81"/>
      <c r="I40" s="80"/>
      <c r="J40" s="80"/>
      <c r="K40" s="80"/>
      <c r="L40" s="3"/>
      <c r="M40" s="3"/>
      <c r="N40" s="3"/>
      <c r="O40" s="3"/>
      <c r="P40" s="3"/>
      <c r="R40" s="58"/>
      <c r="S40" s="206"/>
      <c r="T40" s="181"/>
      <c r="U40" s="200" t="s">
        <v>266</v>
      </c>
      <c r="V40" s="58" t="s">
        <v>232</v>
      </c>
      <c r="W40" s="189" t="s">
        <v>224</v>
      </c>
      <c r="X40" s="190">
        <v>3915</v>
      </c>
      <c r="Y40" s="178">
        <v>12489</v>
      </c>
      <c r="Z40" s="58">
        <v>400000</v>
      </c>
      <c r="AA40" s="58">
        <v>400000</v>
      </c>
      <c r="AB40" s="58">
        <v>9760</v>
      </c>
      <c r="AC40" s="181"/>
      <c r="AD40" s="181"/>
      <c r="AE40" s="191"/>
      <c r="AJ40" s="58"/>
      <c r="AY40" s="58"/>
      <c r="AZ40" s="58"/>
      <c r="BA40" s="58"/>
      <c r="BB40" s="58"/>
    </row>
    <row r="41" spans="1:58">
      <c r="A41" s="26"/>
      <c r="B41" s="77"/>
      <c r="C41" s="78"/>
      <c r="D41" s="78"/>
      <c r="E41" s="78"/>
      <c r="F41" s="78"/>
      <c r="G41" s="79"/>
      <c r="H41" s="81"/>
      <c r="I41" s="80"/>
      <c r="J41" s="80"/>
      <c r="K41" s="80"/>
      <c r="L41" s="3"/>
      <c r="M41" s="3"/>
      <c r="N41" s="3"/>
      <c r="O41" s="3"/>
      <c r="P41" s="3"/>
      <c r="R41" s="58"/>
      <c r="S41" s="206"/>
      <c r="T41" s="181"/>
      <c r="U41" s="58"/>
      <c r="V41" s="58" t="s">
        <v>232</v>
      </c>
      <c r="X41" s="190">
        <v>4212</v>
      </c>
      <c r="Y41" s="178">
        <v>11744</v>
      </c>
      <c r="Z41" s="200" t="s">
        <v>262</v>
      </c>
      <c r="AA41" s="58" t="s">
        <v>267</v>
      </c>
      <c r="AB41" s="58"/>
      <c r="AC41" s="58"/>
      <c r="AD41" s="58"/>
      <c r="AE41" s="58"/>
      <c r="AO41" s="21">
        <f>600000*1.2%</f>
        <v>7200</v>
      </c>
      <c r="AP41" s="21">
        <f>2440150*1.2%</f>
        <v>29281.8</v>
      </c>
      <c r="AY41" s="58"/>
      <c r="AZ41" s="58"/>
      <c r="BA41" s="58"/>
      <c r="BB41" s="58"/>
    </row>
    <row r="42" spans="1:58">
      <c r="A42" s="26"/>
      <c r="B42" s="77"/>
      <c r="C42" s="78"/>
      <c r="D42" s="78"/>
      <c r="E42" s="78"/>
      <c r="F42" s="78"/>
      <c r="G42" s="79"/>
      <c r="H42" s="26"/>
      <c r="I42" s="80"/>
      <c r="J42" s="80"/>
      <c r="K42" s="80"/>
      <c r="L42" s="3"/>
      <c r="M42" s="3"/>
      <c r="N42" s="3"/>
      <c r="O42" s="3"/>
      <c r="P42" s="3"/>
      <c r="R42" s="58"/>
      <c r="S42" s="206"/>
      <c r="T42" s="192"/>
      <c r="U42" s="58"/>
      <c r="V42" s="58"/>
      <c r="X42" s="187">
        <v>4212</v>
      </c>
      <c r="Y42" s="178">
        <v>12520</v>
      </c>
      <c r="Z42" s="58"/>
      <c r="AA42" s="58"/>
      <c r="AB42" s="58"/>
      <c r="AC42" s="58"/>
      <c r="AD42" s="58"/>
      <c r="AE42" s="58"/>
      <c r="AO42" s="58">
        <f>AO41*9%</f>
        <v>648</v>
      </c>
      <c r="AP42" s="58">
        <f>AP41*9%</f>
        <v>2635.3619999999996</v>
      </c>
      <c r="AY42" s="58"/>
      <c r="AZ42" s="58"/>
      <c r="BA42" s="58"/>
      <c r="BB42" s="58"/>
    </row>
    <row r="43" spans="1:58" ht="20.25">
      <c r="U43" s="58" t="s">
        <v>267</v>
      </c>
      <c r="V43" s="58">
        <v>33</v>
      </c>
      <c r="W43" s="75" t="s">
        <v>262</v>
      </c>
      <c r="X43" s="190">
        <v>7109</v>
      </c>
      <c r="Y43" s="178">
        <v>10434</v>
      </c>
      <c r="Z43" s="216">
        <v>700000</v>
      </c>
      <c r="AA43" s="216">
        <v>700000</v>
      </c>
      <c r="AB43" s="58">
        <v>9560</v>
      </c>
      <c r="AC43" s="58">
        <v>860</v>
      </c>
      <c r="AD43" s="58">
        <v>860</v>
      </c>
      <c r="AE43" s="217">
        <v>1200</v>
      </c>
      <c r="AM43" s="21">
        <f>350000/340.75</f>
        <v>1027.1460014673514</v>
      </c>
      <c r="AO43" s="29">
        <f>AO42/340.75</f>
        <v>1.9016874541452677</v>
      </c>
      <c r="AP43" s="29">
        <f>AP42/340.75</f>
        <v>7.7340044020542908</v>
      </c>
      <c r="AY43" s="58"/>
      <c r="AZ43" s="58"/>
      <c r="BA43" s="58"/>
      <c r="BB43" s="58"/>
    </row>
    <row r="44" spans="1:58">
      <c r="U44" s="58"/>
      <c r="V44" s="58" t="s">
        <v>232</v>
      </c>
      <c r="W44" s="189" t="s">
        <v>224</v>
      </c>
      <c r="X44" s="190">
        <v>7736</v>
      </c>
      <c r="Y44" s="178">
        <v>12121</v>
      </c>
      <c r="Z44" s="58">
        <v>5000000</v>
      </c>
      <c r="AA44" s="58">
        <v>5000000</v>
      </c>
      <c r="AB44" s="58">
        <v>62960</v>
      </c>
      <c r="AC44" s="181"/>
      <c r="AD44" s="58">
        <v>5667</v>
      </c>
      <c r="AE44" s="58"/>
      <c r="AK44" s="29"/>
      <c r="BA44" s="58"/>
      <c r="BB44" s="58"/>
    </row>
    <row r="45" spans="1:58">
      <c r="U45" s="58"/>
      <c r="V45" s="58"/>
      <c r="Y45" s="58"/>
      <c r="AL45" s="29"/>
      <c r="BA45" s="58"/>
      <c r="BB45" s="58"/>
    </row>
    <row r="46" spans="1:58">
      <c r="B46" t="s">
        <v>268</v>
      </c>
      <c r="E46" s="50"/>
      <c r="V46" s="70"/>
      <c r="Y46" s="58"/>
      <c r="BA46" s="58"/>
      <c r="BB46" s="58"/>
    </row>
    <row r="47" spans="1:58">
      <c r="B47" t="s">
        <v>269</v>
      </c>
      <c r="V47" s="70"/>
      <c r="Y47" s="58">
        <v>14262</v>
      </c>
      <c r="Z47" s="58">
        <v>2000000</v>
      </c>
      <c r="AA47" s="218"/>
      <c r="AB47" s="58"/>
      <c r="AC47" s="58"/>
      <c r="AD47" s="58"/>
      <c r="AE47" s="58"/>
    </row>
    <row r="48" spans="1:58">
      <c r="V48" s="70"/>
      <c r="Y48" s="58">
        <v>13807</v>
      </c>
      <c r="Z48" s="58">
        <v>400000</v>
      </c>
      <c r="AA48" s="58">
        <v>400000</v>
      </c>
      <c r="AB48" s="58"/>
      <c r="AC48" s="58"/>
      <c r="AD48" s="58"/>
      <c r="AE48" s="58"/>
    </row>
    <row r="49" spans="16:41">
      <c r="V49" s="70"/>
      <c r="Y49" s="58">
        <v>13403</v>
      </c>
      <c r="Z49" s="58">
        <v>1000000</v>
      </c>
      <c r="AA49" s="218"/>
      <c r="AB49" s="58"/>
      <c r="AC49" s="58"/>
      <c r="AD49" s="58"/>
      <c r="AE49" s="58"/>
      <c r="AG49" s="70"/>
      <c r="AO49" s="70"/>
    </row>
    <row r="50" spans="16:41">
      <c r="P50" s="29">
        <f>5667/340.75</f>
        <v>16.630961115187088</v>
      </c>
      <c r="R50" s="29">
        <f>12000000/340.75</f>
        <v>35216.434336023478</v>
      </c>
      <c r="V50" s="70"/>
      <c r="Y50" s="58">
        <v>13402</v>
      </c>
      <c r="Z50" s="58">
        <v>4000000</v>
      </c>
      <c r="AA50" s="218"/>
      <c r="AB50" s="58"/>
      <c r="AC50" s="58"/>
      <c r="AD50" s="58"/>
      <c r="AE50" s="58"/>
    </row>
    <row r="51" spans="16:41">
      <c r="P51" s="50">
        <f>P50*1.2%</f>
        <v>0.19957153338224506</v>
      </c>
      <c r="Y51" s="58">
        <v>13325</v>
      </c>
      <c r="Z51" s="58">
        <v>600000</v>
      </c>
      <c r="AA51" s="58">
        <v>100000</v>
      </c>
      <c r="AB51" s="58"/>
      <c r="AC51" s="58"/>
      <c r="AD51" s="58"/>
      <c r="AE51" s="58"/>
    </row>
    <row r="52" spans="16:41">
      <c r="P52" s="50">
        <f>P51*9%</f>
        <v>1.7961438004402055E-2</v>
      </c>
      <c r="R52" s="58">
        <f>14183.33*340.75</f>
        <v>4832969.6974999998</v>
      </c>
      <c r="Y52" s="58">
        <v>13200</v>
      </c>
      <c r="Z52" s="58">
        <v>6000000</v>
      </c>
      <c r="AA52" s="58">
        <v>6000000</v>
      </c>
      <c r="AB52" s="58"/>
      <c r="AC52" s="58">
        <v>6954</v>
      </c>
      <c r="AD52" s="58">
        <v>6954</v>
      </c>
      <c r="AE52" s="58"/>
    </row>
    <row r="53" spans="16:41">
      <c r="Y53" s="58">
        <v>12979</v>
      </c>
      <c r="Z53" s="58">
        <v>15000000</v>
      </c>
      <c r="AA53" s="58">
        <v>3000000</v>
      </c>
      <c r="AB53" s="58"/>
      <c r="AC53" s="58">
        <v>3754</v>
      </c>
      <c r="AD53" s="58">
        <v>3754</v>
      </c>
      <c r="AE53" s="58"/>
    </row>
    <row r="54" spans="16:41">
      <c r="Y54" s="58">
        <v>12943</v>
      </c>
      <c r="Z54" s="58">
        <v>1000000</v>
      </c>
      <c r="AA54" s="58">
        <v>1000000</v>
      </c>
      <c r="AB54" s="58"/>
      <c r="AC54" s="58"/>
      <c r="AD54" s="58"/>
      <c r="AE54" s="58"/>
    </row>
    <row r="55" spans="16:41">
      <c r="R55" s="50"/>
      <c r="Y55" s="58">
        <v>12725</v>
      </c>
      <c r="Z55" s="58">
        <v>2000000</v>
      </c>
      <c r="AA55" s="191"/>
      <c r="AB55" s="58"/>
      <c r="AC55" s="58"/>
      <c r="AD55" s="58"/>
      <c r="AE55" s="58"/>
    </row>
    <row r="56" spans="16:41">
      <c r="Y56" s="58">
        <v>12639</v>
      </c>
      <c r="Z56" s="58">
        <v>500000</v>
      </c>
      <c r="AA56" s="58">
        <v>500000</v>
      </c>
      <c r="AB56" s="58"/>
      <c r="AC56" s="58">
        <v>806</v>
      </c>
      <c r="AD56" s="58">
        <v>806</v>
      </c>
      <c r="AE56" s="58"/>
    </row>
    <row r="57" spans="16:41">
      <c r="Y57" s="58">
        <v>12453</v>
      </c>
      <c r="Z57" s="58">
        <v>1000000</v>
      </c>
      <c r="AA57" s="191"/>
      <c r="AB57" s="58"/>
      <c r="AC57" s="58"/>
      <c r="AD57" s="58"/>
      <c r="AE57" s="58"/>
    </row>
    <row r="58" spans="16:41">
      <c r="Y58" s="58">
        <v>12397</v>
      </c>
      <c r="Z58" s="58">
        <v>100000</v>
      </c>
      <c r="AA58" s="58">
        <v>100000</v>
      </c>
      <c r="AB58" s="58"/>
      <c r="AC58" s="58"/>
      <c r="AD58" s="58"/>
      <c r="AE58" s="58"/>
    </row>
    <row r="59" spans="16:41">
      <c r="Y59" s="58">
        <v>12387</v>
      </c>
      <c r="Z59" s="58">
        <v>500000</v>
      </c>
      <c r="AA59" s="191"/>
      <c r="AB59" s="58"/>
      <c r="AC59" s="58"/>
      <c r="AD59" s="58"/>
      <c r="AE59" s="58"/>
    </row>
    <row r="60" spans="16:41">
      <c r="Y60" s="58">
        <v>12373</v>
      </c>
      <c r="Z60" s="58">
        <v>500000</v>
      </c>
      <c r="AA60" s="58">
        <v>500000</v>
      </c>
      <c r="AB60" s="58"/>
      <c r="AC60" s="58">
        <v>806</v>
      </c>
      <c r="AD60" s="58">
        <v>806</v>
      </c>
      <c r="AE60" s="58"/>
    </row>
    <row r="61" spans="16:41">
      <c r="Y61" s="58">
        <v>12275</v>
      </c>
      <c r="Z61" s="58">
        <v>1200000</v>
      </c>
      <c r="AA61" s="58">
        <v>1200000</v>
      </c>
      <c r="AB61" s="58"/>
      <c r="AC61" s="58">
        <v>1563</v>
      </c>
      <c r="AD61" s="58">
        <v>1563</v>
      </c>
      <c r="AE61" s="58"/>
    </row>
    <row r="62" spans="16:41">
      <c r="Y62" s="58">
        <v>12139</v>
      </c>
      <c r="Z62" s="58">
        <v>3500000</v>
      </c>
      <c r="AA62" s="58">
        <v>500000</v>
      </c>
      <c r="AB62" s="58"/>
      <c r="AC62" s="58">
        <v>806</v>
      </c>
      <c r="AD62" s="58">
        <v>806</v>
      </c>
      <c r="AE62" s="58"/>
    </row>
    <row r="63" spans="16:41">
      <c r="Y63" s="181">
        <v>11203</v>
      </c>
      <c r="Z63" s="58"/>
      <c r="AA63" s="58"/>
      <c r="AB63" s="58" t="s">
        <v>270</v>
      </c>
      <c r="AC63" s="58"/>
      <c r="AD63" s="58"/>
      <c r="AE63" s="58"/>
    </row>
    <row r="64" spans="16:41">
      <c r="Y64" s="58">
        <v>11970</v>
      </c>
      <c r="Z64" s="58">
        <v>300000</v>
      </c>
      <c r="AA64" s="58">
        <v>300000</v>
      </c>
      <c r="AB64" s="58"/>
      <c r="AC64" s="58">
        <v>591</v>
      </c>
      <c r="AD64" s="58">
        <v>591</v>
      </c>
      <c r="AE64" s="58"/>
    </row>
    <row r="65" spans="25:32">
      <c r="Y65" s="58">
        <v>11669</v>
      </c>
      <c r="Z65" s="58">
        <v>970000</v>
      </c>
      <c r="AA65" s="191"/>
      <c r="AB65" s="58"/>
      <c r="AC65" s="58"/>
      <c r="AD65" s="58"/>
      <c r="AE65" s="58"/>
    </row>
    <row r="66" spans="25:32">
      <c r="Y66" s="58">
        <v>11608</v>
      </c>
      <c r="Z66" s="58">
        <v>263000</v>
      </c>
      <c r="AA66" s="191"/>
      <c r="AB66" s="58"/>
      <c r="AC66" s="58"/>
      <c r="AD66" s="58"/>
      <c r="AE66" s="58"/>
    </row>
    <row r="67" spans="25:32">
      <c r="Y67" s="58">
        <v>11547</v>
      </c>
      <c r="Z67" s="58">
        <v>4000000</v>
      </c>
      <c r="AA67" s="58">
        <v>4000000</v>
      </c>
      <c r="AB67" s="58"/>
      <c r="AC67" s="58">
        <v>4276</v>
      </c>
      <c r="AD67" s="58">
        <v>4276</v>
      </c>
      <c r="AE67" s="58"/>
    </row>
    <row r="68" spans="25:32">
      <c r="Y68" s="58">
        <v>11455</v>
      </c>
      <c r="Z68" s="58">
        <v>500000</v>
      </c>
      <c r="AA68" s="58">
        <v>500000</v>
      </c>
      <c r="AB68" s="58"/>
      <c r="AC68" s="58">
        <v>654</v>
      </c>
      <c r="AD68" s="58">
        <v>654</v>
      </c>
      <c r="AE68" s="58"/>
    </row>
    <row r="69" spans="25:32">
      <c r="Y69" s="58">
        <v>11400</v>
      </c>
      <c r="Z69" s="58">
        <v>1500000</v>
      </c>
      <c r="AA69" s="58">
        <v>1500000</v>
      </c>
      <c r="AB69" s="58"/>
      <c r="AC69" s="58">
        <v>1689</v>
      </c>
      <c r="AD69" s="58">
        <v>1689</v>
      </c>
      <c r="AE69" s="58"/>
    </row>
    <row r="70" spans="25:32">
      <c r="Y70" s="181">
        <v>11396</v>
      </c>
      <c r="Z70" s="58"/>
      <c r="AA70" s="58"/>
      <c r="AB70" s="58"/>
      <c r="AC70" s="58"/>
      <c r="AD70" s="58"/>
      <c r="AE70" s="58"/>
    </row>
    <row r="71" spans="25:32">
      <c r="Y71" s="58">
        <v>11175</v>
      </c>
      <c r="Z71" s="58">
        <v>700000</v>
      </c>
      <c r="AA71" s="58">
        <v>700000</v>
      </c>
      <c r="AB71" s="58"/>
      <c r="AC71" s="58">
        <v>861</v>
      </c>
      <c r="AD71" s="58">
        <v>861</v>
      </c>
      <c r="AE71" s="58"/>
    </row>
    <row r="72" spans="25:32">
      <c r="Y72" s="58">
        <v>11090</v>
      </c>
      <c r="Z72" s="58">
        <v>2510000</v>
      </c>
      <c r="AA72" s="58">
        <v>1726000</v>
      </c>
      <c r="AB72" s="58"/>
      <c r="AC72" s="58">
        <v>2182</v>
      </c>
      <c r="AD72" s="58">
        <v>2182</v>
      </c>
      <c r="AE72" s="58"/>
    </row>
    <row r="73" spans="25:32">
      <c r="Y73" s="58">
        <v>11088</v>
      </c>
      <c r="Z73" s="58">
        <v>2000000</v>
      </c>
      <c r="AA73" s="58">
        <v>2000000</v>
      </c>
      <c r="AB73" s="58"/>
      <c r="AC73" s="58">
        <v>2413</v>
      </c>
      <c r="AD73" s="58">
        <v>2413</v>
      </c>
      <c r="AE73" s="58"/>
    </row>
    <row r="74" spans="25:32" ht="15.75">
      <c r="Y74" s="58">
        <v>11023</v>
      </c>
      <c r="Z74" s="58">
        <v>20000000</v>
      </c>
      <c r="AA74" s="58">
        <v>5690000</v>
      </c>
      <c r="AB74" s="58"/>
      <c r="AC74" s="200">
        <v>25836</v>
      </c>
      <c r="AD74" s="200">
        <v>25836</v>
      </c>
      <c r="AE74" s="58"/>
      <c r="AF74" s="219" t="s">
        <v>271</v>
      </c>
    </row>
    <row r="75" spans="25:32">
      <c r="Y75" s="58">
        <v>10996</v>
      </c>
      <c r="Z75" s="58">
        <v>2000000</v>
      </c>
      <c r="AA75" s="58">
        <v>2000000</v>
      </c>
      <c r="AB75" s="58"/>
      <c r="AC75" s="58">
        <v>2206</v>
      </c>
      <c r="AD75" s="58">
        <v>2206</v>
      </c>
      <c r="AE75" s="58"/>
    </row>
    <row r="76" spans="25:32">
      <c r="Y76" s="58">
        <v>10966</v>
      </c>
      <c r="Z76" s="58">
        <v>400000</v>
      </c>
      <c r="AA76" s="58">
        <v>400000</v>
      </c>
      <c r="AB76" s="58"/>
      <c r="AC76" s="58"/>
      <c r="AD76" s="58"/>
      <c r="AE76" s="58"/>
    </row>
    <row r="77" spans="25:32">
      <c r="Y77" s="58">
        <v>10809</v>
      </c>
      <c r="Z77" s="58">
        <v>137000</v>
      </c>
      <c r="AA77" s="58">
        <v>137000</v>
      </c>
      <c r="AB77" s="58"/>
      <c r="AC77" s="58"/>
      <c r="AD77" s="58"/>
      <c r="AE77" s="58"/>
    </row>
    <row r="78" spans="25:32">
      <c r="Y78" s="58">
        <v>10787</v>
      </c>
      <c r="Z78" s="58">
        <v>271121</v>
      </c>
      <c r="AA78" s="58">
        <v>271121</v>
      </c>
      <c r="AB78" s="58"/>
      <c r="AC78" s="58"/>
      <c r="AD78" s="58"/>
      <c r="AE78" s="58"/>
    </row>
    <row r="79" spans="25:32">
      <c r="Y79" s="58">
        <v>10749</v>
      </c>
      <c r="Z79" s="58">
        <v>300000</v>
      </c>
      <c r="AA79" s="58">
        <v>300000</v>
      </c>
      <c r="AB79" s="58"/>
      <c r="AC79" s="58"/>
      <c r="AD79" s="58"/>
      <c r="AE79" s="58"/>
    </row>
    <row r="80" spans="25:32">
      <c r="Y80" s="58">
        <v>10712</v>
      </c>
      <c r="Z80" s="58">
        <v>5000000</v>
      </c>
      <c r="AA80" s="58">
        <v>3000000</v>
      </c>
      <c r="AB80" s="58"/>
      <c r="AC80" s="58">
        <v>5311</v>
      </c>
      <c r="AD80" s="58">
        <v>5311</v>
      </c>
      <c r="AE80" s="58"/>
    </row>
    <row r="81" spans="24:33">
      <c r="Y81" s="58">
        <v>10699</v>
      </c>
      <c r="Z81" s="58">
        <v>200000</v>
      </c>
      <c r="AA81" s="58">
        <v>200000</v>
      </c>
      <c r="AB81" s="58"/>
      <c r="AC81" s="58"/>
      <c r="AD81" s="58"/>
      <c r="AE81" s="58"/>
    </row>
    <row r="82" spans="24:33">
      <c r="Y82" s="58">
        <v>10512</v>
      </c>
      <c r="Z82" s="58">
        <v>1500000</v>
      </c>
      <c r="AA82" s="58">
        <v>1500000</v>
      </c>
      <c r="AB82" s="58"/>
      <c r="AC82" s="58">
        <v>1689</v>
      </c>
      <c r="AD82" s="58">
        <v>1689</v>
      </c>
      <c r="AE82" s="58"/>
    </row>
    <row r="83" spans="24:33">
      <c r="Y83" s="58">
        <v>10459</v>
      </c>
      <c r="Z83" s="58">
        <v>10000000</v>
      </c>
      <c r="AA83" s="58">
        <v>1000000</v>
      </c>
      <c r="AB83" s="58"/>
      <c r="AC83" s="58">
        <v>1151</v>
      </c>
      <c r="AD83" s="58">
        <v>1151</v>
      </c>
      <c r="AE83" s="58"/>
    </row>
    <row r="84" spans="24:33">
      <c r="Y84" s="179">
        <v>10447</v>
      </c>
      <c r="Z84" s="58">
        <v>5000000</v>
      </c>
      <c r="AA84" s="58">
        <v>4000000</v>
      </c>
      <c r="AB84" s="58"/>
      <c r="AC84" s="181"/>
      <c r="AD84" s="58">
        <v>4276</v>
      </c>
      <c r="AE84" s="58"/>
    </row>
    <row r="85" spans="24:33">
      <c r="Y85" s="58">
        <v>10229</v>
      </c>
      <c r="Z85" s="58">
        <v>1760000</v>
      </c>
      <c r="AA85" s="58">
        <v>1760000</v>
      </c>
      <c r="AB85" s="58"/>
      <c r="AC85" s="58">
        <v>2135</v>
      </c>
      <c r="AD85" s="58">
        <v>2135</v>
      </c>
      <c r="AE85" s="58"/>
    </row>
    <row r="86" spans="24:33">
      <c r="Y86" s="58">
        <v>10221</v>
      </c>
      <c r="Z86" s="58">
        <v>4000000</v>
      </c>
      <c r="AA86" s="58">
        <v>4000000</v>
      </c>
      <c r="AB86" s="58"/>
      <c r="AC86" s="58">
        <v>4276</v>
      </c>
      <c r="AD86" s="58">
        <v>4276</v>
      </c>
      <c r="AE86" s="58"/>
    </row>
    <row r="87" spans="24:33">
      <c r="Y87" s="58">
        <v>10184</v>
      </c>
      <c r="Z87" s="58">
        <v>1500000</v>
      </c>
      <c r="AA87" s="58">
        <v>1500000</v>
      </c>
      <c r="AB87" s="58"/>
      <c r="AC87" s="58">
        <v>1658</v>
      </c>
      <c r="AD87" s="58">
        <v>1658</v>
      </c>
      <c r="AE87" s="58"/>
    </row>
    <row r="88" spans="24:33">
      <c r="Y88" s="58">
        <v>10179</v>
      </c>
      <c r="Z88" s="58">
        <v>1500000</v>
      </c>
      <c r="AA88" s="58">
        <v>1500000</v>
      </c>
      <c r="AB88" s="58"/>
      <c r="AC88" s="58">
        <v>1689</v>
      </c>
      <c r="AD88" s="58">
        <v>1689</v>
      </c>
      <c r="AE88" s="58"/>
    </row>
    <row r="89" spans="24:33">
      <c r="Y89" s="58">
        <v>10043</v>
      </c>
      <c r="Z89" s="58">
        <v>500000</v>
      </c>
      <c r="AA89" s="58">
        <v>500000</v>
      </c>
      <c r="AB89" s="58"/>
      <c r="AC89" s="58">
        <v>654</v>
      </c>
      <c r="AD89" s="58">
        <v>654</v>
      </c>
      <c r="AE89" s="58"/>
    </row>
    <row r="90" spans="24:33">
      <c r="Y90" s="58">
        <v>9920</v>
      </c>
      <c r="Z90" s="58">
        <v>500000</v>
      </c>
      <c r="AA90" s="58">
        <v>500000</v>
      </c>
      <c r="AB90" s="58"/>
      <c r="AC90" s="58">
        <v>654</v>
      </c>
      <c r="AD90" s="58">
        <v>654</v>
      </c>
      <c r="AE90" s="58"/>
    </row>
    <row r="91" spans="24:33">
      <c r="Y91" s="58">
        <v>9902</v>
      </c>
      <c r="Z91" s="58">
        <v>400000</v>
      </c>
      <c r="AA91" s="58">
        <v>400000</v>
      </c>
      <c r="AB91" s="58"/>
      <c r="AC91" s="58">
        <v>550</v>
      </c>
      <c r="AD91" s="58">
        <v>550</v>
      </c>
      <c r="AE91" s="58"/>
    </row>
    <row r="92" spans="24:33">
      <c r="Y92" s="58">
        <v>9900</v>
      </c>
      <c r="Z92" s="58">
        <v>2500000</v>
      </c>
      <c r="AA92" s="58">
        <v>2500000</v>
      </c>
      <c r="AB92" s="58"/>
      <c r="AC92" s="58">
        <v>2780</v>
      </c>
      <c r="AD92" s="58">
        <v>2780</v>
      </c>
      <c r="AE92" s="58"/>
    </row>
    <row r="93" spans="24:33">
      <c r="Y93" s="58">
        <v>9858</v>
      </c>
      <c r="Z93" s="58">
        <v>500000</v>
      </c>
      <c r="AA93" s="58">
        <v>500000</v>
      </c>
      <c r="AB93" s="58"/>
      <c r="AC93" s="58">
        <v>654</v>
      </c>
      <c r="AD93" s="58">
        <v>654</v>
      </c>
      <c r="AE93" s="58"/>
    </row>
    <row r="94" spans="24:33">
      <c r="X94" s="58">
        <v>9688</v>
      </c>
      <c r="Y94" s="200">
        <v>9689</v>
      </c>
      <c r="Z94" s="58">
        <v>1300000</v>
      </c>
      <c r="AA94" s="58">
        <v>1300000</v>
      </c>
      <c r="AB94" s="58"/>
      <c r="AC94" s="58">
        <v>1476</v>
      </c>
      <c r="AD94" s="58">
        <v>1476</v>
      </c>
      <c r="AE94" s="58"/>
      <c r="AF94" s="58"/>
      <c r="AG94" s="58"/>
    </row>
    <row r="95" spans="24:33">
      <c r="Y95" s="58">
        <v>9674</v>
      </c>
      <c r="Z95" s="58"/>
      <c r="AA95" s="58">
        <v>100000</v>
      </c>
      <c r="AB95" s="58"/>
      <c r="AC95" s="58"/>
      <c r="AD95" s="58"/>
      <c r="AE95" s="58"/>
    </row>
    <row r="96" spans="24:33">
      <c r="Y96" s="58">
        <v>9609</v>
      </c>
      <c r="Z96" s="58">
        <v>4000000</v>
      </c>
      <c r="AA96" s="58">
        <v>4000000</v>
      </c>
      <c r="AB96" s="58"/>
      <c r="AC96" s="58">
        <v>4275</v>
      </c>
      <c r="AD96" s="58">
        <v>4275</v>
      </c>
      <c r="AE96" s="58"/>
    </row>
    <row r="97" spans="25:36">
      <c r="Y97" s="58">
        <v>9580</v>
      </c>
      <c r="Z97" s="58">
        <v>600000</v>
      </c>
      <c r="AA97" s="58">
        <v>600000</v>
      </c>
      <c r="AB97" s="58"/>
      <c r="AC97" s="58">
        <v>756</v>
      </c>
      <c r="AD97" s="58">
        <v>756</v>
      </c>
      <c r="AE97" s="58"/>
    </row>
    <row r="98" spans="25:36">
      <c r="Y98" s="58">
        <v>9367</v>
      </c>
      <c r="Z98" s="58">
        <v>735000</v>
      </c>
      <c r="AA98" s="58">
        <v>235000</v>
      </c>
      <c r="AB98" s="58"/>
      <c r="AC98" s="58">
        <v>897</v>
      </c>
      <c r="AD98" s="58">
        <v>897</v>
      </c>
      <c r="AE98" s="58"/>
    </row>
    <row r="99" spans="25:36">
      <c r="Y99" s="58">
        <v>9298</v>
      </c>
      <c r="Z99" s="58">
        <v>200000</v>
      </c>
      <c r="AA99" s="58">
        <v>200000</v>
      </c>
      <c r="AB99" s="58"/>
      <c r="AC99" s="58">
        <v>351</v>
      </c>
      <c r="AD99" s="58">
        <v>351</v>
      </c>
      <c r="AE99" s="58"/>
    </row>
    <row r="100" spans="25:36">
      <c r="Y100" s="58">
        <v>9295</v>
      </c>
      <c r="Z100" s="58">
        <v>300000</v>
      </c>
      <c r="AA100" s="58">
        <v>300000</v>
      </c>
      <c r="AB100" s="58"/>
      <c r="AC100" s="58">
        <v>498</v>
      </c>
      <c r="AD100" s="58">
        <v>498</v>
      </c>
      <c r="AE100" s="58"/>
    </row>
    <row r="101" spans="25:36">
      <c r="Y101" s="58">
        <v>9153</v>
      </c>
      <c r="Z101" s="58">
        <v>20000000</v>
      </c>
      <c r="AA101" s="58">
        <v>1350000</v>
      </c>
      <c r="AB101" s="58"/>
      <c r="AC101" s="58">
        <v>1359</v>
      </c>
      <c r="AD101" s="58">
        <v>1359</v>
      </c>
      <c r="AE101" s="58"/>
    </row>
    <row r="102" spans="25:36">
      <c r="Y102" s="58">
        <v>9092</v>
      </c>
      <c r="Z102" s="58">
        <v>3500000</v>
      </c>
      <c r="AA102" s="58">
        <v>3500000</v>
      </c>
      <c r="AB102" s="58"/>
      <c r="AC102" s="58">
        <v>3759</v>
      </c>
      <c r="AD102" s="58">
        <v>3759</v>
      </c>
      <c r="AE102" s="58"/>
    </row>
    <row r="103" spans="25:36">
      <c r="Y103" s="58">
        <v>9090</v>
      </c>
      <c r="Z103" s="58">
        <v>800000</v>
      </c>
      <c r="AA103" s="58">
        <v>800000</v>
      </c>
      <c r="AB103" s="58"/>
      <c r="AC103" s="58">
        <v>964</v>
      </c>
      <c r="AD103" s="58">
        <v>964</v>
      </c>
      <c r="AE103" s="58"/>
    </row>
    <row r="104" spans="25:36" ht="15.75">
      <c r="AD104" s="220">
        <f>SUM(AD47:AD103)</f>
        <v>97209</v>
      </c>
      <c r="AE104" s="221">
        <f>AD104/340.75</f>
        <v>285.27953044754219</v>
      </c>
    </row>
    <row r="105" spans="25:36">
      <c r="Y105" s="58">
        <v>8260</v>
      </c>
      <c r="Z105" s="58">
        <v>500000</v>
      </c>
      <c r="AA105" s="58">
        <v>500000</v>
      </c>
      <c r="AB105" s="58"/>
      <c r="AC105" s="58">
        <v>540</v>
      </c>
      <c r="AD105" s="58">
        <v>540</v>
      </c>
    </row>
    <row r="106" spans="25:36">
      <c r="Y106" s="58">
        <v>8263</v>
      </c>
      <c r="Z106" s="58">
        <v>3050000</v>
      </c>
      <c r="AA106" s="58">
        <v>50000</v>
      </c>
      <c r="AB106" s="58"/>
      <c r="AC106" s="58">
        <v>2835</v>
      </c>
      <c r="AD106" s="84">
        <v>2835</v>
      </c>
      <c r="AE106" s="222"/>
      <c r="AF106" s="222"/>
      <c r="AG106" s="222"/>
      <c r="AH106" s="222"/>
      <c r="AI106" s="222"/>
      <c r="AJ106" s="222"/>
    </row>
    <row r="107" spans="25:36">
      <c r="Y107" s="58">
        <v>8306</v>
      </c>
      <c r="Z107" s="58">
        <v>100000</v>
      </c>
      <c r="AA107" s="58"/>
      <c r="AB107" s="58"/>
      <c r="AC107" s="58"/>
      <c r="AD107" s="58"/>
      <c r="AE107"/>
    </row>
    <row r="108" spans="25:36">
      <c r="Y108" s="58">
        <v>8490</v>
      </c>
      <c r="Z108" s="58">
        <v>5400000</v>
      </c>
      <c r="AA108" s="58">
        <v>300000</v>
      </c>
      <c r="AB108" s="58"/>
      <c r="AC108" s="58">
        <v>4590</v>
      </c>
      <c r="AD108" s="84">
        <v>4590</v>
      </c>
      <c r="AE108" s="222"/>
      <c r="AF108" s="222"/>
      <c r="AG108" s="222"/>
      <c r="AH108" s="222"/>
      <c r="AI108" s="222"/>
      <c r="AJ108" s="222"/>
    </row>
    <row r="109" spans="25:36">
      <c r="Y109" s="58">
        <v>8508</v>
      </c>
      <c r="Z109" s="58">
        <v>400000</v>
      </c>
      <c r="AA109" s="58">
        <v>400000</v>
      </c>
      <c r="AB109" s="58"/>
      <c r="AC109" s="58">
        <v>540</v>
      </c>
      <c r="AD109" s="58">
        <v>540</v>
      </c>
    </row>
    <row r="110" spans="25:36">
      <c r="Y110" s="58">
        <v>8510</v>
      </c>
      <c r="Z110" s="58">
        <v>200000</v>
      </c>
      <c r="AA110" s="58">
        <v>200000</v>
      </c>
      <c r="AB110" s="58"/>
      <c r="AC110" s="58"/>
      <c r="AD110" s="58">
        <v>342</v>
      </c>
    </row>
    <row r="111" spans="25:36">
      <c r="Y111" s="58">
        <v>8540</v>
      </c>
      <c r="Z111" s="58">
        <v>350000</v>
      </c>
      <c r="AA111" s="58">
        <v>350000</v>
      </c>
      <c r="AB111" s="58"/>
      <c r="AC111" s="58"/>
      <c r="AD111" s="58">
        <v>425</v>
      </c>
    </row>
    <row r="112" spans="25:36">
      <c r="Y112" s="58">
        <v>8509</v>
      </c>
      <c r="Z112" s="58">
        <v>400000</v>
      </c>
      <c r="AA112" s="58">
        <v>50000</v>
      </c>
      <c r="AB112" s="58"/>
      <c r="AC112" s="58"/>
      <c r="AD112" s="84">
        <v>360</v>
      </c>
      <c r="AE112" s="222"/>
      <c r="AF112" s="222"/>
      <c r="AG112" s="222"/>
      <c r="AH112" s="222"/>
      <c r="AI112" s="222"/>
      <c r="AJ112" s="222"/>
    </row>
    <row r="113" spans="25:34">
      <c r="Y113" s="58">
        <v>8672</v>
      </c>
      <c r="Z113" s="58">
        <v>1000000</v>
      </c>
      <c r="AA113" s="58">
        <v>1000000</v>
      </c>
      <c r="AB113" s="58"/>
      <c r="AC113" s="58"/>
      <c r="AD113" s="58">
        <v>990</v>
      </c>
    </row>
    <row r="114" spans="25:34">
      <c r="Y114" s="58">
        <v>8380</v>
      </c>
      <c r="Z114" s="58"/>
      <c r="AA114" s="58"/>
      <c r="AB114" s="58"/>
      <c r="AC114" s="58"/>
      <c r="AD114" s="58"/>
      <c r="AE114" s="210" t="s">
        <v>272</v>
      </c>
    </row>
    <row r="115" spans="25:34">
      <c r="Y115" s="58">
        <v>8074</v>
      </c>
      <c r="Z115" s="58">
        <v>350000</v>
      </c>
      <c r="AA115" s="58">
        <v>350000</v>
      </c>
      <c r="AB115" s="58"/>
      <c r="AC115" s="58"/>
      <c r="AD115" s="58">
        <v>405</v>
      </c>
      <c r="AE115" s="223" t="s">
        <v>273</v>
      </c>
      <c r="AF115" s="222"/>
      <c r="AG115" s="222"/>
      <c r="AH115" s="222"/>
    </row>
    <row r="116" spans="25:34">
      <c r="Y116" s="58">
        <v>8207</v>
      </c>
      <c r="Z116" s="58">
        <v>1500000</v>
      </c>
      <c r="AA116" s="58">
        <v>1500000</v>
      </c>
      <c r="AB116" s="58"/>
      <c r="AC116" s="58"/>
      <c r="AD116" s="58">
        <v>1440</v>
      </c>
    </row>
    <row r="117" spans="25:34">
      <c r="Y117" s="58">
        <v>8230</v>
      </c>
      <c r="Z117" s="58">
        <v>400000</v>
      </c>
      <c r="AA117" s="58">
        <v>400000</v>
      </c>
      <c r="AB117" s="58"/>
      <c r="AC117" s="58"/>
      <c r="AD117" s="181"/>
    </row>
    <row r="118" spans="25:34">
      <c r="Y118" s="58">
        <v>8231</v>
      </c>
      <c r="Z118" s="58">
        <v>400000</v>
      </c>
      <c r="AA118" s="58">
        <v>400000</v>
      </c>
      <c r="AB118" s="58"/>
      <c r="AC118" s="58"/>
      <c r="AD118" s="181"/>
    </row>
    <row r="119" spans="25:34" ht="15.75">
      <c r="Y119" s="58"/>
      <c r="Z119" s="58"/>
      <c r="AA119" s="58"/>
      <c r="AB119" s="58"/>
      <c r="AC119" s="58"/>
      <c r="AD119" s="224">
        <f>SUM(AD104:AD118)</f>
        <v>109676</v>
      </c>
      <c r="AE119" t="s">
        <v>274</v>
      </c>
      <c r="AF119" t="s">
        <v>275</v>
      </c>
      <c r="AG119"/>
    </row>
    <row r="120" spans="25:34" ht="15.75">
      <c r="Y120" s="58"/>
      <c r="Z120" s="58"/>
      <c r="AA120" s="58"/>
      <c r="AB120" s="58"/>
      <c r="AC120" s="58"/>
      <c r="AD120" s="221">
        <f>AD119/340.75</f>
        <v>321.86647101980924</v>
      </c>
      <c r="AE120"/>
      <c r="AF120" s="58">
        <v>1200</v>
      </c>
      <c r="AG120"/>
    </row>
    <row r="121" spans="25:34">
      <c r="Y121" s="58">
        <v>7643</v>
      </c>
      <c r="Z121" s="58">
        <v>3000000</v>
      </c>
      <c r="AA121" s="58">
        <v>3000000</v>
      </c>
      <c r="AB121" s="58"/>
      <c r="AC121" s="58"/>
      <c r="AD121" s="58">
        <v>2781</v>
      </c>
      <c r="AE121" s="58"/>
      <c r="AF121" s="58">
        <v>10800</v>
      </c>
      <c r="AG121" s="58"/>
    </row>
    <row r="122" spans="25:34">
      <c r="Y122" s="58">
        <v>7809</v>
      </c>
      <c r="Z122" s="58">
        <v>1500000</v>
      </c>
      <c r="AA122" s="58">
        <v>50000</v>
      </c>
      <c r="AB122" s="58"/>
      <c r="AC122" s="58"/>
      <c r="AD122" s="58">
        <v>1431</v>
      </c>
      <c r="AE122" s="58"/>
      <c r="AF122" s="58">
        <v>1800</v>
      </c>
      <c r="AG122" s="58"/>
    </row>
    <row r="123" spans="25:34">
      <c r="Y123" s="58">
        <v>7810</v>
      </c>
      <c r="Z123" s="58">
        <v>2000000</v>
      </c>
      <c r="AA123" s="58">
        <v>50000</v>
      </c>
      <c r="AB123" s="58"/>
      <c r="AC123" s="58"/>
      <c r="AD123" s="58">
        <v>1881</v>
      </c>
      <c r="AE123" s="58"/>
      <c r="AF123" s="58">
        <v>1800</v>
      </c>
      <c r="AG123" s="58"/>
    </row>
    <row r="124" spans="25:34">
      <c r="Y124" s="58">
        <v>7811</v>
      </c>
      <c r="Z124" s="58">
        <v>300000</v>
      </c>
      <c r="AA124" s="58">
        <v>50000</v>
      </c>
      <c r="AB124" s="58"/>
      <c r="AC124" s="58"/>
      <c r="AD124" s="58">
        <v>351</v>
      </c>
      <c r="AE124" s="58"/>
      <c r="AF124" s="58">
        <v>1800</v>
      </c>
      <c r="AG124" s="58"/>
    </row>
    <row r="125" spans="25:34">
      <c r="Y125" s="58">
        <v>7813</v>
      </c>
      <c r="Z125" s="58">
        <v>300000</v>
      </c>
      <c r="AA125" s="58">
        <v>50000</v>
      </c>
      <c r="AB125" s="58"/>
      <c r="AC125" s="58"/>
      <c r="AD125" s="58">
        <v>351</v>
      </c>
      <c r="AE125" s="58"/>
      <c r="AF125" s="58">
        <v>1800</v>
      </c>
      <c r="AG125" s="58"/>
    </row>
    <row r="126" spans="25:34">
      <c r="Y126" s="58">
        <v>7037</v>
      </c>
      <c r="Z126" s="58">
        <v>1500000</v>
      </c>
      <c r="AA126" s="58">
        <v>1500000</v>
      </c>
      <c r="AB126" s="58"/>
      <c r="AC126" s="58"/>
      <c r="AD126" s="58">
        <v>1431</v>
      </c>
      <c r="AE126" s="58">
        <v>45000</v>
      </c>
      <c r="AF126" s="58">
        <v>9000</v>
      </c>
      <c r="AG126" s="58"/>
    </row>
    <row r="127" spans="25:34">
      <c r="Y127" s="58">
        <v>7169</v>
      </c>
      <c r="Z127" s="58">
        <v>210000</v>
      </c>
      <c r="AA127" s="58">
        <v>210000</v>
      </c>
      <c r="AB127" s="58"/>
      <c r="AC127" s="58"/>
      <c r="AD127" s="58">
        <v>270</v>
      </c>
      <c r="AE127" s="58"/>
      <c r="AF127" s="58"/>
      <c r="AG127" s="58"/>
    </row>
    <row r="128" spans="25:34">
      <c r="Y128" s="58">
        <v>7332</v>
      </c>
      <c r="Z128" s="58">
        <v>1600000</v>
      </c>
      <c r="AA128" s="58">
        <v>100000</v>
      </c>
      <c r="AB128" s="58"/>
      <c r="AC128" s="58"/>
      <c r="AD128" s="58">
        <v>1521</v>
      </c>
      <c r="AE128" s="58"/>
      <c r="AF128" s="58">
        <v>3600</v>
      </c>
      <c r="AG128" s="58"/>
    </row>
    <row r="129" spans="25:33">
      <c r="Y129" s="58">
        <v>6574</v>
      </c>
      <c r="Z129" s="58">
        <v>6000000</v>
      </c>
      <c r="AA129" s="58">
        <v>6000000</v>
      </c>
      <c r="AB129" s="58"/>
      <c r="AC129" s="58"/>
      <c r="AD129" s="58">
        <v>5481</v>
      </c>
      <c r="AE129" s="58">
        <v>30600</v>
      </c>
      <c r="AF129" s="58"/>
      <c r="AG129" s="58"/>
    </row>
    <row r="130" spans="25:33">
      <c r="Y130" s="58">
        <v>5734</v>
      </c>
      <c r="Z130" s="58">
        <v>3500000</v>
      </c>
      <c r="AA130" s="58">
        <v>1750000</v>
      </c>
      <c r="AB130" s="58"/>
      <c r="AC130" s="58"/>
      <c r="AD130" s="58">
        <v>2872</v>
      </c>
      <c r="AE130" s="58">
        <v>52500</v>
      </c>
      <c r="AF130" s="58">
        <v>10500</v>
      </c>
      <c r="AG130" s="58"/>
    </row>
    <row r="131" spans="25:33">
      <c r="Y131" s="58">
        <v>5735</v>
      </c>
      <c r="Z131" s="58">
        <v>100000</v>
      </c>
      <c r="AA131" s="58">
        <v>100000</v>
      </c>
      <c r="AB131" s="58"/>
      <c r="AC131" s="58"/>
      <c r="AD131" s="58">
        <v>152</v>
      </c>
      <c r="AE131" s="58">
        <v>3000</v>
      </c>
      <c r="AF131" s="58">
        <v>600</v>
      </c>
      <c r="AG131" s="58"/>
    </row>
    <row r="132" spans="25:33">
      <c r="Y132" s="58">
        <v>5736</v>
      </c>
      <c r="Z132" s="58">
        <v>800000</v>
      </c>
      <c r="AA132" s="187"/>
      <c r="AB132" s="58"/>
      <c r="AC132" s="58"/>
      <c r="AD132" s="58">
        <v>728</v>
      </c>
      <c r="AE132" s="58">
        <v>12000</v>
      </c>
      <c r="AF132" s="58">
        <v>4000</v>
      </c>
      <c r="AG132" s="58"/>
    </row>
    <row r="133" spans="25:33">
      <c r="Y133" s="58">
        <v>4852</v>
      </c>
      <c r="Z133" s="58">
        <v>200000</v>
      </c>
      <c r="AA133" s="58">
        <v>200000</v>
      </c>
      <c r="AB133" s="58"/>
      <c r="AC133" s="58"/>
      <c r="AD133" s="58">
        <v>200</v>
      </c>
      <c r="AE133" s="58">
        <v>5000</v>
      </c>
      <c r="AF133" s="58">
        <v>1200</v>
      </c>
      <c r="AG133" s="58"/>
    </row>
    <row r="134" spans="25:33" ht="15.75">
      <c r="Y134" s="58"/>
      <c r="Z134" s="58"/>
      <c r="AA134" s="58"/>
      <c r="AB134" s="58"/>
      <c r="AC134" s="58"/>
      <c r="AD134" s="224">
        <f>SUM(AD119:AD133)</f>
        <v>129447.86647101981</v>
      </c>
      <c r="AE134" s="224">
        <f>SUM(AE119:AE133)</f>
        <v>148100</v>
      </c>
      <c r="AF134" s="224">
        <f>SUM(AF119:AF133)+1200</f>
        <v>49300</v>
      </c>
      <c r="AG134" s="224"/>
    </row>
    <row r="135" spans="25:33" ht="15.75">
      <c r="Y135" s="58"/>
      <c r="Z135" s="58"/>
      <c r="AA135" s="58"/>
      <c r="AB135" s="58"/>
      <c r="AC135" s="58"/>
      <c r="AD135" s="221">
        <f>AD134/340.75</f>
        <v>379.89102412625033</v>
      </c>
      <c r="AE135" s="221">
        <f t="shared" ref="AE135:AF135" si="3">AE134/340.75</f>
        <v>434.62949376375644</v>
      </c>
      <c r="AF135" s="221">
        <f t="shared" si="3"/>
        <v>144.68085106382978</v>
      </c>
      <c r="AG135" s="58"/>
    </row>
    <row r="136" spans="25:33">
      <c r="Y136" s="58"/>
      <c r="Z136" s="58"/>
      <c r="AA136" s="58"/>
      <c r="AB136" s="58"/>
      <c r="AC136" s="58"/>
      <c r="AD136" s="58"/>
      <c r="AF136" s="58"/>
      <c r="AG136" s="58"/>
    </row>
    <row r="137" spans="25:33">
      <c r="Y137" s="58"/>
      <c r="Z137" s="58"/>
      <c r="AA137" s="58"/>
      <c r="AB137" s="58"/>
      <c r="AC137" s="58"/>
      <c r="AD137" s="58"/>
      <c r="AF137" s="58"/>
      <c r="AG137" s="58"/>
    </row>
    <row r="138" spans="25:33">
      <c r="Y138" s="58"/>
      <c r="Z138" s="58"/>
      <c r="AA138" s="58"/>
      <c r="AB138" s="58"/>
      <c r="AC138" s="58"/>
      <c r="AD138" s="58"/>
      <c r="AF138" s="58"/>
      <c r="AG138" s="58"/>
    </row>
    <row r="139" spans="25:33">
      <c r="Y139" s="58"/>
      <c r="Z139" s="58"/>
      <c r="AA139" s="58"/>
      <c r="AB139" s="58"/>
      <c r="AC139" s="58"/>
      <c r="AD139" s="58"/>
      <c r="AF139" s="58"/>
      <c r="AG139" s="58"/>
    </row>
    <row r="140" spans="25:33">
      <c r="Y140" s="58"/>
      <c r="Z140" s="58"/>
      <c r="AA140" s="58"/>
      <c r="AB140" s="58"/>
      <c r="AC140" s="58"/>
      <c r="AD140" s="58"/>
      <c r="AF140" s="58"/>
      <c r="AG140" s="58"/>
    </row>
    <row r="141" spans="25:33">
      <c r="Y141" s="58"/>
      <c r="Z141" s="58"/>
      <c r="AA141" s="58"/>
      <c r="AB141" s="58"/>
      <c r="AC141" s="58"/>
      <c r="AD141" s="58"/>
      <c r="AF141" s="58"/>
      <c r="AG141" s="58"/>
    </row>
    <row r="142" spans="25:33">
      <c r="Y142" s="58"/>
      <c r="Z142" s="58"/>
      <c r="AA142" s="58"/>
      <c r="AB142" s="58"/>
      <c r="AC142" s="58"/>
      <c r="AD142" s="58"/>
      <c r="AF142" s="58"/>
      <c r="AG142" s="58"/>
    </row>
    <row r="143" spans="25:33">
      <c r="Y143" s="58"/>
      <c r="Z143" s="58"/>
      <c r="AA143" s="58"/>
      <c r="AB143" s="58"/>
      <c r="AC143" s="58"/>
      <c r="AD143" s="58"/>
      <c r="AF143" s="58"/>
      <c r="AG143" s="58"/>
    </row>
    <row r="144" spans="25:33">
      <c r="Y144" s="58"/>
      <c r="Z144" s="58"/>
      <c r="AA144" s="58"/>
      <c r="AB144" s="58"/>
      <c r="AC144" s="58"/>
      <c r="AD144" s="58"/>
      <c r="AF144" s="58"/>
      <c r="AG144" s="58"/>
    </row>
    <row r="145" spans="25:30">
      <c r="Y145" s="58"/>
      <c r="Z145" s="58"/>
      <c r="AA145" s="58"/>
      <c r="AB145" s="58"/>
      <c r="AC145" s="58"/>
      <c r="AD145" s="58"/>
    </row>
    <row r="146" spans="25:30">
      <c r="Y146" s="58"/>
      <c r="Z146" s="58"/>
      <c r="AA146" s="58"/>
      <c r="AB146" s="58"/>
      <c r="AC146" s="58"/>
      <c r="AD146" s="58"/>
    </row>
    <row r="147" spans="25:30">
      <c r="Y147" s="58"/>
      <c r="Z147" s="58"/>
      <c r="AA147" s="58"/>
      <c r="AB147" s="58"/>
      <c r="AC147" s="58"/>
      <c r="AD147" s="58"/>
    </row>
    <row r="148" spans="25:30">
      <c r="Y148" s="58"/>
      <c r="Z148" s="58"/>
      <c r="AA148" s="58"/>
      <c r="AB148" s="58"/>
      <c r="AC148" s="58"/>
      <c r="AD148" s="58"/>
    </row>
    <row r="149" spans="25:30">
      <c r="Y149" s="58"/>
      <c r="Z149" s="58"/>
      <c r="AA149" s="58"/>
      <c r="AB149" s="58"/>
      <c r="AC149" s="58"/>
      <c r="AD149" s="58"/>
    </row>
    <row r="150" spans="25:30">
      <c r="Y150" s="58"/>
      <c r="Z150" s="58"/>
      <c r="AA150" s="58"/>
      <c r="AB150" s="58"/>
      <c r="AC150" s="58"/>
      <c r="AD150" s="58"/>
    </row>
    <row r="151" spans="25:30">
      <c r="Y151" s="58"/>
      <c r="Z151" s="58"/>
      <c r="AA151" s="58"/>
      <c r="AB151" s="58"/>
      <c r="AC151" s="58"/>
      <c r="AD151" s="58"/>
    </row>
    <row r="152" spans="25:30">
      <c r="Y152" s="58"/>
      <c r="Z152" s="58"/>
      <c r="AA152" s="58"/>
      <c r="AB152" s="58"/>
      <c r="AC152" s="58"/>
      <c r="AD152" s="58"/>
    </row>
    <row r="153" spans="25:30">
      <c r="Y153" s="58"/>
      <c r="Z153" s="58"/>
      <c r="AA153" s="58"/>
      <c r="AB153" s="58"/>
      <c r="AC153" s="58"/>
      <c r="AD153" s="58"/>
    </row>
    <row r="154" spans="25:30">
      <c r="Y154" s="58"/>
      <c r="Z154" s="58"/>
      <c r="AA154" s="58"/>
      <c r="AB154" s="58"/>
      <c r="AC154" s="58"/>
      <c r="AD154" s="58"/>
    </row>
    <row r="155" spans="25:30">
      <c r="Y155" s="58"/>
      <c r="Z155" s="58"/>
      <c r="AA155" s="58"/>
      <c r="AB155" s="58"/>
      <c r="AC155" s="58"/>
      <c r="AD155" s="58"/>
    </row>
    <row r="156" spans="25:30">
      <c r="Y156" s="58"/>
      <c r="Z156" s="58"/>
      <c r="AA156" s="58"/>
      <c r="AB156" s="58"/>
      <c r="AC156" s="58"/>
      <c r="AD156" s="58"/>
    </row>
    <row r="157" spans="25:30">
      <c r="Y157" s="58"/>
      <c r="Z157" s="58"/>
      <c r="AA157" s="58"/>
      <c r="AB157" s="58"/>
      <c r="AC157" s="58"/>
      <c r="AD157" s="58"/>
    </row>
    <row r="158" spans="25:30">
      <c r="Y158" s="58"/>
      <c r="Z158" s="58"/>
      <c r="AA158" s="58"/>
      <c r="AB158" s="58"/>
      <c r="AC158" s="58"/>
      <c r="AD158" s="58"/>
    </row>
    <row r="159" spans="25:30">
      <c r="Y159" s="58"/>
      <c r="Z159" s="58"/>
      <c r="AA159" s="58"/>
      <c r="AB159" s="58"/>
      <c r="AC159" s="58"/>
      <c r="AD159" s="58"/>
    </row>
    <row r="160" spans="25:30">
      <c r="Y160" s="58"/>
      <c r="Z160" s="58"/>
      <c r="AA160" s="58"/>
      <c r="AB160" s="58"/>
      <c r="AC160" s="58"/>
      <c r="AD160" s="58"/>
    </row>
  </sheetData>
  <mergeCells count="25">
    <mergeCell ref="A20:M20"/>
    <mergeCell ref="AM1:AN1"/>
    <mergeCell ref="AO1:AP1"/>
    <mergeCell ref="AQ1:AR1"/>
    <mergeCell ref="U1:V1"/>
    <mergeCell ref="W1:X1"/>
    <mergeCell ref="Y1:Z1"/>
    <mergeCell ref="AA1:AB1"/>
    <mergeCell ref="AC1:AD1"/>
    <mergeCell ref="AE1:AF1"/>
    <mergeCell ref="BE1:BF1"/>
    <mergeCell ref="BG1:BH1"/>
    <mergeCell ref="K23:Q23"/>
    <mergeCell ref="R37:R38"/>
    <mergeCell ref="U37:U38"/>
    <mergeCell ref="V37:V38"/>
    <mergeCell ref="AS1:AT1"/>
    <mergeCell ref="AU1:AV1"/>
    <mergeCell ref="AW1:AX1"/>
    <mergeCell ref="AY1:AZ1"/>
    <mergeCell ref="BA1:BB1"/>
    <mergeCell ref="BC1:BD1"/>
    <mergeCell ref="AG1:AH1"/>
    <mergeCell ref="AI1:AJ1"/>
    <mergeCell ref="AK1:AL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pane ySplit="1" topLeftCell="A2" activePane="bottomLeft" state="frozen"/>
      <selection pane="bottomLeft" activeCell="O2" sqref="O2"/>
    </sheetView>
  </sheetViews>
  <sheetFormatPr defaultRowHeight="15"/>
  <cols>
    <col min="1" max="1" width="5" style="21" bestFit="1" customWidth="1"/>
    <col min="2" max="7" width="8" style="21" bestFit="1" customWidth="1"/>
    <col min="8" max="9" width="7.109375" style="21" bestFit="1" customWidth="1"/>
    <col min="10" max="12" width="8" style="21" bestFit="1" customWidth="1"/>
    <col min="13" max="13" width="7.109375" style="21" bestFit="1" customWidth="1"/>
    <col min="14" max="14" width="11.44140625" style="21" customWidth="1"/>
    <col min="15" max="15" width="9" style="21" bestFit="1" customWidth="1"/>
    <col min="16" max="16" width="14.109375" style="21" bestFit="1" customWidth="1"/>
    <col min="17" max="17" width="8.6640625" style="21" bestFit="1" customWidth="1"/>
    <col min="18" max="16384" width="8.88671875" style="21"/>
  </cols>
  <sheetData>
    <row r="1" spans="1:17">
      <c r="A1" s="171"/>
      <c r="B1" s="71" t="s">
        <v>18</v>
      </c>
      <c r="C1" s="72" t="s">
        <v>19</v>
      </c>
      <c r="D1" s="71" t="s">
        <v>20</v>
      </c>
      <c r="E1" s="73" t="s">
        <v>21</v>
      </c>
      <c r="F1" s="71" t="s">
        <v>2</v>
      </c>
      <c r="G1" s="72" t="s">
        <v>22</v>
      </c>
      <c r="H1" s="71" t="s">
        <v>23</v>
      </c>
      <c r="I1" s="73" t="s">
        <v>24</v>
      </c>
      <c r="J1" s="71" t="s">
        <v>25</v>
      </c>
      <c r="K1" s="72" t="s">
        <v>26</v>
      </c>
      <c r="L1" s="71" t="s">
        <v>27</v>
      </c>
      <c r="M1" s="73" t="s">
        <v>28</v>
      </c>
      <c r="N1" s="74" t="s">
        <v>16</v>
      </c>
      <c r="O1" s="176" t="s">
        <v>54</v>
      </c>
      <c r="P1" s="177" t="s">
        <v>210</v>
      </c>
      <c r="Q1" s="176" t="s">
        <v>54</v>
      </c>
    </row>
    <row r="2" spans="1:17">
      <c r="A2" s="23">
        <v>1998</v>
      </c>
      <c r="B2" s="67"/>
      <c r="C2" s="67"/>
      <c r="D2" s="67"/>
      <c r="E2" s="67"/>
      <c r="F2" s="67"/>
      <c r="G2" s="67"/>
      <c r="H2" s="67"/>
      <c r="I2" s="25">
        <f>'281φ1'!I2*6/9</f>
        <v>0</v>
      </c>
      <c r="J2" s="25">
        <f>'281φ1'!J2*6/9</f>
        <v>0</v>
      </c>
      <c r="K2" s="25">
        <f>'281φ1'!K2*6/9</f>
        <v>11.706666666666665</v>
      </c>
      <c r="L2" s="25">
        <f>'281φ1'!L2*6/9</f>
        <v>0</v>
      </c>
      <c r="M2" s="25">
        <f>'281φ1'!M2*6/9</f>
        <v>0</v>
      </c>
      <c r="N2" s="25">
        <f>'281φ1'!N2*6/9</f>
        <v>11.706666666666665</v>
      </c>
      <c r="O2" s="33">
        <f>'281φ1'!O2*6/9</f>
        <v>342.66666666666669</v>
      </c>
      <c r="P2" s="25">
        <f>'281φ1'!P2*6/9</f>
        <v>3.5119999999999996</v>
      </c>
      <c r="Q2" s="33">
        <f>'281φ1'!Q2*6/9</f>
        <v>102.8</v>
      </c>
    </row>
    <row r="3" spans="1:17">
      <c r="A3" s="26">
        <v>1999</v>
      </c>
      <c r="B3" s="25">
        <f>'281φ1'!B3*6/9</f>
        <v>0</v>
      </c>
      <c r="C3" s="25">
        <f>'281φ1'!C3*6/9</f>
        <v>0</v>
      </c>
      <c r="D3" s="25">
        <f>'281φ1'!D3*6/9</f>
        <v>0</v>
      </c>
      <c r="E3" s="25">
        <f>'281φ1'!E3*6/9</f>
        <v>0</v>
      </c>
      <c r="F3" s="25">
        <f>'281φ1'!F3*6/9</f>
        <v>0</v>
      </c>
      <c r="G3" s="25">
        <f>'281φ1'!G3*6/9</f>
        <v>2.4133333333333331</v>
      </c>
      <c r="H3" s="25">
        <f>'281φ1'!H3*6/9</f>
        <v>0</v>
      </c>
      <c r="I3" s="25">
        <f>'281φ1'!I3*6/9</f>
        <v>3.6799999999999997</v>
      </c>
      <c r="J3" s="25">
        <f>'281φ1'!J3*6/9</f>
        <v>0</v>
      </c>
      <c r="K3" s="25">
        <f>'281φ1'!K3*6/9</f>
        <v>0</v>
      </c>
      <c r="L3" s="25">
        <f>'281φ1'!L3*6/9</f>
        <v>0</v>
      </c>
      <c r="M3" s="25">
        <f>'281φ1'!M3*6/9</f>
        <v>0</v>
      </c>
      <c r="N3" s="25">
        <f>'281φ1'!N3*6/9</f>
        <v>6.0933333333333337</v>
      </c>
      <c r="O3" s="33">
        <f>'281φ1'!O3*6/9</f>
        <v>151.33333333333334</v>
      </c>
      <c r="P3" s="25">
        <f>'281φ1'!P3*6/9</f>
        <v>2.4373333333333336</v>
      </c>
      <c r="Q3" s="25">
        <f>'281φ1'!Q3*6/9</f>
        <v>60.533333333333339</v>
      </c>
    </row>
    <row r="4" spans="1:17">
      <c r="A4" s="26">
        <v>2000</v>
      </c>
      <c r="B4" s="25">
        <f>'281φ1'!B4*6/9</f>
        <v>0</v>
      </c>
      <c r="C4" s="25">
        <f>'281φ1'!C4*6/9</f>
        <v>0</v>
      </c>
      <c r="D4" s="25">
        <f>'281φ1'!D4*6/9</f>
        <v>0</v>
      </c>
      <c r="E4" s="25">
        <f>'281φ1'!E4*6/9</f>
        <v>0</v>
      </c>
      <c r="F4" s="25">
        <f>'281φ1'!F4*6/9</f>
        <v>0</v>
      </c>
      <c r="G4" s="25">
        <f>'281φ1'!G4*6/9</f>
        <v>0</v>
      </c>
      <c r="H4" s="25">
        <f>'281φ1'!H4*6/9</f>
        <v>0</v>
      </c>
      <c r="I4" s="25">
        <f>'281φ1'!I4*6/9</f>
        <v>0</v>
      </c>
      <c r="J4" s="25">
        <f>'281φ1'!J4*6/9</f>
        <v>0</v>
      </c>
      <c r="K4" s="25">
        <f>'281φ1'!K4*6/9</f>
        <v>0</v>
      </c>
      <c r="L4" s="25">
        <f>'281φ1'!L4*6/9</f>
        <v>0</v>
      </c>
      <c r="M4" s="25">
        <f>'281φ1'!M4*6/9</f>
        <v>0</v>
      </c>
      <c r="N4" s="25">
        <f>'281φ1'!N4*6/9</f>
        <v>0</v>
      </c>
      <c r="O4" s="33">
        <f>'281φ1'!O4*6/9</f>
        <v>0</v>
      </c>
      <c r="P4" s="25">
        <f>'281φ1'!P4*6/9</f>
        <v>0</v>
      </c>
      <c r="Q4" s="25">
        <f>'281φ1'!Q4*6/9</f>
        <v>0</v>
      </c>
    </row>
    <row r="5" spans="1:17">
      <c r="A5" s="26">
        <v>2001</v>
      </c>
      <c r="B5" s="25">
        <f>'281φ1'!B5*6/9</f>
        <v>0</v>
      </c>
      <c r="C5" s="25">
        <f>'281φ1'!C5*6/9</f>
        <v>0</v>
      </c>
      <c r="D5" s="25">
        <f>'281φ1'!D5*6/9</f>
        <v>0</v>
      </c>
      <c r="E5" s="25">
        <f>'281φ1'!E5*6/9</f>
        <v>0</v>
      </c>
      <c r="F5" s="25">
        <f>'281φ1'!F5*6/9</f>
        <v>0</v>
      </c>
      <c r="G5" s="25">
        <f>'281φ1'!G5*6/9</f>
        <v>0</v>
      </c>
      <c r="H5" s="25">
        <f>'281φ1'!H5*6/9</f>
        <v>0</v>
      </c>
      <c r="I5" s="25">
        <f>'281φ1'!I5*6/9</f>
        <v>0</v>
      </c>
      <c r="J5" s="25">
        <f>'281φ1'!J5*6/9</f>
        <v>0</v>
      </c>
      <c r="K5" s="25">
        <f>'281φ1'!K5*6/9</f>
        <v>0</v>
      </c>
      <c r="L5" s="25">
        <f>'281φ1'!L5*6/9</f>
        <v>0</v>
      </c>
      <c r="M5" s="25">
        <f>'281φ1'!M5*6/9</f>
        <v>4.3133333333333335</v>
      </c>
      <c r="N5" s="25">
        <f>'281φ1'!N5*6/9</f>
        <v>4.3133333333333335</v>
      </c>
      <c r="O5" s="33">
        <f>'281φ1'!O5*6/9</f>
        <v>74.666666666666671</v>
      </c>
      <c r="P5" s="25">
        <f>'281φ1'!P5*6/9</f>
        <v>1.7253333333333334</v>
      </c>
      <c r="Q5" s="25">
        <f>'281φ1'!Q5*6/9</f>
        <v>29.866666666666667</v>
      </c>
    </row>
    <row r="6" spans="1:17">
      <c r="A6" s="26">
        <v>2002</v>
      </c>
      <c r="B6" s="25">
        <f>'281φ1'!B6*6/9</f>
        <v>0</v>
      </c>
      <c r="C6" s="25">
        <f>'281φ1'!C6*6/9</f>
        <v>0</v>
      </c>
      <c r="D6" s="25">
        <f>'281φ1'!D6*6/9</f>
        <v>0</v>
      </c>
      <c r="E6" s="25">
        <f>'281φ1'!E6*6/9</f>
        <v>0</v>
      </c>
      <c r="F6" s="25">
        <f>'281φ1'!F6*6/9</f>
        <v>0</v>
      </c>
      <c r="G6" s="25">
        <f>'281φ1'!G6*6/9</f>
        <v>0</v>
      </c>
      <c r="H6" s="25">
        <f>'281φ1'!H6*6/9</f>
        <v>0</v>
      </c>
      <c r="I6" s="25">
        <f>'281φ1'!I6*6/9</f>
        <v>0</v>
      </c>
      <c r="J6" s="25">
        <f>'281φ1'!J6*6/9</f>
        <v>1.3866666666666667</v>
      </c>
      <c r="K6" s="25">
        <f>'281φ1'!K6*6/9</f>
        <v>0</v>
      </c>
      <c r="L6" s="25">
        <f>'281φ1'!L6*6/9</f>
        <v>0</v>
      </c>
      <c r="M6" s="25">
        <f>'281φ1'!M6*6/9</f>
        <v>0</v>
      </c>
      <c r="N6" s="25">
        <f>'281φ1'!N6*6/9</f>
        <v>1.3866666666666667</v>
      </c>
      <c r="O6" s="33">
        <f>'281φ1'!O6*6/9</f>
        <v>22</v>
      </c>
      <c r="P6" s="25">
        <f>'281φ1'!P6*6/9</f>
        <v>0.55466666666666675</v>
      </c>
      <c r="Q6" s="25">
        <f>'281φ1'!Q6*6/9</f>
        <v>8.8000000000000007</v>
      </c>
    </row>
    <row r="7" spans="1:17">
      <c r="A7" s="26">
        <v>2003</v>
      </c>
      <c r="B7" s="25">
        <f>'281φ1'!B7*6/9</f>
        <v>0</v>
      </c>
      <c r="C7" s="25">
        <f>'281φ1'!C7*6/9</f>
        <v>0</v>
      </c>
      <c r="D7" s="25">
        <f>'281φ1'!D7*6/9</f>
        <v>0</v>
      </c>
      <c r="E7" s="25">
        <f>'281φ1'!E7*6/9</f>
        <v>0</v>
      </c>
      <c r="F7" s="25">
        <f>'281φ1'!F7*6/9</f>
        <v>0</v>
      </c>
      <c r="G7" s="25">
        <f>'281φ1'!G7*6/9</f>
        <v>0</v>
      </c>
      <c r="H7" s="25">
        <f>'281φ1'!H7*6/9</f>
        <v>0</v>
      </c>
      <c r="I7" s="25">
        <f>'281φ1'!I7*6/9</f>
        <v>0</v>
      </c>
      <c r="J7" s="25">
        <f>'281φ1'!J7*6/9</f>
        <v>0</v>
      </c>
      <c r="K7" s="25">
        <f>'281φ1'!K7*6/9</f>
        <v>0</v>
      </c>
      <c r="L7" s="25">
        <f>'281φ1'!L7*6/9</f>
        <v>0</v>
      </c>
      <c r="M7" s="25">
        <f>'281φ1'!M7*6/9</f>
        <v>0</v>
      </c>
      <c r="N7" s="25">
        <f>'281φ1'!N7*6/9</f>
        <v>0</v>
      </c>
      <c r="O7" s="33">
        <f>'281φ1'!O7*6/9</f>
        <v>0</v>
      </c>
      <c r="P7" s="25">
        <f>'281φ1'!P7*6/9</f>
        <v>0</v>
      </c>
      <c r="Q7" s="25">
        <f>'281φ1'!Q7*6/9</f>
        <v>0</v>
      </c>
    </row>
    <row r="8" spans="1:17">
      <c r="A8" s="26">
        <v>2004</v>
      </c>
      <c r="B8" s="25">
        <f>'281φ1'!B8*6/9</f>
        <v>0</v>
      </c>
      <c r="C8" s="25">
        <f>'281φ1'!C8*6/9</f>
        <v>0</v>
      </c>
      <c r="D8" s="25">
        <f>'281φ1'!D8*6/9</f>
        <v>0</v>
      </c>
      <c r="E8" s="25">
        <f>'281φ1'!E8*6/9</f>
        <v>0</v>
      </c>
      <c r="F8" s="25">
        <f>'281φ1'!F8*6/9</f>
        <v>0</v>
      </c>
      <c r="G8" s="25">
        <f>'281φ1'!G8*6/9</f>
        <v>0</v>
      </c>
      <c r="H8" s="25">
        <f>'281φ1'!H8*6/9</f>
        <v>0</v>
      </c>
      <c r="I8" s="25">
        <f>'281φ1'!I8*6/9</f>
        <v>0</v>
      </c>
      <c r="J8" s="25">
        <f>'281φ1'!J8*6/9</f>
        <v>0</v>
      </c>
      <c r="K8" s="25">
        <f>'281φ1'!K8*6/9</f>
        <v>0</v>
      </c>
      <c r="L8" s="25">
        <f>'281φ1'!L8*6/9</f>
        <v>0</v>
      </c>
      <c r="M8" s="25">
        <f>'281φ1'!M8*6/9</f>
        <v>0</v>
      </c>
      <c r="N8" s="25">
        <f>'281φ1'!N8*6/9</f>
        <v>0</v>
      </c>
      <c r="O8" s="33">
        <f>'281φ1'!O8*6/9</f>
        <v>0</v>
      </c>
      <c r="P8" s="25">
        <f>'281φ1'!P8*6/9</f>
        <v>0</v>
      </c>
      <c r="Q8" s="25">
        <f>'281φ1'!Q8*6/9</f>
        <v>0</v>
      </c>
    </row>
    <row r="9" spans="1:17">
      <c r="A9" s="26">
        <v>2005</v>
      </c>
      <c r="B9" s="25">
        <f>'281φ1'!B9*6/9</f>
        <v>0</v>
      </c>
      <c r="C9" s="25">
        <f>'281φ1'!C9*6/9</f>
        <v>0</v>
      </c>
      <c r="D9" s="25">
        <f>'281φ1'!D9*6/9</f>
        <v>0</v>
      </c>
      <c r="E9" s="25">
        <f>'281φ1'!E9*6/9</f>
        <v>0</v>
      </c>
      <c r="F9" s="25">
        <f>'281φ1'!F9*6/9</f>
        <v>0</v>
      </c>
      <c r="G9" s="25">
        <f>'281φ1'!G9*6/9</f>
        <v>0</v>
      </c>
      <c r="H9" s="25">
        <f>'281φ1'!H9*6/9</f>
        <v>0</v>
      </c>
      <c r="I9" s="25">
        <f>'281φ1'!I9*6/9</f>
        <v>0</v>
      </c>
      <c r="J9" s="25">
        <f>'281φ1'!J9*6/9</f>
        <v>0</v>
      </c>
      <c r="K9" s="25">
        <f>'281φ1'!K9*6/9</f>
        <v>0</v>
      </c>
      <c r="L9" s="25">
        <f>'281φ1'!L9*6/9</f>
        <v>0</v>
      </c>
      <c r="M9" s="25">
        <f>'281φ1'!M9*6/9</f>
        <v>0</v>
      </c>
      <c r="N9" s="25">
        <f>'281φ1'!N9*6/9</f>
        <v>0</v>
      </c>
      <c r="O9" s="33">
        <f>'281φ1'!O9*6/9</f>
        <v>0</v>
      </c>
      <c r="P9" s="25">
        <f>'281φ1'!P9*6/9</f>
        <v>0</v>
      </c>
      <c r="Q9" s="25">
        <f>'281φ1'!Q9*6/9</f>
        <v>0</v>
      </c>
    </row>
    <row r="10" spans="1:17">
      <c r="A10" s="26">
        <v>2006</v>
      </c>
      <c r="B10" s="25">
        <f>'281φ1'!B10*6/9</f>
        <v>0</v>
      </c>
      <c r="C10" s="25">
        <f>'281φ1'!C10*6/9</f>
        <v>0</v>
      </c>
      <c r="D10" s="25">
        <f>'281φ1'!D10*6/9</f>
        <v>0</v>
      </c>
      <c r="E10" s="25">
        <f>'281φ1'!E10*6/9</f>
        <v>0</v>
      </c>
      <c r="F10" s="25">
        <f>'281φ1'!F10*6/9</f>
        <v>0</v>
      </c>
      <c r="G10" s="25">
        <f>'281φ1'!G10*6/9</f>
        <v>0</v>
      </c>
      <c r="H10" s="25">
        <f>'281φ1'!H10*6/9</f>
        <v>0</v>
      </c>
      <c r="I10" s="25">
        <f>'281φ1'!I10*6/9</f>
        <v>0</v>
      </c>
      <c r="J10" s="25">
        <f>'281φ1'!J10*6/9</f>
        <v>0</v>
      </c>
      <c r="K10" s="25">
        <f>'281φ1'!K10*6/9</f>
        <v>0</v>
      </c>
      <c r="L10" s="25">
        <f>'281φ1'!L10*6/9</f>
        <v>0</v>
      </c>
      <c r="M10" s="25">
        <f>'281φ1'!M10*6/9</f>
        <v>0</v>
      </c>
      <c r="N10" s="25">
        <f>'281φ1'!N10*6/9</f>
        <v>0</v>
      </c>
      <c r="O10" s="33">
        <f>'281φ1'!O10*6/9</f>
        <v>0</v>
      </c>
      <c r="P10" s="25">
        <f>'281φ1'!P10*6/9</f>
        <v>0</v>
      </c>
      <c r="Q10" s="25">
        <f>'281φ1'!Q10*6/9</f>
        <v>0</v>
      </c>
    </row>
    <row r="11" spans="1:17">
      <c r="A11" s="26">
        <v>2007</v>
      </c>
      <c r="B11" s="25">
        <f>'281φ1'!B11*6/9</f>
        <v>0</v>
      </c>
      <c r="C11" s="25">
        <f>'281φ1'!C11*6/9</f>
        <v>0</v>
      </c>
      <c r="D11" s="25">
        <f>'281φ1'!D11*6/9</f>
        <v>0</v>
      </c>
      <c r="E11" s="25">
        <f>'281φ1'!E11*6/9</f>
        <v>0</v>
      </c>
      <c r="F11" s="25">
        <f>'281φ1'!F11*6/9</f>
        <v>0</v>
      </c>
      <c r="G11" s="25">
        <f>'281φ1'!G11*6/9</f>
        <v>0</v>
      </c>
      <c r="H11" s="25">
        <f>'281φ1'!H11*6/9</f>
        <v>0</v>
      </c>
      <c r="I11" s="25">
        <f>'281φ1'!I11*6/9</f>
        <v>0</v>
      </c>
      <c r="J11" s="25">
        <f>'281φ1'!J11*6/9</f>
        <v>0</v>
      </c>
      <c r="K11" s="25">
        <f>'281φ1'!K11*6/9</f>
        <v>0</v>
      </c>
      <c r="L11" s="25">
        <f>'281φ1'!L11*6/9</f>
        <v>0</v>
      </c>
      <c r="M11" s="25">
        <f>'281φ1'!M11*6/9</f>
        <v>0</v>
      </c>
      <c r="N11" s="25">
        <f>'281φ1'!N11*6/9</f>
        <v>0</v>
      </c>
      <c r="O11" s="33">
        <f>'281φ1'!O11*6/9</f>
        <v>0</v>
      </c>
      <c r="P11" s="25">
        <f>'281φ1'!P11*6/9</f>
        <v>0</v>
      </c>
      <c r="Q11" s="25">
        <f>'281φ1'!Q11*6/9</f>
        <v>0</v>
      </c>
    </row>
    <row r="12" spans="1:17">
      <c r="A12" s="26">
        <v>2008</v>
      </c>
      <c r="B12" s="25">
        <f>'281φ1'!B12*6/9</f>
        <v>0</v>
      </c>
      <c r="C12" s="25">
        <f>'281φ1'!C12*6/9</f>
        <v>0</v>
      </c>
      <c r="D12" s="25">
        <f>'281φ1'!D12*6/9</f>
        <v>0</v>
      </c>
      <c r="E12" s="25">
        <f>'281φ1'!E12*6/9</f>
        <v>0</v>
      </c>
      <c r="F12" s="25">
        <f>'281φ1'!F12*6/9</f>
        <v>0</v>
      </c>
      <c r="G12" s="25">
        <f>'281φ1'!G12*6/9</f>
        <v>0</v>
      </c>
      <c r="H12" s="25">
        <f>'281φ1'!H12*6/9</f>
        <v>0</v>
      </c>
      <c r="I12" s="25">
        <f>'281φ1'!I12*6/9</f>
        <v>0</v>
      </c>
      <c r="J12" s="25">
        <f>'281φ1'!J12*6/9</f>
        <v>0</v>
      </c>
      <c r="K12" s="25">
        <f>'281φ1'!K12*6/9</f>
        <v>0</v>
      </c>
      <c r="L12" s="25">
        <f>'281φ1'!L12*6/9</f>
        <v>0</v>
      </c>
      <c r="M12" s="25">
        <f>'281φ1'!M12*6/9</f>
        <v>0</v>
      </c>
      <c r="N12" s="25">
        <f>'281φ1'!N12*6/9</f>
        <v>0</v>
      </c>
      <c r="O12" s="33">
        <f>'281φ1'!O12*6/9</f>
        <v>0</v>
      </c>
      <c r="P12" s="25">
        <f>'281φ1'!P12*6/9</f>
        <v>0</v>
      </c>
      <c r="Q12" s="25">
        <f>'281φ1'!Q12*6/9</f>
        <v>0</v>
      </c>
    </row>
    <row r="13" spans="1:17">
      <c r="A13" s="26">
        <v>2009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2"/>
      <c r="O13" s="431"/>
      <c r="P13" s="32"/>
      <c r="Q13" s="431"/>
    </row>
    <row r="14" spans="1:17">
      <c r="A14" s="26">
        <v>2010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2"/>
      <c r="O14" s="431"/>
      <c r="P14" s="32"/>
      <c r="Q14" s="431"/>
    </row>
    <row r="15" spans="1:17">
      <c r="A15" s="26">
        <v>2011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2"/>
      <c r="O15" s="431"/>
      <c r="P15" s="32"/>
      <c r="Q15" s="431"/>
    </row>
    <row r="16" spans="1:17">
      <c r="A16" s="26">
        <v>2012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  <c r="O16" s="431"/>
      <c r="P16" s="32"/>
      <c r="Q16" s="431"/>
    </row>
    <row r="17" spans="1:17">
      <c r="A17" s="26">
        <v>2013</v>
      </c>
      <c r="B17" s="30"/>
      <c r="C17" s="30"/>
      <c r="D17" s="30"/>
      <c r="E17" s="30"/>
      <c r="F17" s="30"/>
      <c r="G17" s="27"/>
      <c r="H17" s="27"/>
      <c r="I17" s="27"/>
      <c r="J17" s="27"/>
      <c r="K17" s="27"/>
      <c r="L17" s="27"/>
      <c r="M17" s="27"/>
      <c r="N17" s="24"/>
      <c r="O17" s="173"/>
      <c r="P17" s="24"/>
      <c r="Q17" s="173"/>
    </row>
    <row r="18" spans="1:17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59">
        <f>SUM(N2:N17)</f>
        <v>23.499999999999996</v>
      </c>
      <c r="O18" s="83">
        <f>SUM(O2:O17)</f>
        <v>590.66666666666663</v>
      </c>
      <c r="P18" s="59">
        <f>SUM(P2:P17)</f>
        <v>8.2293333333333329</v>
      </c>
      <c r="Q18" s="83">
        <f>SUM(Q2:Q17)</f>
        <v>202.00000000000003</v>
      </c>
    </row>
    <row r="19" spans="1:17" ht="15.75">
      <c r="P19" s="174"/>
    </row>
    <row r="20" spans="1:17" ht="15.75">
      <c r="A20" s="804" t="s">
        <v>211</v>
      </c>
      <c r="B20" s="804"/>
      <c r="C20" s="804"/>
      <c r="D20" s="804"/>
      <c r="E20" s="804"/>
      <c r="F20" s="804"/>
      <c r="G20" s="804"/>
      <c r="H20" s="804"/>
      <c r="I20" s="804"/>
      <c r="J20" s="804"/>
      <c r="K20" s="804"/>
      <c r="L20" s="804"/>
      <c r="M20" s="804"/>
      <c r="N20" s="804"/>
      <c r="O20" s="804"/>
      <c r="P20" s="804"/>
    </row>
    <row r="21" spans="1:17" ht="15.75">
      <c r="C21" s="75"/>
      <c r="D21" s="75"/>
      <c r="E21" s="75"/>
      <c r="L21" s="28"/>
      <c r="O21" s="245" t="s">
        <v>386</v>
      </c>
    </row>
    <row r="22" spans="1:17">
      <c r="O22" s="111">
        <v>45671</v>
      </c>
    </row>
  </sheetData>
  <mergeCells count="1">
    <mergeCell ref="A20:P20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V25"/>
  <sheetViews>
    <sheetView tabSelected="1" workbookViewId="0">
      <selection activeCell="Q39" sqref="Q39"/>
    </sheetView>
  </sheetViews>
  <sheetFormatPr defaultRowHeight="15"/>
  <cols>
    <col min="1" max="1" width="4.88671875" style="21" customWidth="1"/>
    <col min="2" max="2" width="7.33203125" style="21" bestFit="1" customWidth="1"/>
    <col min="3" max="3" width="8.21875" style="21" bestFit="1" customWidth="1"/>
    <col min="4" max="8" width="7" style="21" bestFit="1" customWidth="1"/>
    <col min="9" max="9" width="8.109375" style="21" bestFit="1" customWidth="1"/>
    <col min="10" max="10" width="7" style="21" bestFit="1" customWidth="1"/>
    <col min="11" max="11" width="8" style="21" bestFit="1" customWidth="1"/>
    <col min="12" max="12" width="7" style="21" bestFit="1" customWidth="1"/>
    <col min="13" max="13" width="8.21875" style="21" bestFit="1" customWidth="1"/>
    <col min="14" max="14" width="9.6640625" style="21" bestFit="1" customWidth="1"/>
    <col min="15" max="16" width="9" style="21" customWidth="1"/>
    <col min="17" max="17" width="14.6640625" style="21" customWidth="1"/>
    <col min="18" max="18" width="8.88671875" style="21" bestFit="1" customWidth="1"/>
    <col min="19" max="19" width="3.21875" style="21" bestFit="1" customWidth="1"/>
    <col min="20" max="20" width="3.21875" style="21" customWidth="1"/>
    <col min="21" max="21" width="8.88671875" style="21"/>
    <col min="22" max="22" width="9" style="21" bestFit="1" customWidth="1"/>
    <col min="23" max="16384" width="8.88671875" style="21"/>
  </cols>
  <sheetData>
    <row r="1" spans="1:22" ht="15.75" thickBot="1">
      <c r="A1" s="669"/>
      <c r="B1" s="706" t="s">
        <v>18</v>
      </c>
      <c r="C1" s="707" t="s">
        <v>19</v>
      </c>
      <c r="D1" s="706" t="s">
        <v>20</v>
      </c>
      <c r="E1" s="708" t="s">
        <v>21</v>
      </c>
      <c r="F1" s="706" t="s">
        <v>2</v>
      </c>
      <c r="G1" s="707" t="s">
        <v>22</v>
      </c>
      <c r="H1" s="706" t="s">
        <v>23</v>
      </c>
      <c r="I1" s="708" t="s">
        <v>24</v>
      </c>
      <c r="J1" s="706" t="s">
        <v>25</v>
      </c>
      <c r="K1" s="707" t="s">
        <v>26</v>
      </c>
      <c r="L1" s="706" t="s">
        <v>27</v>
      </c>
      <c r="M1" s="708" t="s">
        <v>28</v>
      </c>
      <c r="N1" s="709" t="s">
        <v>208</v>
      </c>
      <c r="O1" s="709" t="s">
        <v>209</v>
      </c>
      <c r="P1" s="709" t="s">
        <v>54</v>
      </c>
      <c r="Q1" s="710" t="s">
        <v>210</v>
      </c>
      <c r="R1" s="709" t="s">
        <v>54</v>
      </c>
    </row>
    <row r="2" spans="1:22">
      <c r="A2" s="23">
        <v>1998</v>
      </c>
      <c r="B2" s="173"/>
      <c r="C2" s="173"/>
      <c r="D2" s="173"/>
      <c r="E2" s="173"/>
      <c r="F2" s="173"/>
      <c r="G2" s="173"/>
      <c r="H2" s="173"/>
      <c r="I2" s="33"/>
      <c r="J2" s="33"/>
      <c r="K2" s="33">
        <v>5685</v>
      </c>
      <c r="L2" s="33"/>
      <c r="M2" s="33"/>
      <c r="N2" s="83">
        <f t="shared" ref="N2:N4" si="0">SUM(B2:M2)</f>
        <v>5685</v>
      </c>
      <c r="O2" s="25">
        <f t="shared" ref="O2:O3" si="1">N2/340.75</f>
        <v>16.683785766691123</v>
      </c>
      <c r="P2" s="33">
        <v>489</v>
      </c>
      <c r="Q2" s="25">
        <f>O2*30%</f>
        <v>5.0051357300073365</v>
      </c>
      <c r="R2" s="33">
        <f>P2*30%</f>
        <v>146.69999999999999</v>
      </c>
    </row>
    <row r="3" spans="1:22">
      <c r="A3" s="26">
        <v>1999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>
        <f t="shared" si="0"/>
        <v>0</v>
      </c>
      <c r="O3" s="25">
        <f t="shared" si="1"/>
        <v>0</v>
      </c>
      <c r="P3" s="33"/>
      <c r="Q3" s="25">
        <f t="shared" ref="Q3:R7" si="2">O3*30%</f>
        <v>0</v>
      </c>
      <c r="R3" s="33">
        <f t="shared" si="2"/>
        <v>0</v>
      </c>
    </row>
    <row r="4" spans="1:22">
      <c r="A4" s="26">
        <v>2000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>
        <f t="shared" si="0"/>
        <v>0</v>
      </c>
      <c r="O4" s="25">
        <f>N4/340.75</f>
        <v>0</v>
      </c>
      <c r="P4" s="33"/>
      <c r="Q4" s="25">
        <f t="shared" si="2"/>
        <v>0</v>
      </c>
      <c r="R4" s="33">
        <f t="shared" si="2"/>
        <v>0</v>
      </c>
    </row>
    <row r="5" spans="1:22">
      <c r="A5" s="26">
        <v>2001</v>
      </c>
      <c r="B5" s="711"/>
      <c r="C5" s="711"/>
      <c r="D5" s="27"/>
      <c r="E5" s="27"/>
      <c r="F5" s="27"/>
      <c r="G5" s="27"/>
      <c r="H5" s="27"/>
      <c r="I5" s="27"/>
      <c r="J5" s="27"/>
      <c r="K5" s="27"/>
      <c r="L5" s="27"/>
      <c r="M5" s="27"/>
      <c r="N5" s="83">
        <f>B5+C5</f>
        <v>0</v>
      </c>
      <c r="O5" s="25">
        <f>(N5/340.75)+D5+E5+F5+G5+H5+I5+J5+K5+L5+M5</f>
        <v>0</v>
      </c>
      <c r="P5" s="33"/>
      <c r="Q5" s="25">
        <f t="shared" si="2"/>
        <v>0</v>
      </c>
      <c r="R5" s="33">
        <f t="shared" si="2"/>
        <v>0</v>
      </c>
    </row>
    <row r="6" spans="1:22">
      <c r="A6" s="26">
        <v>2002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59"/>
      <c r="O6" s="25">
        <f>SUM(B6:N6)</f>
        <v>0</v>
      </c>
      <c r="P6" s="33"/>
      <c r="Q6" s="25">
        <f t="shared" si="2"/>
        <v>0</v>
      </c>
      <c r="R6" s="33">
        <f t="shared" si="2"/>
        <v>0</v>
      </c>
    </row>
    <row r="7" spans="1:22">
      <c r="A7" s="26">
        <v>2003</v>
      </c>
      <c r="B7" s="712"/>
      <c r="C7" s="712"/>
      <c r="D7" s="712"/>
      <c r="E7" s="712"/>
      <c r="F7" s="712"/>
      <c r="G7" s="712"/>
      <c r="H7" s="712"/>
      <c r="I7" s="712"/>
      <c r="J7" s="712"/>
      <c r="K7" s="712"/>
      <c r="L7" s="712"/>
      <c r="M7" s="712"/>
      <c r="N7" s="59"/>
      <c r="O7" s="25">
        <f t="shared" ref="O7" si="3">SUM(B7:N7)</f>
        <v>0</v>
      </c>
      <c r="P7" s="33"/>
      <c r="Q7" s="25">
        <f t="shared" si="2"/>
        <v>0</v>
      </c>
      <c r="R7" s="33">
        <f t="shared" si="2"/>
        <v>0</v>
      </c>
    </row>
    <row r="8" spans="1:22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83">
        <f>SUM(N2:N7)</f>
        <v>5685</v>
      </c>
      <c r="O8" s="59">
        <f>SUM(O2:O7)</f>
        <v>16.683785766691123</v>
      </c>
      <c r="P8" s="83">
        <f>SUM(P2:P7)</f>
        <v>489</v>
      </c>
      <c r="Q8" s="59">
        <f>SUM(Q2:Q7)</f>
        <v>5.0051357300073365</v>
      </c>
      <c r="R8" s="83">
        <f>SUM(R2:R7)</f>
        <v>146.69999999999999</v>
      </c>
      <c r="V8" s="29"/>
    </row>
    <row r="9" spans="1:22" ht="15.75">
      <c r="Q9" s="174">
        <v>299</v>
      </c>
    </row>
    <row r="10" spans="1:22" ht="15.75">
      <c r="A10" s="834" t="s">
        <v>608</v>
      </c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</row>
    <row r="13" spans="1:22">
      <c r="I13" s="21" t="s">
        <v>609</v>
      </c>
    </row>
    <row r="15" spans="1:22" ht="15.75">
      <c r="A15" s="834" t="s">
        <v>610</v>
      </c>
      <c r="B15" s="834"/>
      <c r="C15" s="834"/>
      <c r="D15" s="834"/>
      <c r="E15" s="834"/>
      <c r="F15" s="834"/>
      <c r="G15" s="834"/>
      <c r="H15" s="834"/>
      <c r="I15" s="834"/>
      <c r="J15" s="834"/>
      <c r="K15" s="834"/>
      <c r="L15" s="834"/>
      <c r="M15" s="834"/>
      <c r="N15" s="834"/>
      <c r="O15" s="834"/>
      <c r="P15" s="834"/>
      <c r="Q15" s="834"/>
      <c r="R15" s="834"/>
    </row>
    <row r="17" spans="1:18">
      <c r="A17" s="26">
        <v>1998</v>
      </c>
      <c r="B17" s="711"/>
      <c r="C17" s="711"/>
      <c r="D17" s="711"/>
      <c r="E17" s="711"/>
      <c r="F17" s="711"/>
      <c r="G17" s="711"/>
      <c r="H17" s="711"/>
      <c r="I17" s="83"/>
      <c r="J17" s="83"/>
      <c r="K17" s="83">
        <f>K2*6/9</f>
        <v>3790</v>
      </c>
      <c r="L17" s="83">
        <f t="shared" ref="L17:N17" si="4">L2*6/9</f>
        <v>0</v>
      </c>
      <c r="M17" s="83">
        <f t="shared" si="4"/>
        <v>0</v>
      </c>
      <c r="N17" s="83">
        <f t="shared" si="4"/>
        <v>3790</v>
      </c>
      <c r="O17" s="59">
        <f t="shared" ref="O17:O18" si="5">N17/340.75</f>
        <v>11.122523844460748</v>
      </c>
      <c r="P17" s="83">
        <f>P2*6/9</f>
        <v>326</v>
      </c>
      <c r="Q17" s="59">
        <f>O17*30%</f>
        <v>3.3367571533382243</v>
      </c>
      <c r="R17" s="83">
        <f>P17*30%</f>
        <v>97.8</v>
      </c>
    </row>
    <row r="18" spans="1:18">
      <c r="A18" s="26">
        <v>1999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>
        <f t="shared" ref="N18:N19" si="6">SUM(B18:M18)</f>
        <v>0</v>
      </c>
      <c r="O18" s="25">
        <f t="shared" si="5"/>
        <v>0</v>
      </c>
      <c r="P18" s="33"/>
      <c r="Q18" s="25">
        <f t="shared" ref="Q18:R22" si="7">O18*30%</f>
        <v>0</v>
      </c>
      <c r="R18" s="33">
        <f t="shared" si="7"/>
        <v>0</v>
      </c>
    </row>
    <row r="19" spans="1:18">
      <c r="A19" s="26">
        <v>2000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>
        <f t="shared" si="6"/>
        <v>0</v>
      </c>
      <c r="O19" s="25">
        <f>N19/340.75</f>
        <v>0</v>
      </c>
      <c r="P19" s="33"/>
      <c r="Q19" s="25">
        <f t="shared" si="7"/>
        <v>0</v>
      </c>
      <c r="R19" s="33">
        <f t="shared" si="7"/>
        <v>0</v>
      </c>
    </row>
    <row r="20" spans="1:18">
      <c r="A20" s="26">
        <v>2001</v>
      </c>
      <c r="B20" s="711"/>
      <c r="C20" s="711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83">
        <f>B20+C20</f>
        <v>0</v>
      </c>
      <c r="O20" s="25">
        <f>(N20/340.75)+D20+E20+F20+G20+H20+I20+J20+K20+L20+M20</f>
        <v>0</v>
      </c>
      <c r="P20" s="33"/>
      <c r="Q20" s="25">
        <f t="shared" si="7"/>
        <v>0</v>
      </c>
      <c r="R20" s="33">
        <f t="shared" si="7"/>
        <v>0</v>
      </c>
    </row>
    <row r="21" spans="1:18">
      <c r="A21" s="26">
        <v>2002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59"/>
      <c r="O21" s="25">
        <f>SUM(B21:N21)</f>
        <v>0</v>
      </c>
      <c r="P21" s="33"/>
      <c r="Q21" s="25">
        <f t="shared" si="7"/>
        <v>0</v>
      </c>
      <c r="R21" s="33">
        <f t="shared" si="7"/>
        <v>0</v>
      </c>
    </row>
    <row r="22" spans="1:18">
      <c r="A22" s="26">
        <v>2003</v>
      </c>
      <c r="B22" s="712"/>
      <c r="C22" s="712"/>
      <c r="D22" s="712"/>
      <c r="E22" s="712"/>
      <c r="F22" s="712"/>
      <c r="G22" s="712"/>
      <c r="H22" s="712"/>
      <c r="I22" s="712"/>
      <c r="J22" s="712"/>
      <c r="K22" s="712"/>
      <c r="L22" s="712"/>
      <c r="M22" s="712"/>
      <c r="N22" s="59"/>
      <c r="O22" s="25">
        <f t="shared" ref="O22" si="8">SUM(B22:N22)</f>
        <v>0</v>
      </c>
      <c r="P22" s="33"/>
      <c r="Q22" s="25">
        <f t="shared" si="7"/>
        <v>0</v>
      </c>
      <c r="R22" s="33">
        <f t="shared" si="7"/>
        <v>0</v>
      </c>
    </row>
    <row r="23" spans="1:18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83">
        <f>SUM(N17:N22)</f>
        <v>3790</v>
      </c>
      <c r="O23" s="59">
        <f>SUM(O17:O22)</f>
        <v>11.122523844460748</v>
      </c>
      <c r="P23" s="83">
        <f>SUM(P17:P22)</f>
        <v>326</v>
      </c>
      <c r="Q23" s="59">
        <f>SUM(Q17:Q22)</f>
        <v>3.3367571533382243</v>
      </c>
      <c r="R23" s="83">
        <f>SUM(R17:R22)</f>
        <v>97.8</v>
      </c>
    </row>
    <row r="24" spans="1:18" ht="15.75">
      <c r="Q24" s="174">
        <v>299</v>
      </c>
    </row>
    <row r="25" spans="1:18" ht="15.75">
      <c r="A25" s="834" t="s">
        <v>611</v>
      </c>
      <c r="B25" s="834"/>
      <c r="C25" s="834"/>
      <c r="D25" s="834"/>
      <c r="E25" s="834"/>
      <c r="F25" s="834"/>
      <c r="G25" s="834"/>
      <c r="H25" s="834"/>
      <c r="I25" s="834"/>
      <c r="J25" s="834"/>
      <c r="K25" s="834"/>
      <c r="L25" s="834"/>
      <c r="M25" s="834"/>
      <c r="N25" s="834"/>
      <c r="O25" s="834"/>
      <c r="P25" s="834"/>
      <c r="Q25" s="834"/>
      <c r="R25" s="834"/>
    </row>
  </sheetData>
  <mergeCells count="3">
    <mergeCell ref="A10:R10"/>
    <mergeCell ref="A15:R15"/>
    <mergeCell ref="A25:R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48"/>
  <sheetViews>
    <sheetView workbookViewId="0">
      <selection activeCell="V39" sqref="V39"/>
    </sheetView>
  </sheetViews>
  <sheetFormatPr defaultRowHeight="11.25"/>
  <cols>
    <col min="1" max="1" width="3.88671875" style="225" bestFit="1" customWidth="1"/>
    <col min="2" max="2" width="7.33203125" style="225" bestFit="1" customWidth="1"/>
    <col min="3" max="3" width="6.33203125" style="225" bestFit="1" customWidth="1"/>
    <col min="4" max="4" width="7.33203125" style="225" bestFit="1" customWidth="1"/>
    <col min="5" max="5" width="6" style="225" bestFit="1" customWidth="1"/>
    <col min="6" max="6" width="7.33203125" style="225" bestFit="1" customWidth="1"/>
    <col min="7" max="7" width="6" style="225" bestFit="1" customWidth="1"/>
    <col min="8" max="8" width="8" style="225" bestFit="1" customWidth="1"/>
    <col min="9" max="9" width="6.33203125" style="225" bestFit="1" customWidth="1"/>
    <col min="10" max="10" width="7.33203125" style="225" bestFit="1" customWidth="1"/>
    <col min="11" max="11" width="6.33203125" style="225" bestFit="1" customWidth="1"/>
    <col min="12" max="12" width="7.33203125" style="225" bestFit="1" customWidth="1"/>
    <col min="13" max="13" width="6.33203125" style="225" bestFit="1" customWidth="1"/>
    <col min="14" max="14" width="7.33203125" style="225" bestFit="1" customWidth="1"/>
    <col min="15" max="15" width="6" style="225" bestFit="1" customWidth="1"/>
    <col min="16" max="16" width="7.33203125" style="225" bestFit="1" customWidth="1"/>
    <col min="17" max="17" width="6.33203125" style="225" bestFit="1" customWidth="1"/>
    <col min="18" max="24" width="7.109375" style="225" customWidth="1"/>
    <col min="25" max="25" width="6.33203125" style="225" bestFit="1" customWidth="1"/>
    <col min="26" max="26" width="8.77734375" style="225" customWidth="1"/>
    <col min="27" max="27" width="9.5546875" style="225" bestFit="1" customWidth="1"/>
    <col min="28" max="28" width="6.88671875" style="225" bestFit="1" customWidth="1"/>
    <col min="29" max="29" width="8" style="225" bestFit="1" customWidth="1"/>
    <col min="30" max="30" width="4.109375" style="225" customWidth="1"/>
    <col min="31" max="32" width="3.33203125" style="225" customWidth="1"/>
    <col min="33" max="33" width="3.44140625" style="225" customWidth="1"/>
    <col min="34" max="34" width="4.6640625" style="225" bestFit="1" customWidth="1"/>
    <col min="35" max="35" width="5.6640625" style="225" bestFit="1" customWidth="1"/>
    <col min="36" max="36" width="3.33203125" style="225" customWidth="1"/>
    <col min="37" max="37" width="2.77734375" style="225" customWidth="1"/>
    <col min="38" max="38" width="5.6640625" style="225" bestFit="1" customWidth="1"/>
    <col min="39" max="39" width="3.109375" style="225" customWidth="1"/>
    <col min="40" max="40" width="6.33203125" style="225" bestFit="1" customWidth="1"/>
    <col min="41" max="41" width="3.77734375" style="225" customWidth="1"/>
    <col min="42" max="42" width="5.6640625" style="225" bestFit="1" customWidth="1"/>
    <col min="43" max="43" width="6.33203125" style="225" bestFit="1" customWidth="1"/>
    <col min="44" max="16384" width="8.88671875" style="225"/>
  </cols>
  <sheetData>
    <row r="1" spans="1:43" ht="11.25" customHeight="1">
      <c r="A1" s="740"/>
      <c r="B1" s="736" t="s">
        <v>18</v>
      </c>
      <c r="C1" s="767"/>
      <c r="D1" s="731" t="s">
        <v>19</v>
      </c>
      <c r="E1" s="732"/>
      <c r="F1" s="736" t="s">
        <v>20</v>
      </c>
      <c r="G1" s="767"/>
      <c r="H1" s="729" t="s">
        <v>21</v>
      </c>
      <c r="I1" s="747"/>
      <c r="J1" s="736" t="s">
        <v>2</v>
      </c>
      <c r="K1" s="767"/>
      <c r="L1" s="731" t="s">
        <v>22</v>
      </c>
      <c r="M1" s="732"/>
      <c r="N1" s="736" t="s">
        <v>23</v>
      </c>
      <c r="O1" s="767"/>
      <c r="P1" s="729" t="s">
        <v>24</v>
      </c>
      <c r="Q1" s="747"/>
      <c r="R1" s="736" t="s">
        <v>25</v>
      </c>
      <c r="S1" s="767"/>
      <c r="T1" s="731" t="s">
        <v>26</v>
      </c>
      <c r="U1" s="732"/>
      <c r="V1" s="736" t="s">
        <v>27</v>
      </c>
      <c r="W1" s="767"/>
      <c r="X1" s="729" t="s">
        <v>28</v>
      </c>
      <c r="Y1" s="730"/>
      <c r="Z1" s="768" t="s">
        <v>16</v>
      </c>
      <c r="AA1" s="769"/>
      <c r="AB1" s="770"/>
    </row>
    <row r="2" spans="1:43" ht="11.25" customHeight="1" thickBot="1">
      <c r="A2" s="741"/>
      <c r="B2" s="16" t="s">
        <v>29</v>
      </c>
      <c r="C2" s="17" t="s">
        <v>30</v>
      </c>
      <c r="D2" s="16" t="s">
        <v>29</v>
      </c>
      <c r="E2" s="18" t="s">
        <v>30</v>
      </c>
      <c r="F2" s="16" t="s">
        <v>29</v>
      </c>
      <c r="G2" s="17" t="s">
        <v>30</v>
      </c>
      <c r="H2" s="16" t="s">
        <v>29</v>
      </c>
      <c r="I2" s="19" t="s">
        <v>30</v>
      </c>
      <c r="J2" s="16" t="s">
        <v>29</v>
      </c>
      <c r="K2" s="17" t="s">
        <v>30</v>
      </c>
      <c r="L2" s="16" t="s">
        <v>29</v>
      </c>
      <c r="M2" s="18" t="s">
        <v>30</v>
      </c>
      <c r="N2" s="16" t="s">
        <v>29</v>
      </c>
      <c r="O2" s="17" t="s">
        <v>30</v>
      </c>
      <c r="P2" s="16" t="s">
        <v>29</v>
      </c>
      <c r="Q2" s="19" t="s">
        <v>30</v>
      </c>
      <c r="R2" s="16" t="s">
        <v>29</v>
      </c>
      <c r="S2" s="17" t="s">
        <v>30</v>
      </c>
      <c r="T2" s="16" t="s">
        <v>29</v>
      </c>
      <c r="U2" s="18" t="s">
        <v>30</v>
      </c>
      <c r="V2" s="16" t="s">
        <v>29</v>
      </c>
      <c r="W2" s="17" t="s">
        <v>30</v>
      </c>
      <c r="X2" s="16" t="s">
        <v>29</v>
      </c>
      <c r="Y2" s="20" t="s">
        <v>30</v>
      </c>
      <c r="Z2" s="507" t="s">
        <v>41</v>
      </c>
      <c r="AA2" s="490" t="s">
        <v>32</v>
      </c>
      <c r="AB2" s="35" t="s">
        <v>54</v>
      </c>
      <c r="AC2" s="225" t="s">
        <v>62</v>
      </c>
      <c r="AE2" s="509">
        <v>1</v>
      </c>
      <c r="AF2" s="509">
        <v>2</v>
      </c>
      <c r="AG2" s="509">
        <v>3</v>
      </c>
      <c r="AH2" s="509">
        <v>4</v>
      </c>
      <c r="AI2" s="509">
        <v>5</v>
      </c>
      <c r="AJ2" s="509">
        <v>6</v>
      </c>
      <c r="AK2" s="509">
        <v>7</v>
      </c>
      <c r="AL2" s="509">
        <v>8</v>
      </c>
      <c r="AM2" s="509">
        <v>9</v>
      </c>
      <c r="AN2" s="509">
        <v>10</v>
      </c>
      <c r="AO2" s="509">
        <v>11</v>
      </c>
      <c r="AP2" s="509">
        <v>12</v>
      </c>
    </row>
    <row r="3" spans="1:43">
      <c r="A3" s="229">
        <v>1998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231">
        <v>2542.71</v>
      </c>
      <c r="U3" s="231">
        <v>699.74</v>
      </c>
      <c r="V3" s="231">
        <v>15.26</v>
      </c>
      <c r="W3" s="230"/>
      <c r="X3" s="231">
        <v>2368.8200000000002</v>
      </c>
      <c r="Y3" s="231">
        <v>203.03</v>
      </c>
      <c r="Z3" s="231">
        <f>B3+D3+F3+H3+J3+L3+N3+P3+R3+T3+V3+X3</f>
        <v>4926.7900000000009</v>
      </c>
      <c r="AA3" s="231">
        <f>C3+E3+G3+I3+K3+M3+O3+Q3+S3+U3+W3+Y3</f>
        <v>902.77</v>
      </c>
      <c r="AB3" s="243">
        <v>26226</v>
      </c>
      <c r="AC3" s="235">
        <v>1920.85</v>
      </c>
      <c r="AE3" s="237"/>
      <c r="AF3" s="237"/>
      <c r="AG3" s="237"/>
      <c r="AH3" s="237"/>
      <c r="AI3" s="237"/>
      <c r="AJ3" s="237"/>
      <c r="AK3" s="237"/>
      <c r="AL3" s="237"/>
      <c r="AM3" s="237"/>
      <c r="AN3" s="237">
        <v>16557</v>
      </c>
      <c r="AO3" s="237"/>
      <c r="AP3" s="237">
        <v>4625</v>
      </c>
      <c r="AQ3" s="489">
        <f>SUM(AE3:AP3)</f>
        <v>21182</v>
      </c>
    </row>
    <row r="4" spans="1:43">
      <c r="A4" s="226">
        <v>1999</v>
      </c>
      <c r="B4" s="232">
        <v>967.63</v>
      </c>
      <c r="C4" s="47"/>
      <c r="D4" s="232">
        <v>29.58</v>
      </c>
      <c r="E4" s="236"/>
      <c r="F4" s="232">
        <v>1448.89</v>
      </c>
      <c r="G4" s="47"/>
      <c r="H4" s="232">
        <v>57.32</v>
      </c>
      <c r="I4" s="232">
        <v>34.39</v>
      </c>
      <c r="J4" s="232">
        <v>111.14</v>
      </c>
      <c r="K4" s="232">
        <v>108.14</v>
      </c>
      <c r="L4" s="232">
        <v>1128.52</v>
      </c>
      <c r="M4" s="47"/>
      <c r="N4" s="232">
        <v>689.51</v>
      </c>
      <c r="O4" s="47"/>
      <c r="P4" s="232">
        <v>2726.23</v>
      </c>
      <c r="Q4" s="47"/>
      <c r="R4" s="232">
        <v>1232.1099999999999</v>
      </c>
      <c r="S4" s="47"/>
      <c r="T4" s="227"/>
      <c r="U4" s="227"/>
      <c r="V4" s="227"/>
      <c r="W4" s="227"/>
      <c r="X4" s="232">
        <v>451.26</v>
      </c>
      <c r="Y4" s="47"/>
      <c r="Z4" s="232">
        <f>B4+D4+F4+H4+J4+L4+N4+P4+R4+T4+V4+X4</f>
        <v>8842.19</v>
      </c>
      <c r="AA4" s="231">
        <f t="shared" ref="AA4:AA12" si="0">C4+E4+G4+I4+K4+M4+O4+Q4+S4+U4+W4+Y4</f>
        <v>142.53</v>
      </c>
      <c r="AB4" s="243">
        <v>3695</v>
      </c>
      <c r="AC4" s="235">
        <v>7597.39</v>
      </c>
      <c r="AE4" s="237"/>
      <c r="AF4" s="237"/>
      <c r="AG4" s="237"/>
      <c r="AH4" s="237">
        <v>730</v>
      </c>
      <c r="AI4" s="237">
        <v>2255</v>
      </c>
      <c r="AJ4" s="237"/>
      <c r="AK4" s="237"/>
      <c r="AL4" s="237"/>
      <c r="AM4" s="237"/>
      <c r="AN4" s="237"/>
      <c r="AO4" s="237"/>
      <c r="AP4" s="237"/>
      <c r="AQ4" s="489">
        <f t="shared" ref="AQ4:AQ18" si="1">SUM(AE4:AP4)</f>
        <v>2985</v>
      </c>
    </row>
    <row r="5" spans="1:43">
      <c r="A5" s="226">
        <v>2000</v>
      </c>
      <c r="B5" s="227"/>
      <c r="C5" s="227"/>
      <c r="D5" s="227"/>
      <c r="E5" s="227"/>
      <c r="F5" s="227"/>
      <c r="G5" s="227"/>
      <c r="H5" s="227"/>
      <c r="I5" s="227"/>
      <c r="J5" s="232">
        <v>1578.23</v>
      </c>
      <c r="K5" s="47"/>
      <c r="L5" s="232">
        <v>812.18</v>
      </c>
      <c r="M5" s="47"/>
      <c r="N5" s="232">
        <v>536.87</v>
      </c>
      <c r="O5" s="47"/>
      <c r="P5" s="232">
        <v>2052.13</v>
      </c>
      <c r="Q5" s="47"/>
      <c r="R5" s="232">
        <v>724.73</v>
      </c>
      <c r="S5" s="47"/>
      <c r="T5" s="232">
        <v>745.4</v>
      </c>
      <c r="U5" s="47"/>
      <c r="V5" s="232">
        <v>1609.07</v>
      </c>
      <c r="W5" s="47"/>
      <c r="X5" s="232">
        <v>1942.92</v>
      </c>
      <c r="Y5" s="47"/>
      <c r="Z5" s="232">
        <f>B5+D5+F5+H5+J5+L5+N5+P5+R5+T5+V5+X5</f>
        <v>10001.529999999999</v>
      </c>
      <c r="AA5" s="231">
        <f t="shared" si="0"/>
        <v>0</v>
      </c>
      <c r="AB5" s="243">
        <f t="shared" ref="AB5:AB17" si="2">AQ5</f>
        <v>0</v>
      </c>
      <c r="AC5" s="235">
        <f>Z5</f>
        <v>10001.529999999999</v>
      </c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489">
        <f t="shared" si="1"/>
        <v>0</v>
      </c>
    </row>
    <row r="6" spans="1:43">
      <c r="A6" s="226">
        <v>2001</v>
      </c>
      <c r="B6" s="232">
        <v>1204.22</v>
      </c>
      <c r="C6" s="47"/>
      <c r="D6" s="232">
        <v>2562.77</v>
      </c>
      <c r="E6" s="47"/>
      <c r="F6" s="232">
        <v>1237.9000000000001</v>
      </c>
      <c r="G6" s="47"/>
      <c r="H6" s="232">
        <v>781.69</v>
      </c>
      <c r="I6" s="47"/>
      <c r="J6" s="232">
        <v>782.25</v>
      </c>
      <c r="K6" s="47"/>
      <c r="L6" s="232">
        <v>1118.57</v>
      </c>
      <c r="M6" s="47"/>
      <c r="N6" s="232">
        <v>528.1</v>
      </c>
      <c r="O6" s="47"/>
      <c r="P6" s="232">
        <v>1197.33</v>
      </c>
      <c r="Q6" s="47"/>
      <c r="R6" s="232">
        <v>297.3</v>
      </c>
      <c r="S6" s="47"/>
      <c r="T6" s="232">
        <v>27.35</v>
      </c>
      <c r="U6" s="47"/>
      <c r="V6" s="232">
        <v>806.4</v>
      </c>
      <c r="W6" s="47"/>
      <c r="X6" s="232">
        <v>2046.26</v>
      </c>
      <c r="Y6" s="47"/>
      <c r="Z6" s="232">
        <f t="shared" ref="Z6:Z12" si="3">B6+D6+F6+H6+J6+L6+N6+P6+R6+T6+V6+X6</f>
        <v>12590.14</v>
      </c>
      <c r="AA6" s="231">
        <f>C6+E6+G6+I6+K6+M6+O6+Q6+S6+U6+W6+Y6</f>
        <v>0</v>
      </c>
      <c r="AB6" s="243">
        <f t="shared" si="2"/>
        <v>0</v>
      </c>
      <c r="AC6" s="235">
        <f>Z6</f>
        <v>12590.14</v>
      </c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489">
        <f t="shared" si="1"/>
        <v>0</v>
      </c>
    </row>
    <row r="7" spans="1:43">
      <c r="A7" s="226">
        <v>2002</v>
      </c>
      <c r="B7" s="232">
        <v>304.35000000000002</v>
      </c>
      <c r="C7" s="47"/>
      <c r="D7" s="232">
        <v>456.2</v>
      </c>
      <c r="E7" s="47"/>
      <c r="F7" s="232">
        <v>172.97</v>
      </c>
      <c r="G7" s="47"/>
      <c r="H7" s="232">
        <v>94.23</v>
      </c>
      <c r="I7" s="227"/>
      <c r="J7" s="227"/>
      <c r="K7" s="227"/>
      <c r="L7" s="232">
        <v>306.33</v>
      </c>
      <c r="M7" s="227"/>
      <c r="N7" s="232">
        <v>1304.1500000000001</v>
      </c>
      <c r="O7" s="227"/>
      <c r="P7" s="232">
        <v>1069.57</v>
      </c>
      <c r="Q7" s="227"/>
      <c r="R7" s="232">
        <v>118.56</v>
      </c>
      <c r="S7" s="227"/>
      <c r="T7" s="232">
        <v>504.69</v>
      </c>
      <c r="U7" s="227"/>
      <c r="V7" s="232">
        <v>1465.65</v>
      </c>
      <c r="W7" s="227"/>
      <c r="X7" s="232">
        <v>981.68</v>
      </c>
      <c r="Y7" s="227"/>
      <c r="Z7" s="232">
        <f t="shared" si="3"/>
        <v>6778.380000000001</v>
      </c>
      <c r="AA7" s="231">
        <f t="shared" si="0"/>
        <v>0</v>
      </c>
      <c r="AB7" s="243">
        <f t="shared" si="2"/>
        <v>0</v>
      </c>
      <c r="AC7" s="235">
        <f>B7+D7+F7</f>
        <v>933.52</v>
      </c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489">
        <f t="shared" si="1"/>
        <v>0</v>
      </c>
    </row>
    <row r="8" spans="1:43">
      <c r="A8" s="226">
        <v>2003</v>
      </c>
      <c r="B8" s="233">
        <v>693.94</v>
      </c>
      <c r="C8" s="89"/>
      <c r="D8" s="233">
        <v>524.47</v>
      </c>
      <c r="E8" s="89"/>
      <c r="F8" s="233">
        <v>798.03</v>
      </c>
      <c r="G8" s="89"/>
      <c r="H8" s="233">
        <v>2667.61</v>
      </c>
      <c r="I8" s="89"/>
      <c r="J8" s="233">
        <v>927.15</v>
      </c>
      <c r="K8" s="89"/>
      <c r="L8" s="233">
        <v>3360.15</v>
      </c>
      <c r="M8" s="89"/>
      <c r="N8" s="233">
        <v>1598.5</v>
      </c>
      <c r="O8" s="89"/>
      <c r="P8" s="233">
        <v>2063.41</v>
      </c>
      <c r="Q8" s="89"/>
      <c r="R8" s="233">
        <v>1085.24</v>
      </c>
      <c r="S8" s="89"/>
      <c r="T8" s="233">
        <v>3317.97</v>
      </c>
      <c r="U8" s="89"/>
      <c r="V8" s="233">
        <v>3301.48</v>
      </c>
      <c r="W8" s="89"/>
      <c r="X8" s="233">
        <v>1332.37</v>
      </c>
      <c r="Y8" s="89"/>
      <c r="Z8" s="232">
        <f t="shared" si="3"/>
        <v>21670.32</v>
      </c>
      <c r="AA8" s="231">
        <f t="shared" si="0"/>
        <v>0</v>
      </c>
      <c r="AB8" s="243">
        <f t="shared" si="2"/>
        <v>0</v>
      </c>
      <c r="AC8" s="235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489">
        <f t="shared" si="1"/>
        <v>0</v>
      </c>
    </row>
    <row r="9" spans="1:43">
      <c r="A9" s="226">
        <v>2004</v>
      </c>
      <c r="B9" s="233">
        <v>605.55999999999995</v>
      </c>
      <c r="C9" s="89"/>
      <c r="D9" s="233">
        <v>3823.11</v>
      </c>
      <c r="E9" s="89"/>
      <c r="F9" s="233">
        <v>1175.0999999999999</v>
      </c>
      <c r="G9" s="89"/>
      <c r="H9" s="233">
        <v>2000.84</v>
      </c>
      <c r="I9" s="89"/>
      <c r="J9" s="233">
        <v>775.66</v>
      </c>
      <c r="K9" s="89"/>
      <c r="L9" s="233">
        <v>2320.9899999999998</v>
      </c>
      <c r="M9" s="89"/>
      <c r="N9" s="233">
        <v>1565.44</v>
      </c>
      <c r="O9" s="89"/>
      <c r="P9" s="233">
        <v>1929.52</v>
      </c>
      <c r="Q9" s="89"/>
      <c r="R9" s="233">
        <v>2787.36</v>
      </c>
      <c r="S9" s="89"/>
      <c r="T9" s="233">
        <v>1245.5999999999999</v>
      </c>
      <c r="U9" s="89"/>
      <c r="V9" s="233">
        <v>2090.61</v>
      </c>
      <c r="W9" s="89"/>
      <c r="X9" s="233">
        <v>3672.25</v>
      </c>
      <c r="Y9" s="89"/>
      <c r="Z9" s="232">
        <f t="shared" si="3"/>
        <v>23992.04</v>
      </c>
      <c r="AA9" s="231">
        <f t="shared" si="0"/>
        <v>0</v>
      </c>
      <c r="AB9" s="243">
        <f t="shared" si="2"/>
        <v>0</v>
      </c>
      <c r="AC9" s="235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489">
        <f t="shared" si="1"/>
        <v>0</v>
      </c>
    </row>
    <row r="10" spans="1:43">
      <c r="A10" s="226">
        <v>2005</v>
      </c>
      <c r="B10" s="232">
        <v>882.56</v>
      </c>
      <c r="C10" s="227"/>
      <c r="D10" s="232">
        <v>904.99</v>
      </c>
      <c r="E10" s="227"/>
      <c r="F10" s="232">
        <v>2101.17</v>
      </c>
      <c r="G10" s="227"/>
      <c r="H10" s="232">
        <v>499.04</v>
      </c>
      <c r="I10" s="227"/>
      <c r="J10" s="232">
        <v>850.89</v>
      </c>
      <c r="K10" s="227"/>
      <c r="L10" s="232">
        <v>1933.68</v>
      </c>
      <c r="M10" s="227"/>
      <c r="N10" s="232">
        <v>2636.04</v>
      </c>
      <c r="O10" s="227"/>
      <c r="P10" s="232">
        <v>2752.1</v>
      </c>
      <c r="Q10" s="227"/>
      <c r="R10" s="232">
        <v>3255</v>
      </c>
      <c r="S10" s="227"/>
      <c r="T10" s="232">
        <v>3538.92</v>
      </c>
      <c r="U10" s="227"/>
      <c r="V10" s="232">
        <v>2412.31</v>
      </c>
      <c r="W10" s="227"/>
      <c r="X10" s="232">
        <v>4143.34</v>
      </c>
      <c r="Y10" s="227"/>
      <c r="Z10" s="232">
        <f t="shared" si="3"/>
        <v>25910.04</v>
      </c>
      <c r="AA10" s="231">
        <f t="shared" si="0"/>
        <v>0</v>
      </c>
      <c r="AB10" s="243">
        <f t="shared" si="2"/>
        <v>0</v>
      </c>
      <c r="AC10" s="235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489">
        <f t="shared" si="1"/>
        <v>0</v>
      </c>
    </row>
    <row r="11" spans="1:43">
      <c r="A11" s="226">
        <v>2006</v>
      </c>
      <c r="B11" s="232">
        <v>2644.88</v>
      </c>
      <c r="C11" s="227"/>
      <c r="D11" s="232">
        <v>4360.82</v>
      </c>
      <c r="E11" s="227"/>
      <c r="F11" s="232">
        <v>3825.34</v>
      </c>
      <c r="G11" s="227"/>
      <c r="H11" s="232">
        <v>2452.46</v>
      </c>
      <c r="I11" s="227"/>
      <c r="J11" s="232">
        <v>4959.1899999999996</v>
      </c>
      <c r="K11" s="227"/>
      <c r="L11" s="232">
        <v>1597.44</v>
      </c>
      <c r="M11" s="227"/>
      <c r="N11" s="232">
        <v>1448.05</v>
      </c>
      <c r="O11" s="227"/>
      <c r="P11" s="232">
        <v>946.24</v>
      </c>
      <c r="Q11" s="227"/>
      <c r="R11" s="232">
        <v>1268.5999999999999</v>
      </c>
      <c r="S11" s="227"/>
      <c r="T11" s="232">
        <v>2418.52</v>
      </c>
      <c r="U11" s="227"/>
      <c r="V11" s="232">
        <v>3104.74</v>
      </c>
      <c r="W11" s="227"/>
      <c r="X11" s="232">
        <v>3430.17</v>
      </c>
      <c r="Y11" s="227"/>
      <c r="Z11" s="232">
        <f t="shared" si="3"/>
        <v>32456.449999999997</v>
      </c>
      <c r="AA11" s="231">
        <f t="shared" si="0"/>
        <v>0</v>
      </c>
      <c r="AB11" s="243">
        <f t="shared" si="2"/>
        <v>0</v>
      </c>
      <c r="AC11" s="235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489">
        <f t="shared" si="1"/>
        <v>0</v>
      </c>
    </row>
    <row r="12" spans="1:43">
      <c r="A12" s="226">
        <v>2007</v>
      </c>
      <c r="B12" s="232">
        <v>2752.78</v>
      </c>
      <c r="C12" s="227"/>
      <c r="D12" s="232">
        <v>2618.64</v>
      </c>
      <c r="E12" s="227"/>
      <c r="F12" s="232">
        <v>3226.58</v>
      </c>
      <c r="G12" s="227"/>
      <c r="H12" s="232">
        <v>12038.75</v>
      </c>
      <c r="I12" s="227"/>
      <c r="J12" s="232">
        <v>347.78</v>
      </c>
      <c r="K12" s="227"/>
      <c r="L12" s="232">
        <v>3643.37</v>
      </c>
      <c r="M12" s="227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232">
        <f t="shared" si="3"/>
        <v>24627.899999999998</v>
      </c>
      <c r="AA12" s="231">
        <f t="shared" si="0"/>
        <v>0</v>
      </c>
      <c r="AB12" s="243">
        <f t="shared" si="2"/>
        <v>0</v>
      </c>
      <c r="AC12" s="235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489">
        <f t="shared" si="1"/>
        <v>0</v>
      </c>
    </row>
    <row r="13" spans="1:43">
      <c r="A13" s="226">
        <v>2008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232"/>
      <c r="AA13" s="231"/>
      <c r="AB13" s="243">
        <f t="shared" si="2"/>
        <v>0</v>
      </c>
      <c r="AC13" s="235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489">
        <f t="shared" si="1"/>
        <v>0</v>
      </c>
    </row>
    <row r="14" spans="1:43">
      <c r="A14" s="226">
        <v>2009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232"/>
      <c r="AA14" s="231"/>
      <c r="AB14" s="243">
        <f t="shared" si="2"/>
        <v>0</v>
      </c>
      <c r="AC14" s="235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489">
        <f t="shared" si="1"/>
        <v>0</v>
      </c>
    </row>
    <row r="15" spans="1:43">
      <c r="A15" s="226">
        <v>2010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232"/>
      <c r="AA15" s="231"/>
      <c r="AB15" s="243">
        <f t="shared" si="2"/>
        <v>0</v>
      </c>
      <c r="AC15" s="235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489">
        <f t="shared" si="1"/>
        <v>0</v>
      </c>
    </row>
    <row r="16" spans="1:43">
      <c r="A16" s="226">
        <v>2011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232"/>
      <c r="AA16" s="231"/>
      <c r="AB16" s="243">
        <f t="shared" si="2"/>
        <v>0</v>
      </c>
      <c r="AC16" s="235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489">
        <f t="shared" si="1"/>
        <v>0</v>
      </c>
    </row>
    <row r="17" spans="1:43">
      <c r="A17" s="226">
        <v>2012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232"/>
      <c r="AA17" s="231"/>
      <c r="AB17" s="243">
        <f t="shared" si="2"/>
        <v>0</v>
      </c>
      <c r="AC17" s="235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489">
        <f t="shared" si="1"/>
        <v>0</v>
      </c>
    </row>
    <row r="18" spans="1:43">
      <c r="A18" s="226">
        <v>2013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232"/>
      <c r="AA18" s="231"/>
      <c r="AB18" s="243"/>
      <c r="AC18" s="235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489">
        <f t="shared" si="1"/>
        <v>0</v>
      </c>
    </row>
    <row r="19" spans="1:43"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2">
        <f>SUM(Z3:Z18)</f>
        <v>171795.78</v>
      </c>
      <c r="AA19" s="232">
        <f t="shared" ref="AA19:AB19" si="4">SUM(AA3:AA18)</f>
        <v>1045.3</v>
      </c>
      <c r="AB19" s="240">
        <f t="shared" si="4"/>
        <v>29921</v>
      </c>
      <c r="AC19" s="235">
        <f>SUM(AC3:AC18)</f>
        <v>33043.429999999993</v>
      </c>
    </row>
    <row r="20" spans="1:43">
      <c r="AB20" s="372"/>
      <c r="AC20" s="245" t="s">
        <v>389</v>
      </c>
    </row>
    <row r="21" spans="1:43" ht="12.75">
      <c r="A21" s="772" t="s">
        <v>556</v>
      </c>
      <c r="B21" s="772"/>
      <c r="C21" s="772"/>
      <c r="D21" s="772"/>
      <c r="E21" s="772"/>
      <c r="F21" s="772"/>
      <c r="G21" s="772"/>
      <c r="H21" s="772"/>
      <c r="I21" s="772"/>
      <c r="J21" s="772"/>
      <c r="K21" s="772"/>
      <c r="L21" s="772"/>
      <c r="M21" s="772"/>
      <c r="N21" s="772"/>
      <c r="O21" s="772"/>
      <c r="P21" s="772"/>
      <c r="Q21" s="772"/>
      <c r="R21" s="772"/>
      <c r="S21" s="772"/>
      <c r="T21" s="772"/>
      <c r="U21" s="772"/>
      <c r="V21" s="772"/>
      <c r="W21" s="772"/>
      <c r="X21" s="772"/>
      <c r="Y21" s="772"/>
      <c r="Z21" s="516"/>
      <c r="AA21" s="516"/>
      <c r="AB21" s="596"/>
      <c r="AC21" s="111">
        <v>46061</v>
      </c>
    </row>
    <row r="23" spans="1:43" ht="12.75">
      <c r="A23" s="772" t="s">
        <v>557</v>
      </c>
      <c r="B23" s="772"/>
      <c r="C23" s="772"/>
      <c r="D23" s="772"/>
      <c r="E23" s="772"/>
      <c r="F23" s="772"/>
      <c r="G23" s="772"/>
      <c r="H23" s="772"/>
      <c r="I23" s="772"/>
      <c r="J23" s="772"/>
      <c r="K23" s="772"/>
      <c r="L23" s="772"/>
      <c r="M23" s="772"/>
      <c r="N23" s="772"/>
      <c r="O23" s="772"/>
      <c r="P23" s="772"/>
      <c r="Q23" s="772"/>
      <c r="R23" s="772"/>
      <c r="S23" s="772"/>
      <c r="T23" s="772"/>
      <c r="U23" s="772"/>
      <c r="V23" s="772"/>
      <c r="W23" s="772"/>
      <c r="X23" s="772"/>
      <c r="Y23" s="772"/>
      <c r="Z23" s="516"/>
      <c r="AA23" s="516"/>
      <c r="AB23" s="508"/>
    </row>
    <row r="25" spans="1:43">
      <c r="B25" s="771" t="s">
        <v>36</v>
      </c>
      <c r="C25" s="771"/>
      <c r="D25" s="771"/>
      <c r="E25" s="771"/>
      <c r="F25" s="771"/>
      <c r="G25" s="771"/>
      <c r="H25" s="771"/>
      <c r="I25" s="771"/>
      <c r="J25" s="771"/>
      <c r="K25" s="771"/>
      <c r="L25" s="771"/>
      <c r="M25" s="771"/>
      <c r="N25" s="771"/>
      <c r="O25" s="771"/>
      <c r="P25" s="771"/>
    </row>
    <row r="26" spans="1:43">
      <c r="Z26" s="235"/>
      <c r="AA26" s="237"/>
      <c r="AB26" s="237"/>
    </row>
    <row r="30" spans="1:43">
      <c r="A30" s="521">
        <v>1998</v>
      </c>
      <c r="B30" s="521" t="s">
        <v>205</v>
      </c>
      <c r="C30" s="521"/>
      <c r="D30" s="521"/>
      <c r="E30" s="521"/>
      <c r="F30" s="521"/>
      <c r="G30" s="521"/>
    </row>
    <row r="32" spans="1:43" ht="12.75">
      <c r="A32" s="8"/>
      <c r="B32" s="8"/>
      <c r="C32" s="12" t="s">
        <v>564</v>
      </c>
      <c r="D32" s="8"/>
      <c r="E32" s="8"/>
      <c r="F32" s="8"/>
      <c r="G32" s="8"/>
      <c r="H32" s="8"/>
      <c r="I32" s="8"/>
      <c r="J32" s="8"/>
      <c r="K32" s="8"/>
      <c r="L32" s="8"/>
      <c r="M32" s="608" t="s">
        <v>580</v>
      </c>
    </row>
    <row r="33" spans="1:13" ht="12.75">
      <c r="A33" s="129">
        <v>1998</v>
      </c>
      <c r="B33" s="593"/>
      <c r="C33" s="424"/>
      <c r="D33" s="424"/>
      <c r="E33" s="424"/>
      <c r="F33" s="424"/>
      <c r="G33" s="424"/>
      <c r="H33" s="424"/>
      <c r="I33" s="424"/>
      <c r="J33" s="8">
        <v>9</v>
      </c>
      <c r="K33" s="8">
        <v>10</v>
      </c>
      <c r="L33" s="8">
        <v>11</v>
      </c>
      <c r="M33" s="8">
        <v>12</v>
      </c>
    </row>
    <row r="34" spans="1:13" ht="12.75">
      <c r="A34" s="522">
        <v>1999</v>
      </c>
      <c r="B34" s="444"/>
      <c r="C34" s="8">
        <v>2</v>
      </c>
      <c r="D34" s="8"/>
      <c r="E34" s="8">
        <v>4</v>
      </c>
      <c r="F34" s="8">
        <v>5</v>
      </c>
      <c r="G34" s="8"/>
      <c r="H34" s="8"/>
      <c r="I34" s="8"/>
      <c r="J34" s="8"/>
      <c r="K34" s="8">
        <v>10</v>
      </c>
      <c r="L34" s="8">
        <v>11</v>
      </c>
      <c r="M34" s="8"/>
    </row>
    <row r="35" spans="1:13" ht="12.75">
      <c r="A35" s="129">
        <v>2000</v>
      </c>
      <c r="B35" s="444">
        <v>1</v>
      </c>
      <c r="C35" s="8">
        <v>2</v>
      </c>
      <c r="D35" s="8">
        <v>3</v>
      </c>
      <c r="E35" s="8">
        <v>4</v>
      </c>
      <c r="F35" s="8"/>
      <c r="G35" s="8"/>
      <c r="H35" s="8"/>
      <c r="I35" s="8"/>
      <c r="J35" s="8"/>
      <c r="K35" s="8"/>
      <c r="L35" s="8"/>
      <c r="M35" s="8"/>
    </row>
    <row r="36" spans="1:13" ht="12.75">
      <c r="A36" s="522">
        <v>2001</v>
      </c>
      <c r="B36" s="44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2.75">
      <c r="A37" s="129">
        <v>2002</v>
      </c>
      <c r="B37" s="444"/>
      <c r="C37" s="8"/>
      <c r="D37" s="8"/>
      <c r="E37" s="8">
        <v>4</v>
      </c>
      <c r="F37" s="8">
        <v>5</v>
      </c>
      <c r="G37" s="8"/>
      <c r="H37" s="8"/>
      <c r="I37" s="8"/>
      <c r="J37" s="8"/>
      <c r="K37" s="8"/>
      <c r="L37" s="8"/>
      <c r="M37" s="8"/>
    </row>
    <row r="38" spans="1:13" ht="12.75">
      <c r="A38" s="522">
        <v>2003</v>
      </c>
      <c r="B38" s="444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2.75">
      <c r="A39" s="129">
        <v>2004</v>
      </c>
      <c r="B39" s="444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2.75">
      <c r="A40" s="522">
        <v>2005</v>
      </c>
      <c r="B40" s="444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2.75">
      <c r="A41" s="129">
        <v>2006</v>
      </c>
      <c r="B41" s="444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12.75">
      <c r="A42" s="522">
        <v>2007</v>
      </c>
      <c r="B42" s="444"/>
      <c r="C42" s="8"/>
      <c r="D42" s="8"/>
      <c r="E42" s="8"/>
      <c r="F42" s="8"/>
      <c r="G42" s="8"/>
      <c r="H42" s="8"/>
      <c r="I42" s="8"/>
      <c r="J42" s="8"/>
      <c r="K42" s="8"/>
      <c r="L42" s="8"/>
      <c r="M42" s="8">
        <v>12</v>
      </c>
    </row>
    <row r="43" spans="1:13" ht="12.75">
      <c r="A43" s="129">
        <v>2008</v>
      </c>
      <c r="B43" s="444">
        <v>1</v>
      </c>
      <c r="C43" s="8">
        <v>2</v>
      </c>
      <c r="D43" s="8">
        <v>3</v>
      </c>
      <c r="E43" s="8">
        <v>4</v>
      </c>
      <c r="F43" s="8">
        <v>5</v>
      </c>
      <c r="G43" s="8">
        <v>6</v>
      </c>
      <c r="H43" s="8">
        <v>7</v>
      </c>
      <c r="I43" s="8">
        <v>8</v>
      </c>
      <c r="J43" s="8">
        <v>9</v>
      </c>
      <c r="K43" s="8">
        <v>10</v>
      </c>
      <c r="L43" s="8">
        <v>11</v>
      </c>
      <c r="M43" s="8">
        <v>12</v>
      </c>
    </row>
    <row r="44" spans="1:13" ht="12.75">
      <c r="A44" s="522">
        <v>2009</v>
      </c>
      <c r="B44" s="444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</row>
    <row r="45" spans="1:13" ht="12.75">
      <c r="A45" s="129">
        <v>2010</v>
      </c>
      <c r="B45" s="444"/>
      <c r="C45" s="8"/>
      <c r="D45" s="8"/>
      <c r="E45" s="8"/>
      <c r="F45" s="8"/>
      <c r="G45" s="8"/>
      <c r="H45" s="8">
        <v>7</v>
      </c>
      <c r="I45" s="8">
        <v>8</v>
      </c>
      <c r="J45" s="8">
        <v>9</v>
      </c>
      <c r="K45" s="8">
        <v>10</v>
      </c>
      <c r="L45" s="8">
        <v>11</v>
      </c>
      <c r="M45" s="8">
        <v>12</v>
      </c>
    </row>
    <row r="46" spans="1:13" ht="12.75">
      <c r="A46" s="522">
        <v>2011</v>
      </c>
      <c r="B46" s="444">
        <v>1</v>
      </c>
      <c r="C46" s="8">
        <v>2</v>
      </c>
      <c r="D46" s="8">
        <v>3</v>
      </c>
      <c r="E46" s="8">
        <v>4</v>
      </c>
      <c r="F46" s="8">
        <v>5</v>
      </c>
      <c r="G46" s="8">
        <v>6</v>
      </c>
      <c r="H46" s="8">
        <v>7</v>
      </c>
      <c r="I46" s="8">
        <v>8</v>
      </c>
      <c r="J46" s="8">
        <v>9</v>
      </c>
      <c r="K46" s="8">
        <v>10</v>
      </c>
      <c r="L46" s="8">
        <v>11</v>
      </c>
      <c r="M46" s="8">
        <v>12</v>
      </c>
    </row>
    <row r="47" spans="1:13" ht="12.75">
      <c r="A47" s="129">
        <v>2012</v>
      </c>
      <c r="B47" s="444">
        <v>1</v>
      </c>
      <c r="C47" s="8">
        <v>2</v>
      </c>
      <c r="D47" s="8">
        <v>3</v>
      </c>
      <c r="E47" s="8">
        <v>4</v>
      </c>
      <c r="F47" s="8">
        <v>5</v>
      </c>
      <c r="G47" s="8">
        <v>6</v>
      </c>
      <c r="H47" s="8"/>
      <c r="I47" s="8">
        <v>8</v>
      </c>
      <c r="J47" s="8">
        <v>9</v>
      </c>
      <c r="K47" s="8">
        <v>10</v>
      </c>
      <c r="L47" s="8">
        <v>11</v>
      </c>
      <c r="M47" s="8">
        <v>12</v>
      </c>
    </row>
    <row r="48" spans="1:13" ht="12.75">
      <c r="A48" s="522">
        <v>2013</v>
      </c>
      <c r="B48" s="444">
        <v>1</v>
      </c>
      <c r="C48" s="8">
        <v>2</v>
      </c>
      <c r="D48" s="8">
        <v>3</v>
      </c>
      <c r="E48" s="8">
        <v>4</v>
      </c>
      <c r="F48" s="8">
        <v>5</v>
      </c>
      <c r="G48" s="424"/>
      <c r="H48" s="424"/>
      <c r="I48" s="424"/>
      <c r="J48" s="424"/>
      <c r="K48" s="424"/>
      <c r="L48" s="424"/>
      <c r="M48" s="424"/>
    </row>
  </sheetData>
  <mergeCells count="17">
    <mergeCell ref="B25:P25"/>
    <mergeCell ref="L1:M1"/>
    <mergeCell ref="N1:O1"/>
    <mergeCell ref="P1:Q1"/>
    <mergeCell ref="A23:Y23"/>
    <mergeCell ref="A21:Y21"/>
    <mergeCell ref="X1:Y1"/>
    <mergeCell ref="R1:S1"/>
    <mergeCell ref="B1:C1"/>
    <mergeCell ref="D1:E1"/>
    <mergeCell ref="F1:G1"/>
    <mergeCell ref="H1:I1"/>
    <mergeCell ref="J1:K1"/>
    <mergeCell ref="Z1:AB1"/>
    <mergeCell ref="T1:U1"/>
    <mergeCell ref="V1:W1"/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78"/>
  <sheetViews>
    <sheetView workbookViewId="0">
      <pane ySplit="2" topLeftCell="A21" activePane="bottomLeft" state="frozen"/>
      <selection pane="bottomLeft" activeCell="A45" sqref="A45:XFD84"/>
    </sheetView>
  </sheetViews>
  <sheetFormatPr defaultRowHeight="11.25"/>
  <cols>
    <col min="1" max="1" width="3.88671875" style="225" bestFit="1" customWidth="1"/>
    <col min="2" max="2" width="7" style="225" customWidth="1"/>
    <col min="3" max="3" width="8" style="225" customWidth="1"/>
    <col min="4" max="4" width="6.33203125" style="225" bestFit="1" customWidth="1"/>
    <col min="5" max="5" width="6.77734375" style="225" customWidth="1"/>
    <col min="6" max="6" width="6.44140625" style="225" bestFit="1" customWidth="1"/>
    <col min="7" max="7" width="7.44140625" style="225" customWidth="1"/>
    <col min="8" max="8" width="8.44140625" style="225" customWidth="1"/>
    <col min="9" max="9" width="6.33203125" style="225" bestFit="1" customWidth="1"/>
    <col min="10" max="10" width="7.33203125" style="225" bestFit="1" customWidth="1"/>
    <col min="11" max="11" width="6.33203125" style="225" bestFit="1" customWidth="1"/>
    <col min="12" max="12" width="7.33203125" style="225" bestFit="1" customWidth="1"/>
    <col min="13" max="14" width="6.33203125" style="225" bestFit="1" customWidth="1"/>
    <col min="15" max="15" width="6.44140625" style="225" bestFit="1" customWidth="1"/>
    <col min="16" max="16" width="7.33203125" style="225" bestFit="1" customWidth="1"/>
    <col min="17" max="17" width="6.33203125" style="225" bestFit="1" customWidth="1"/>
    <col min="18" max="18" width="6.44140625" style="225" bestFit="1" customWidth="1"/>
    <col min="19" max="23" width="6.33203125" style="225" bestFit="1" customWidth="1"/>
    <col min="24" max="25" width="7.33203125" style="225" bestFit="1" customWidth="1"/>
    <col min="26" max="26" width="8" style="225" bestFit="1" customWidth="1"/>
    <col min="27" max="28" width="8.44140625" style="225" bestFit="1" customWidth="1"/>
    <col min="29" max="29" width="3.109375" style="225" customWidth="1"/>
    <col min="30" max="30" width="4.6640625" style="225" bestFit="1" customWidth="1"/>
    <col min="31" max="31" width="4.6640625" style="225" customWidth="1"/>
    <col min="32" max="32" width="3.6640625" style="225" customWidth="1"/>
    <col min="33" max="36" width="5.6640625" style="225" bestFit="1" customWidth="1"/>
    <col min="37" max="37" width="3.44140625" style="225" customWidth="1"/>
    <col min="38" max="40" width="5.6640625" style="225" bestFit="1" customWidth="1"/>
    <col min="41" max="41" width="7" style="225" bestFit="1" customWidth="1"/>
    <col min="42" max="16384" width="8.88671875" style="225"/>
  </cols>
  <sheetData>
    <row r="1" spans="1:42">
      <c r="A1" s="740"/>
      <c r="B1" s="736" t="s">
        <v>18</v>
      </c>
      <c r="C1" s="767"/>
      <c r="D1" s="731" t="s">
        <v>19</v>
      </c>
      <c r="E1" s="732"/>
      <c r="F1" s="736" t="s">
        <v>20</v>
      </c>
      <c r="G1" s="767"/>
      <c r="H1" s="729" t="s">
        <v>21</v>
      </c>
      <c r="I1" s="747"/>
      <c r="J1" s="736" t="s">
        <v>2</v>
      </c>
      <c r="K1" s="767"/>
      <c r="L1" s="731" t="s">
        <v>22</v>
      </c>
      <c r="M1" s="732"/>
      <c r="N1" s="736" t="s">
        <v>23</v>
      </c>
      <c r="O1" s="767"/>
      <c r="P1" s="729" t="s">
        <v>24</v>
      </c>
      <c r="Q1" s="747"/>
      <c r="R1" s="736" t="s">
        <v>25</v>
      </c>
      <c r="S1" s="767"/>
      <c r="T1" s="731" t="s">
        <v>26</v>
      </c>
      <c r="U1" s="732"/>
      <c r="V1" s="736" t="s">
        <v>27</v>
      </c>
      <c r="W1" s="767"/>
      <c r="X1" s="729" t="s">
        <v>28</v>
      </c>
      <c r="Y1" s="730"/>
      <c r="Z1" s="776" t="s">
        <v>16</v>
      </c>
      <c r="AA1" s="777"/>
      <c r="AB1" s="777"/>
    </row>
    <row r="2" spans="1:42" ht="12" thickBot="1">
      <c r="A2" s="741"/>
      <c r="B2" s="16" t="s">
        <v>29</v>
      </c>
      <c r="C2" s="17" t="s">
        <v>30</v>
      </c>
      <c r="D2" s="16" t="s">
        <v>29</v>
      </c>
      <c r="E2" s="18" t="s">
        <v>30</v>
      </c>
      <c r="F2" s="16" t="s">
        <v>29</v>
      </c>
      <c r="G2" s="17" t="s">
        <v>30</v>
      </c>
      <c r="H2" s="16" t="s">
        <v>29</v>
      </c>
      <c r="I2" s="19" t="s">
        <v>30</v>
      </c>
      <c r="J2" s="16" t="s">
        <v>29</v>
      </c>
      <c r="K2" s="17" t="s">
        <v>30</v>
      </c>
      <c r="L2" s="16" t="s">
        <v>29</v>
      </c>
      <c r="M2" s="18" t="s">
        <v>30</v>
      </c>
      <c r="N2" s="16" t="s">
        <v>29</v>
      </c>
      <c r="O2" s="17" t="s">
        <v>30</v>
      </c>
      <c r="P2" s="16" t="s">
        <v>29</v>
      </c>
      <c r="Q2" s="19" t="s">
        <v>30</v>
      </c>
      <c r="R2" s="16" t="s">
        <v>29</v>
      </c>
      <c r="S2" s="17" t="s">
        <v>30</v>
      </c>
      <c r="T2" s="16" t="s">
        <v>29</v>
      </c>
      <c r="U2" s="18" t="s">
        <v>30</v>
      </c>
      <c r="V2" s="16" t="s">
        <v>29</v>
      </c>
      <c r="W2" s="17" t="s">
        <v>30</v>
      </c>
      <c r="X2" s="16" t="s">
        <v>29</v>
      </c>
      <c r="Y2" s="20" t="s">
        <v>30</v>
      </c>
      <c r="Z2" s="16" t="s">
        <v>31</v>
      </c>
      <c r="AA2" s="16" t="s">
        <v>30</v>
      </c>
      <c r="AB2" s="35" t="s">
        <v>54</v>
      </c>
      <c r="AD2" s="509">
        <v>1</v>
      </c>
      <c r="AE2" s="509">
        <v>2</v>
      </c>
      <c r="AF2" s="509">
        <v>3</v>
      </c>
      <c r="AG2" s="509">
        <v>4</v>
      </c>
      <c r="AH2" s="509">
        <v>5</v>
      </c>
      <c r="AI2" s="509">
        <v>6</v>
      </c>
      <c r="AJ2" s="509">
        <v>7</v>
      </c>
      <c r="AK2" s="509">
        <v>8</v>
      </c>
      <c r="AL2" s="509">
        <v>9</v>
      </c>
      <c r="AM2" s="509">
        <v>10</v>
      </c>
      <c r="AN2" s="509">
        <v>11</v>
      </c>
      <c r="AO2" s="509">
        <v>12</v>
      </c>
    </row>
    <row r="3" spans="1:42">
      <c r="A3" s="229">
        <v>1998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231">
        <v>337.75</v>
      </c>
      <c r="Q3" s="499"/>
      <c r="R3" s="231">
        <v>440.04</v>
      </c>
      <c r="S3" s="238">
        <v>169.07</v>
      </c>
      <c r="T3" s="105"/>
      <c r="U3" s="105"/>
      <c r="V3" s="105"/>
      <c r="W3" s="105"/>
      <c r="X3" s="105"/>
      <c r="Y3" s="105"/>
      <c r="Z3" s="232">
        <f t="shared" ref="Z3:AA18" si="0">B3+D3+F3+H3+J3+L3+N3+P3+R3+T3+V3+X3</f>
        <v>777.79</v>
      </c>
      <c r="AA3" s="231">
        <f t="shared" si="0"/>
        <v>169.07</v>
      </c>
      <c r="AB3" s="243">
        <f t="shared" ref="AB3:AB18" si="1">AP3</f>
        <v>5048</v>
      </c>
      <c r="AD3" s="237"/>
      <c r="AE3" s="237"/>
      <c r="AF3" s="237"/>
      <c r="AG3" s="237"/>
      <c r="AH3" s="237"/>
      <c r="AI3" s="237"/>
      <c r="AJ3" s="237"/>
      <c r="AK3" s="237"/>
      <c r="AL3" s="237">
        <v>5048</v>
      </c>
      <c r="AM3" s="237"/>
      <c r="AN3" s="237"/>
      <c r="AO3" s="237"/>
      <c r="AP3" s="489">
        <f>SUM(AD3:AO3)</f>
        <v>5048</v>
      </c>
    </row>
    <row r="4" spans="1:42">
      <c r="A4" s="226">
        <v>1999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5"/>
      <c r="R4" s="102"/>
      <c r="S4" s="102"/>
      <c r="T4" s="102"/>
      <c r="U4" s="102"/>
      <c r="V4" s="102"/>
      <c r="W4" s="102"/>
      <c r="X4" s="102"/>
      <c r="Y4" s="102"/>
      <c r="Z4" s="322">
        <f t="shared" si="0"/>
        <v>0</v>
      </c>
      <c r="AA4" s="323">
        <f t="shared" si="0"/>
        <v>0</v>
      </c>
      <c r="AB4" s="243">
        <f t="shared" si="1"/>
        <v>0</v>
      </c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489">
        <f t="shared" ref="AP4:AP18" si="2">SUM(AD4:AO4)</f>
        <v>0</v>
      </c>
    </row>
    <row r="5" spans="1:42">
      <c r="A5" s="226">
        <v>2000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5"/>
      <c r="R5" s="102"/>
      <c r="S5" s="102"/>
      <c r="T5" s="102"/>
      <c r="U5" s="102"/>
      <c r="V5" s="102"/>
      <c r="W5" s="102"/>
      <c r="X5" s="102"/>
      <c r="Y5" s="102"/>
      <c r="Z5" s="322">
        <f t="shared" si="0"/>
        <v>0</v>
      </c>
      <c r="AA5" s="323">
        <f t="shared" si="0"/>
        <v>0</v>
      </c>
      <c r="AB5" s="243">
        <f t="shared" si="1"/>
        <v>0</v>
      </c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489">
        <f t="shared" si="2"/>
        <v>0</v>
      </c>
    </row>
    <row r="6" spans="1:42">
      <c r="A6" s="226">
        <v>2001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5"/>
      <c r="R6" s="102"/>
      <c r="S6" s="102"/>
      <c r="T6" s="102"/>
      <c r="U6" s="102"/>
      <c r="V6" s="102"/>
      <c r="W6" s="102"/>
      <c r="X6" s="102"/>
      <c r="Y6" s="102"/>
      <c r="Z6" s="322">
        <f t="shared" si="0"/>
        <v>0</v>
      </c>
      <c r="AA6" s="323">
        <f t="shared" si="0"/>
        <v>0</v>
      </c>
      <c r="AB6" s="243">
        <f t="shared" si="1"/>
        <v>0</v>
      </c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489">
        <f t="shared" si="2"/>
        <v>0</v>
      </c>
    </row>
    <row r="7" spans="1:42">
      <c r="A7" s="226">
        <v>2002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5"/>
      <c r="R7" s="102"/>
      <c r="S7" s="102"/>
      <c r="T7" s="102"/>
      <c r="U7" s="102"/>
      <c r="V7" s="102"/>
      <c r="W7" s="102"/>
      <c r="X7" s="102"/>
      <c r="Y7" s="102"/>
      <c r="Z7" s="322">
        <f t="shared" si="0"/>
        <v>0</v>
      </c>
      <c r="AA7" s="323">
        <f t="shared" si="0"/>
        <v>0</v>
      </c>
      <c r="AB7" s="243">
        <f t="shared" si="1"/>
        <v>0</v>
      </c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489">
        <f t="shared" si="2"/>
        <v>0</v>
      </c>
    </row>
    <row r="8" spans="1:42">
      <c r="A8" s="226">
        <v>2003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5"/>
      <c r="R8" s="106"/>
      <c r="S8" s="106"/>
      <c r="T8" s="106"/>
      <c r="U8" s="106"/>
      <c r="V8" s="106"/>
      <c r="W8" s="106"/>
      <c r="X8" s="106"/>
      <c r="Y8" s="106"/>
      <c r="Z8" s="322">
        <f t="shared" si="0"/>
        <v>0</v>
      </c>
      <c r="AA8" s="323">
        <f t="shared" si="0"/>
        <v>0</v>
      </c>
      <c r="AB8" s="243">
        <f t="shared" si="1"/>
        <v>0</v>
      </c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489">
        <f t="shared" si="2"/>
        <v>0</v>
      </c>
    </row>
    <row r="9" spans="1:42">
      <c r="A9" s="226">
        <v>2004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5"/>
      <c r="R9" s="106"/>
      <c r="S9" s="106"/>
      <c r="T9" s="106"/>
      <c r="U9" s="106"/>
      <c r="V9" s="106"/>
      <c r="W9" s="106"/>
      <c r="X9" s="106"/>
      <c r="Y9" s="106"/>
      <c r="Z9" s="322">
        <f t="shared" si="0"/>
        <v>0</v>
      </c>
      <c r="AA9" s="323">
        <f t="shared" si="0"/>
        <v>0</v>
      </c>
      <c r="AB9" s="243">
        <f t="shared" si="1"/>
        <v>0</v>
      </c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489">
        <f t="shared" si="2"/>
        <v>0</v>
      </c>
    </row>
    <row r="10" spans="1:42">
      <c r="A10" s="226">
        <v>2005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5"/>
      <c r="R10" s="102"/>
      <c r="S10" s="102"/>
      <c r="T10" s="102"/>
      <c r="U10" s="102"/>
      <c r="V10" s="102"/>
      <c r="W10" s="102"/>
      <c r="X10" s="102"/>
      <c r="Y10" s="102"/>
      <c r="Z10" s="322">
        <f t="shared" si="0"/>
        <v>0</v>
      </c>
      <c r="AA10" s="323">
        <f t="shared" si="0"/>
        <v>0</v>
      </c>
      <c r="AB10" s="243">
        <f t="shared" si="1"/>
        <v>0</v>
      </c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489">
        <f t="shared" si="2"/>
        <v>0</v>
      </c>
    </row>
    <row r="11" spans="1:42">
      <c r="A11" s="226">
        <v>2006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5"/>
      <c r="R11" s="102"/>
      <c r="S11" s="102"/>
      <c r="T11" s="102"/>
      <c r="U11" s="102"/>
      <c r="V11" s="102"/>
      <c r="W11" s="102"/>
      <c r="X11" s="102"/>
      <c r="Y11" s="102"/>
      <c r="Z11" s="322">
        <f t="shared" si="0"/>
        <v>0</v>
      </c>
      <c r="AA11" s="323">
        <f t="shared" si="0"/>
        <v>0</v>
      </c>
      <c r="AB11" s="243">
        <f t="shared" si="1"/>
        <v>0</v>
      </c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489">
        <f t="shared" si="2"/>
        <v>0</v>
      </c>
    </row>
    <row r="12" spans="1:42">
      <c r="A12" s="226">
        <v>2007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232">
        <v>826.23</v>
      </c>
      <c r="O12" s="232">
        <v>478.4</v>
      </c>
      <c r="P12" s="232">
        <v>65</v>
      </c>
      <c r="Q12" s="104"/>
      <c r="R12" s="232">
        <v>201.5</v>
      </c>
      <c r="S12" s="227"/>
      <c r="T12" s="232">
        <v>76.3</v>
      </c>
      <c r="U12" s="227"/>
      <c r="V12" s="227"/>
      <c r="W12" s="227"/>
      <c r="X12" s="227"/>
      <c r="Y12" s="227"/>
      <c r="Z12" s="232">
        <f t="shared" si="0"/>
        <v>1169.03</v>
      </c>
      <c r="AA12" s="231">
        <f>C12+E12+G12+I12+K12+M12+O12+Q12+S12+U12+W12+Y12</f>
        <v>478.4</v>
      </c>
      <c r="AB12" s="243">
        <f t="shared" si="1"/>
        <v>4585</v>
      </c>
      <c r="AD12" s="237"/>
      <c r="AE12" s="237"/>
      <c r="AF12" s="237"/>
      <c r="AG12" s="237"/>
      <c r="AH12" s="237"/>
      <c r="AI12" s="237"/>
      <c r="AJ12" s="237">
        <v>4585</v>
      </c>
      <c r="AK12" s="237"/>
      <c r="AL12" s="237"/>
      <c r="AM12" s="237"/>
      <c r="AN12" s="237"/>
      <c r="AO12" s="237"/>
      <c r="AP12" s="489">
        <f t="shared" si="2"/>
        <v>4585</v>
      </c>
    </row>
    <row r="13" spans="1:42">
      <c r="A13" s="226">
        <v>2008</v>
      </c>
      <c r="B13" s="227"/>
      <c r="C13" s="227"/>
      <c r="D13" s="232">
        <v>354</v>
      </c>
      <c r="E13" s="227"/>
      <c r="F13" s="227"/>
      <c r="G13" s="227"/>
      <c r="H13" s="232">
        <v>162.5</v>
      </c>
      <c r="I13" s="227"/>
      <c r="J13" s="232">
        <v>1105</v>
      </c>
      <c r="K13" s="227"/>
      <c r="L13" s="227"/>
      <c r="M13" s="227"/>
      <c r="N13" s="232">
        <v>178.07</v>
      </c>
      <c r="O13" s="232"/>
      <c r="P13" s="236"/>
      <c r="Q13" s="108"/>
      <c r="R13" s="236"/>
      <c r="S13" s="236"/>
      <c r="T13" s="232">
        <v>988</v>
      </c>
      <c r="U13" s="232">
        <v>910</v>
      </c>
      <c r="V13" s="232">
        <v>64.849999999999994</v>
      </c>
      <c r="W13" s="227"/>
      <c r="X13" s="232">
        <v>179.4</v>
      </c>
      <c r="Y13" s="227"/>
      <c r="Z13" s="232">
        <f t="shared" si="0"/>
        <v>3031.8199999999997</v>
      </c>
      <c r="AA13" s="231">
        <f t="shared" si="0"/>
        <v>910</v>
      </c>
      <c r="AB13" s="243">
        <f t="shared" si="1"/>
        <v>7514</v>
      </c>
      <c r="AD13" s="237"/>
      <c r="AE13" s="237"/>
      <c r="AF13" s="237"/>
      <c r="AG13" s="237"/>
      <c r="AH13" s="237"/>
      <c r="AI13" s="237"/>
      <c r="AJ13" s="237"/>
      <c r="AK13" s="237"/>
      <c r="AL13" s="237"/>
      <c r="AM13" s="237">
        <v>7514</v>
      </c>
      <c r="AN13" s="237"/>
      <c r="AO13" s="237"/>
      <c r="AP13" s="489">
        <f t="shared" si="2"/>
        <v>7514</v>
      </c>
    </row>
    <row r="14" spans="1:42">
      <c r="A14" s="226">
        <v>2009</v>
      </c>
      <c r="B14" s="236"/>
      <c r="C14" s="236"/>
      <c r="D14" s="236"/>
      <c r="E14" s="236"/>
      <c r="F14" s="232">
        <v>195</v>
      </c>
      <c r="G14" s="236"/>
      <c r="H14" s="236"/>
      <c r="I14" s="236"/>
      <c r="J14" s="236"/>
      <c r="K14" s="236"/>
      <c r="L14" s="232">
        <v>10.96</v>
      </c>
      <c r="M14" s="236"/>
      <c r="N14" s="236"/>
      <c r="O14" s="236"/>
      <c r="P14" s="236"/>
      <c r="Q14" s="108"/>
      <c r="R14" s="232">
        <v>24.31</v>
      </c>
      <c r="S14" s="236"/>
      <c r="T14" s="236"/>
      <c r="U14" s="236"/>
      <c r="V14" s="236"/>
      <c r="W14" s="236"/>
      <c r="X14" s="236"/>
      <c r="Y14" s="236"/>
      <c r="Z14" s="232">
        <f t="shared" si="0"/>
        <v>230.27</v>
      </c>
      <c r="AA14" s="231">
        <f t="shared" si="0"/>
        <v>0</v>
      </c>
      <c r="AB14" s="243">
        <f t="shared" si="1"/>
        <v>0</v>
      </c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489">
        <f t="shared" si="2"/>
        <v>0</v>
      </c>
    </row>
    <row r="15" spans="1:42">
      <c r="A15" s="226">
        <v>2010</v>
      </c>
      <c r="B15" s="227"/>
      <c r="C15" s="227"/>
      <c r="D15" s="227"/>
      <c r="E15" s="227"/>
      <c r="F15" s="232">
        <v>195</v>
      </c>
      <c r="G15" s="227"/>
      <c r="H15" s="227"/>
      <c r="I15" s="227"/>
      <c r="J15" s="227"/>
      <c r="K15" s="227"/>
      <c r="L15" s="232">
        <v>20.8</v>
      </c>
      <c r="M15" s="232">
        <v>13</v>
      </c>
      <c r="N15" s="232">
        <v>96.9</v>
      </c>
      <c r="O15" s="236"/>
      <c r="P15" s="236"/>
      <c r="Q15" s="108"/>
      <c r="R15" s="236"/>
      <c r="S15" s="236"/>
      <c r="T15" s="232">
        <v>56.02</v>
      </c>
      <c r="U15" s="232">
        <v>56.02</v>
      </c>
      <c r="V15" s="236"/>
      <c r="W15" s="236"/>
      <c r="X15" s="232">
        <v>1483.37</v>
      </c>
      <c r="Y15" s="232">
        <v>1481.9</v>
      </c>
      <c r="Z15" s="232">
        <f t="shared" si="0"/>
        <v>1852.09</v>
      </c>
      <c r="AA15" s="231">
        <f t="shared" si="0"/>
        <v>1550.92</v>
      </c>
      <c r="AB15" s="243">
        <f t="shared" si="1"/>
        <v>10562</v>
      </c>
      <c r="AD15" s="237"/>
      <c r="AE15" s="237"/>
      <c r="AF15" s="237"/>
      <c r="AG15" s="237"/>
      <c r="AH15" s="237"/>
      <c r="AI15" s="237">
        <v>92</v>
      </c>
      <c r="AJ15" s="237"/>
      <c r="AK15" s="237"/>
      <c r="AL15" s="237"/>
      <c r="AM15" s="237">
        <v>387</v>
      </c>
      <c r="AN15" s="237"/>
      <c r="AO15" s="237">
        <v>10083</v>
      </c>
      <c r="AP15" s="489">
        <f t="shared" si="2"/>
        <v>10562</v>
      </c>
    </row>
    <row r="16" spans="1:42">
      <c r="A16" s="226">
        <v>2011</v>
      </c>
      <c r="B16" s="232">
        <v>101.85</v>
      </c>
      <c r="C16" s="232">
        <v>101.85</v>
      </c>
      <c r="D16" s="232">
        <v>390</v>
      </c>
      <c r="E16" s="236"/>
      <c r="F16" s="236"/>
      <c r="G16" s="236"/>
      <c r="H16" s="232">
        <v>463.28</v>
      </c>
      <c r="I16" s="232">
        <v>463.28</v>
      </c>
      <c r="J16" s="232">
        <v>133</v>
      </c>
      <c r="K16" s="227"/>
      <c r="L16" s="227"/>
      <c r="M16" s="227"/>
      <c r="N16" s="227"/>
      <c r="O16" s="227"/>
      <c r="P16" s="227"/>
      <c r="Q16" s="104"/>
      <c r="R16" s="227"/>
      <c r="S16" s="227"/>
      <c r="T16" s="227"/>
      <c r="U16" s="227"/>
      <c r="V16" s="232">
        <v>252.35</v>
      </c>
      <c r="W16" s="242"/>
      <c r="X16" s="227"/>
      <c r="Y16" s="227"/>
      <c r="Z16" s="232">
        <f t="shared" si="0"/>
        <v>1340.48</v>
      </c>
      <c r="AA16" s="231">
        <f t="shared" si="0"/>
        <v>565.13</v>
      </c>
      <c r="AB16" s="243">
        <f t="shared" si="1"/>
        <v>3749</v>
      </c>
      <c r="AD16" s="237">
        <v>688</v>
      </c>
      <c r="AE16" s="237"/>
      <c r="AF16" s="237"/>
      <c r="AG16" s="237">
        <v>3061</v>
      </c>
      <c r="AH16" s="237"/>
      <c r="AI16" s="237"/>
      <c r="AJ16" s="237"/>
      <c r="AK16" s="237"/>
      <c r="AL16" s="237"/>
      <c r="AM16" s="237"/>
      <c r="AN16" s="237"/>
      <c r="AO16" s="237"/>
      <c r="AP16" s="489">
        <f t="shared" si="2"/>
        <v>3749</v>
      </c>
    </row>
    <row r="17" spans="1:42">
      <c r="A17" s="226">
        <v>2012</v>
      </c>
      <c r="B17" s="227"/>
      <c r="C17" s="227"/>
      <c r="D17" s="227"/>
      <c r="E17" s="227"/>
      <c r="F17" s="227"/>
      <c r="G17" s="227"/>
      <c r="H17" s="227"/>
      <c r="I17" s="227"/>
      <c r="J17" s="232">
        <v>275.18</v>
      </c>
      <c r="K17" s="232">
        <v>275.18</v>
      </c>
      <c r="L17" s="227"/>
      <c r="M17" s="227"/>
      <c r="N17" s="227"/>
      <c r="O17" s="227"/>
      <c r="P17" s="227"/>
      <c r="Q17" s="104"/>
      <c r="R17" s="227"/>
      <c r="S17" s="227"/>
      <c r="T17" s="232">
        <v>98.03</v>
      </c>
      <c r="U17" s="227"/>
      <c r="V17" s="227"/>
      <c r="W17" s="227"/>
      <c r="X17" s="227"/>
      <c r="Y17" s="227"/>
      <c r="Z17" s="232">
        <f t="shared" si="0"/>
        <v>373.21000000000004</v>
      </c>
      <c r="AA17" s="231">
        <f t="shared" si="0"/>
        <v>275.18</v>
      </c>
      <c r="AB17" s="243">
        <f t="shared" si="1"/>
        <v>1652</v>
      </c>
      <c r="AD17" s="237"/>
      <c r="AE17" s="237"/>
      <c r="AF17" s="237"/>
      <c r="AG17" s="237"/>
      <c r="AH17" s="237">
        <v>1652</v>
      </c>
      <c r="AI17" s="237"/>
      <c r="AJ17" s="237"/>
      <c r="AK17" s="237"/>
      <c r="AL17" s="237"/>
      <c r="AM17" s="237"/>
      <c r="AN17" s="237"/>
      <c r="AO17" s="237"/>
      <c r="AP17" s="489">
        <f t="shared" si="2"/>
        <v>1652</v>
      </c>
    </row>
    <row r="18" spans="1:42">
      <c r="A18" s="226">
        <v>2013</v>
      </c>
      <c r="B18" s="236"/>
      <c r="C18" s="236"/>
      <c r="D18" s="236"/>
      <c r="E18" s="236"/>
      <c r="F18" s="236"/>
      <c r="G18" s="236"/>
      <c r="H18" s="236"/>
      <c r="I18" s="236"/>
      <c r="J18" s="232">
        <v>48.06</v>
      </c>
      <c r="K18" s="227"/>
      <c r="L18" s="102"/>
      <c r="M18" s="102"/>
      <c r="N18" s="102"/>
      <c r="O18" s="102"/>
      <c r="P18" s="102"/>
      <c r="Q18" s="105"/>
      <c r="R18" s="102"/>
      <c r="S18" s="102"/>
      <c r="T18" s="102"/>
      <c r="U18" s="102"/>
      <c r="V18" s="102"/>
      <c r="W18" s="102"/>
      <c r="X18" s="102"/>
      <c r="Y18" s="102"/>
      <c r="Z18" s="232">
        <f t="shared" si="0"/>
        <v>48.06</v>
      </c>
      <c r="AA18" s="231">
        <f t="shared" si="0"/>
        <v>0</v>
      </c>
      <c r="AB18" s="243">
        <f t="shared" si="1"/>
        <v>0</v>
      </c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489">
        <f t="shared" si="2"/>
        <v>0</v>
      </c>
    </row>
    <row r="19" spans="1:42"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2">
        <f>SUM(Z3:Z18)</f>
        <v>8822.7499999999982</v>
      </c>
      <c r="AA19" s="232">
        <f>SUM(AA3:AA18)</f>
        <v>3948.7000000000003</v>
      </c>
      <c r="AB19" s="240">
        <f>SUM(AB3:AB18)</f>
        <v>33110</v>
      </c>
    </row>
    <row r="21" spans="1:42" ht="15.75">
      <c r="A21" s="748" t="s">
        <v>579</v>
      </c>
      <c r="B21" s="748"/>
      <c r="C21" s="748"/>
      <c r="D21" s="748"/>
      <c r="E21" s="748"/>
      <c r="F21" s="748"/>
      <c r="G21" s="748"/>
      <c r="H21" s="748"/>
      <c r="I21" s="748"/>
      <c r="J21" s="748"/>
      <c r="K21" s="748"/>
      <c r="L21" s="748"/>
      <c r="M21" s="748"/>
      <c r="N21" s="748"/>
      <c r="O21" s="748"/>
      <c r="P21" s="748"/>
      <c r="Q21" s="748"/>
      <c r="R21" s="748"/>
      <c r="S21" s="748"/>
      <c r="T21" s="748"/>
      <c r="U21" s="748"/>
      <c r="V21" s="748"/>
      <c r="W21" s="748"/>
      <c r="X21" s="748"/>
      <c r="Y21" s="748"/>
      <c r="AB21" s="111">
        <v>46061</v>
      </c>
    </row>
    <row r="22" spans="1:42">
      <c r="AB22" s="245" t="s">
        <v>389</v>
      </c>
    </row>
    <row r="23" spans="1:42" ht="15.75">
      <c r="A23" s="748" t="s">
        <v>578</v>
      </c>
      <c r="B23" s="748"/>
      <c r="C23" s="748"/>
      <c r="D23" s="748"/>
      <c r="E23" s="748"/>
      <c r="F23" s="748"/>
      <c r="G23" s="748"/>
      <c r="H23" s="748"/>
      <c r="I23" s="748"/>
      <c r="J23" s="748"/>
      <c r="K23" s="748"/>
      <c r="L23" s="748"/>
      <c r="M23" s="748"/>
      <c r="N23" s="748"/>
      <c r="O23" s="748"/>
      <c r="P23" s="748"/>
      <c r="Q23" s="748"/>
      <c r="R23" s="748"/>
      <c r="S23" s="748"/>
      <c r="T23" s="748"/>
      <c r="U23" s="748"/>
      <c r="V23" s="748"/>
      <c r="W23" s="748"/>
      <c r="X23" s="748"/>
      <c r="Y23" s="748"/>
      <c r="AA23" s="228"/>
    </row>
    <row r="25" spans="1:42" ht="15">
      <c r="A25" s="778" t="s">
        <v>36</v>
      </c>
      <c r="B25" s="778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8"/>
      <c r="U25" s="778"/>
      <c r="V25" s="778"/>
      <c r="W25" s="778"/>
      <c r="X25" s="778"/>
      <c r="Y25" s="778"/>
    </row>
    <row r="27" spans="1:42" ht="12" customHeight="1">
      <c r="D27" s="511" t="s">
        <v>44</v>
      </c>
      <c r="E27" s="511" t="s">
        <v>45</v>
      </c>
      <c r="G27" s="511" t="s">
        <v>44</v>
      </c>
      <c r="H27" s="511" t="s">
        <v>45</v>
      </c>
      <c r="J27" s="511" t="s">
        <v>44</v>
      </c>
      <c r="K27" s="511" t="s">
        <v>45</v>
      </c>
    </row>
    <row r="28" spans="1:42" ht="12" thickBot="1">
      <c r="A28" s="538" t="s">
        <v>569</v>
      </c>
      <c r="C28" s="266" t="s">
        <v>286</v>
      </c>
      <c r="D28" s="773" t="s">
        <v>29</v>
      </c>
      <c r="E28" s="773"/>
      <c r="F28" s="609"/>
      <c r="G28" s="773" t="s">
        <v>30</v>
      </c>
      <c r="H28" s="773"/>
      <c r="J28" s="774" t="s">
        <v>570</v>
      </c>
      <c r="K28" s="774"/>
      <c r="L28" s="246"/>
    </row>
    <row r="29" spans="1:42">
      <c r="A29" s="107">
        <v>1998</v>
      </c>
      <c r="B29" s="539" t="s">
        <v>24</v>
      </c>
      <c r="C29" s="237">
        <v>3</v>
      </c>
      <c r="D29" s="235">
        <v>42.92</v>
      </c>
      <c r="E29" s="95">
        <v>8.25</v>
      </c>
      <c r="F29" s="95"/>
      <c r="G29" s="95"/>
      <c r="H29" s="95"/>
      <c r="I29" s="235"/>
      <c r="J29" s="235">
        <v>42.92</v>
      </c>
      <c r="K29" s="95">
        <v>8.25</v>
      </c>
      <c r="L29" s="92" t="s">
        <v>573</v>
      </c>
    </row>
    <row r="30" spans="1:42">
      <c r="A30" s="107"/>
      <c r="B30" s="540"/>
      <c r="C30" s="237">
        <v>9</v>
      </c>
      <c r="D30" s="235">
        <v>68.67</v>
      </c>
      <c r="E30" s="235">
        <v>13.21</v>
      </c>
      <c r="F30" s="235"/>
      <c r="G30" s="235"/>
      <c r="H30" s="235"/>
      <c r="I30" s="235"/>
      <c r="J30" s="235">
        <v>68.67</v>
      </c>
      <c r="K30" s="235">
        <v>13.21</v>
      </c>
      <c r="L30" s="92" t="s">
        <v>573</v>
      </c>
    </row>
    <row r="31" spans="1:42">
      <c r="A31" s="107"/>
      <c r="B31" s="540"/>
      <c r="C31" s="237">
        <v>14</v>
      </c>
      <c r="D31" s="235">
        <v>171.68</v>
      </c>
      <c r="E31" s="235">
        <v>33.020000000000003</v>
      </c>
      <c r="F31" s="235"/>
      <c r="G31" s="235"/>
      <c r="H31" s="235"/>
      <c r="I31" s="235"/>
      <c r="J31" s="235">
        <v>171.68</v>
      </c>
      <c r="K31" s="235">
        <v>33.020000000000003</v>
      </c>
      <c r="L31" s="92" t="s">
        <v>573</v>
      </c>
    </row>
    <row r="32" spans="1:42" ht="12" thickBot="1">
      <c r="A32" s="107"/>
      <c r="B32" s="553"/>
      <c r="C32" s="554"/>
      <c r="D32" s="469">
        <f>SUM(D29:D31)</f>
        <v>283.27</v>
      </c>
      <c r="E32" s="469">
        <f>SUM(E29:E31)</f>
        <v>54.480000000000004</v>
      </c>
      <c r="F32" s="555">
        <f>SUM(D32:E32)</f>
        <v>337.75</v>
      </c>
      <c r="G32" s="268"/>
      <c r="H32" s="268"/>
      <c r="I32" s="555"/>
      <c r="J32" s="556">
        <f>SUM(J29:J31)</f>
        <v>283.27</v>
      </c>
      <c r="K32" s="556">
        <f>SUM(K29:K31)</f>
        <v>54.480000000000004</v>
      </c>
      <c r="L32" s="556">
        <f>J32+K32</f>
        <v>337.75</v>
      </c>
    </row>
    <row r="33" spans="1:15">
      <c r="A33" s="107"/>
      <c r="B33" s="530" t="s">
        <v>25</v>
      </c>
      <c r="C33" s="109">
        <v>18</v>
      </c>
      <c r="D33" s="95">
        <v>114.45</v>
      </c>
      <c r="E33" s="566">
        <v>22.81</v>
      </c>
      <c r="F33" s="95"/>
      <c r="G33" s="567"/>
      <c r="H33" s="567"/>
      <c r="I33" s="95"/>
      <c r="J33" s="95">
        <v>114.45</v>
      </c>
      <c r="K33" s="566">
        <v>22.81</v>
      </c>
      <c r="L33" s="95">
        <f>SUM(J33:K33)</f>
        <v>137.26</v>
      </c>
      <c r="M33" s="109">
        <v>2088</v>
      </c>
      <c r="N33" s="225" t="s">
        <v>566</v>
      </c>
    </row>
    <row r="34" spans="1:15">
      <c r="A34" s="107"/>
      <c r="B34" s="521"/>
      <c r="C34" s="237">
        <v>19</v>
      </c>
      <c r="D34" s="95">
        <v>30.52</v>
      </c>
      <c r="E34" s="95">
        <v>5.87</v>
      </c>
      <c r="F34" s="95"/>
      <c r="G34" s="95">
        <v>30.52</v>
      </c>
      <c r="H34" s="95">
        <v>5.87</v>
      </c>
      <c r="I34" s="95"/>
      <c r="J34" s="95"/>
      <c r="K34" s="95"/>
      <c r="L34" s="95">
        <f t="shared" ref="L34:L42" si="3">SUM(J34:K34)</f>
        <v>0</v>
      </c>
      <c r="M34" s="109"/>
      <c r="N34" s="225" t="s">
        <v>566</v>
      </c>
    </row>
    <row r="35" spans="1:15">
      <c r="A35" s="107"/>
      <c r="B35" s="521"/>
      <c r="C35" s="237">
        <v>22</v>
      </c>
      <c r="D35" s="95">
        <v>56.27</v>
      </c>
      <c r="E35" s="95">
        <v>10.82</v>
      </c>
      <c r="F35" s="95"/>
      <c r="G35" s="95">
        <v>56.27</v>
      </c>
      <c r="H35" s="95">
        <v>10.82</v>
      </c>
      <c r="I35" s="95"/>
      <c r="J35" s="95"/>
      <c r="K35" s="95"/>
      <c r="L35" s="95">
        <f t="shared" si="3"/>
        <v>0</v>
      </c>
      <c r="M35" s="109"/>
      <c r="N35" s="225" t="s">
        <v>566</v>
      </c>
    </row>
    <row r="36" spans="1:15">
      <c r="A36" s="107"/>
      <c r="B36" s="521"/>
      <c r="C36" s="237">
        <v>32</v>
      </c>
      <c r="D36" s="95"/>
      <c r="E36" s="95"/>
      <c r="F36" s="95"/>
      <c r="G36" s="568"/>
      <c r="H36" s="568"/>
      <c r="I36" s="95"/>
      <c r="J36" s="95"/>
      <c r="K36" s="95"/>
      <c r="L36" s="95">
        <f t="shared" si="3"/>
        <v>0</v>
      </c>
      <c r="M36" s="109"/>
      <c r="N36" s="92" t="s">
        <v>573</v>
      </c>
    </row>
    <row r="37" spans="1:15">
      <c r="A37" s="107"/>
      <c r="B37" s="521"/>
      <c r="C37" s="237">
        <v>36</v>
      </c>
      <c r="D37" s="95">
        <v>68.67</v>
      </c>
      <c r="E37" s="95">
        <v>13.21</v>
      </c>
      <c r="F37" s="95"/>
      <c r="G37" s="567"/>
      <c r="H37" s="567"/>
      <c r="I37" s="95"/>
      <c r="J37" s="95">
        <v>68.67</v>
      </c>
      <c r="K37" s="95">
        <v>13.21</v>
      </c>
      <c r="L37" s="95">
        <f t="shared" si="3"/>
        <v>81.88</v>
      </c>
      <c r="M37" s="109">
        <v>1246</v>
      </c>
      <c r="N37" s="225" t="s">
        <v>566</v>
      </c>
    </row>
    <row r="38" spans="1:15">
      <c r="A38" s="107"/>
      <c r="B38" s="521"/>
      <c r="C38" s="237">
        <v>44</v>
      </c>
      <c r="D38" s="95">
        <v>27.35</v>
      </c>
      <c r="E38" s="95">
        <v>5.26</v>
      </c>
      <c r="F38" s="95"/>
      <c r="G38" s="95">
        <v>27.35</v>
      </c>
      <c r="H38" s="95">
        <v>5.26</v>
      </c>
      <c r="I38" s="95"/>
      <c r="J38" s="95"/>
      <c r="K38" s="95"/>
      <c r="L38" s="95">
        <f t="shared" si="3"/>
        <v>0</v>
      </c>
      <c r="M38" s="109"/>
      <c r="N38" s="225" t="s">
        <v>566</v>
      </c>
    </row>
    <row r="39" spans="1:15">
      <c r="A39" s="107"/>
      <c r="B39" s="521"/>
      <c r="C39" s="237">
        <v>45</v>
      </c>
      <c r="D39" s="95">
        <v>10.55</v>
      </c>
      <c r="E39" s="95">
        <v>3.76</v>
      </c>
      <c r="F39" s="95"/>
      <c r="G39" s="567"/>
      <c r="H39" s="567"/>
      <c r="I39" s="95"/>
      <c r="J39" s="95">
        <v>10.55</v>
      </c>
      <c r="K39" s="95">
        <v>3.76</v>
      </c>
      <c r="L39" s="95">
        <f t="shared" si="3"/>
        <v>14.31</v>
      </c>
      <c r="M39" s="109">
        <v>218</v>
      </c>
      <c r="N39" s="225" t="s">
        <v>566</v>
      </c>
    </row>
    <row r="40" spans="1:15">
      <c r="A40" s="107"/>
      <c r="B40" s="521"/>
      <c r="C40" s="237">
        <v>47</v>
      </c>
      <c r="D40" s="95">
        <v>27.66</v>
      </c>
      <c r="E40" s="95">
        <v>5.32</v>
      </c>
      <c r="F40" s="95"/>
      <c r="G40" s="95">
        <v>27.66</v>
      </c>
      <c r="H40" s="95">
        <v>5.32</v>
      </c>
      <c r="I40" s="95"/>
      <c r="J40" s="95"/>
      <c r="K40" s="95"/>
      <c r="L40" s="95">
        <f t="shared" si="3"/>
        <v>0</v>
      </c>
      <c r="M40" s="109"/>
      <c r="N40" s="225" t="s">
        <v>566</v>
      </c>
    </row>
    <row r="41" spans="1:15">
      <c r="A41" s="107"/>
      <c r="B41" s="521"/>
      <c r="C41" s="237">
        <v>54</v>
      </c>
      <c r="D41" s="95"/>
      <c r="E41" s="95"/>
      <c r="F41" s="95"/>
      <c r="G41" s="568"/>
      <c r="H41" s="568"/>
      <c r="I41" s="95"/>
      <c r="J41" s="95"/>
      <c r="K41" s="95"/>
      <c r="L41" s="95">
        <f t="shared" si="3"/>
        <v>0</v>
      </c>
      <c r="M41" s="109"/>
      <c r="N41" s="92" t="s">
        <v>573</v>
      </c>
    </row>
    <row r="42" spans="1:15">
      <c r="A42" s="107"/>
      <c r="B42" s="521"/>
      <c r="C42" s="237">
        <v>55</v>
      </c>
      <c r="D42" s="95">
        <v>31.47</v>
      </c>
      <c r="E42" s="95">
        <v>6.05</v>
      </c>
      <c r="F42" s="95"/>
      <c r="G42" s="95"/>
      <c r="H42" s="95"/>
      <c r="I42" s="95"/>
      <c r="J42" s="95">
        <v>31.47</v>
      </c>
      <c r="K42" s="95">
        <v>6.05</v>
      </c>
      <c r="L42" s="95">
        <f t="shared" si="3"/>
        <v>37.519999999999996</v>
      </c>
      <c r="M42" s="109">
        <v>571</v>
      </c>
      <c r="N42" s="225" t="s">
        <v>566</v>
      </c>
    </row>
    <row r="43" spans="1:15">
      <c r="A43" s="107"/>
      <c r="B43" s="521"/>
      <c r="C43" s="237">
        <v>64</v>
      </c>
      <c r="D43" s="95"/>
      <c r="E43" s="95"/>
      <c r="F43" s="95"/>
      <c r="G43" s="568"/>
      <c r="H43" s="568"/>
      <c r="I43" s="95"/>
      <c r="J43" s="95"/>
      <c r="K43" s="95"/>
      <c r="L43" s="95"/>
      <c r="M43" s="109"/>
      <c r="N43" s="92" t="s">
        <v>573</v>
      </c>
    </row>
    <row r="44" spans="1:15">
      <c r="A44" s="107"/>
      <c r="B44" s="521"/>
      <c r="C44" s="237">
        <v>65</v>
      </c>
      <c r="D44" s="95"/>
      <c r="E44" s="95"/>
      <c r="F44" s="95"/>
      <c r="G44" s="568"/>
      <c r="H44" s="568"/>
      <c r="I44" s="95"/>
      <c r="J44" s="95"/>
      <c r="K44" s="95"/>
      <c r="L44" s="95"/>
      <c r="M44" s="109"/>
      <c r="N44" s="92" t="s">
        <v>573</v>
      </c>
    </row>
    <row r="45" spans="1:15" ht="12" thickBot="1">
      <c r="A45" s="570"/>
      <c r="B45" s="314"/>
      <c r="C45" s="563"/>
      <c r="D45" s="469">
        <f>SUM(D33:D44)</f>
        <v>366.94000000000005</v>
      </c>
      <c r="E45" s="469">
        <f>SUM(E33:E44)</f>
        <v>73.099999999999994</v>
      </c>
      <c r="F45" s="564">
        <f>D45+E45</f>
        <v>440.04000000000008</v>
      </c>
      <c r="G45" s="469">
        <f>SUM(G33:G44)</f>
        <v>141.80000000000001</v>
      </c>
      <c r="H45" s="469">
        <f>SUM(H33:H44)</f>
        <v>27.270000000000003</v>
      </c>
      <c r="I45" s="564">
        <f>G45+H45</f>
        <v>169.07000000000002</v>
      </c>
      <c r="J45" s="556">
        <f t="shared" ref="J45:K45" si="4">SUM(J33:J44)</f>
        <v>225.14000000000001</v>
      </c>
      <c r="K45" s="556">
        <f t="shared" si="4"/>
        <v>45.829999999999991</v>
      </c>
      <c r="L45" s="556">
        <f>J45+K45</f>
        <v>270.97000000000003</v>
      </c>
      <c r="M45" s="251">
        <f>SUM(M33:M44)</f>
        <v>4123</v>
      </c>
      <c r="O45" s="521" t="s">
        <v>574</v>
      </c>
    </row>
    <row r="46" spans="1:15">
      <c r="G46" s="228"/>
      <c r="H46" s="228"/>
      <c r="J46" s="228"/>
      <c r="K46" s="228"/>
      <c r="L46" s="228">
        <f>L32+L45</f>
        <v>608.72</v>
      </c>
    </row>
    <row r="47" spans="1:15">
      <c r="B47" s="109"/>
      <c r="C47" s="235"/>
      <c r="D47" s="235"/>
      <c r="E47" s="141"/>
      <c r="G47" s="156"/>
    </row>
    <row r="48" spans="1:15">
      <c r="A48" s="571">
        <v>2007</v>
      </c>
      <c r="B48" s="284"/>
      <c r="C48" s="170" t="s">
        <v>131</v>
      </c>
      <c r="D48" s="378">
        <v>214.5</v>
      </c>
      <c r="E48" s="378"/>
      <c r="F48" s="378"/>
      <c r="G48" s="378">
        <v>214.5</v>
      </c>
      <c r="H48" s="170"/>
      <c r="K48" s="165" t="s">
        <v>144</v>
      </c>
    </row>
    <row r="49" spans="1:53">
      <c r="A49" s="571"/>
      <c r="B49" s="284"/>
      <c r="C49" s="170" t="s">
        <v>583</v>
      </c>
      <c r="D49" s="378">
        <v>214.5</v>
      </c>
      <c r="E49" s="378"/>
      <c r="F49" s="378"/>
      <c r="G49" s="378">
        <v>214.5</v>
      </c>
      <c r="H49" s="170"/>
    </row>
    <row r="50" spans="1:53">
      <c r="A50" s="571"/>
      <c r="B50" s="284"/>
      <c r="C50" s="284" t="s">
        <v>148</v>
      </c>
      <c r="D50" s="378">
        <v>6.5</v>
      </c>
      <c r="E50" s="378"/>
      <c r="F50" s="378"/>
      <c r="G50" s="378">
        <v>6.5</v>
      </c>
      <c r="H50" s="170"/>
    </row>
    <row r="51" spans="1:53">
      <c r="A51" s="571"/>
      <c r="B51" s="284"/>
      <c r="C51" s="284" t="s">
        <v>149</v>
      </c>
      <c r="D51" s="378">
        <v>13</v>
      </c>
      <c r="E51" s="378"/>
      <c r="F51" s="378"/>
      <c r="G51" s="378">
        <v>13</v>
      </c>
      <c r="H51" s="170"/>
    </row>
    <row r="52" spans="1:53">
      <c r="A52" s="571"/>
      <c r="B52" s="284"/>
      <c r="C52" s="284" t="s">
        <v>150</v>
      </c>
      <c r="D52" s="378">
        <v>26</v>
      </c>
      <c r="E52" s="378"/>
      <c r="F52" s="378"/>
      <c r="G52" s="378">
        <v>26</v>
      </c>
      <c r="H52" s="170"/>
    </row>
    <row r="53" spans="1:53" ht="12" thickBot="1">
      <c r="A53" s="572"/>
      <c r="B53" s="285"/>
      <c r="C53" s="283" t="s">
        <v>151</v>
      </c>
      <c r="D53" s="374">
        <v>3.9</v>
      </c>
      <c r="E53" s="374"/>
      <c r="F53" s="374"/>
      <c r="G53" s="374">
        <v>3.9</v>
      </c>
      <c r="H53" s="367">
        <f>SUM(G48:G53)</f>
        <v>478.4</v>
      </c>
    </row>
    <row r="54" spans="1:53" s="94" customFormat="1" ht="12" thickBot="1">
      <c r="A54" s="575">
        <v>2008</v>
      </c>
      <c r="B54" s="285"/>
      <c r="C54" s="285" t="s">
        <v>145</v>
      </c>
      <c r="D54" s="285">
        <v>910</v>
      </c>
      <c r="E54" s="469"/>
      <c r="F54" s="469"/>
      <c r="G54" s="367">
        <v>910</v>
      </c>
      <c r="H54" s="470"/>
      <c r="I54" s="109"/>
      <c r="J54" s="109"/>
      <c r="K54" s="109"/>
      <c r="L54" s="109"/>
      <c r="N54" s="225"/>
      <c r="O54" s="247"/>
      <c r="P54" s="95"/>
      <c r="Q54" s="95"/>
      <c r="R54" s="95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225"/>
    </row>
    <row r="55" spans="1:53" s="94" customFormat="1" ht="12" thickBot="1">
      <c r="A55" s="472">
        <v>2009</v>
      </c>
      <c r="B55" s="311"/>
      <c r="C55" s="311"/>
      <c r="D55" s="311"/>
      <c r="E55" s="311"/>
      <c r="F55" s="311"/>
      <c r="G55" s="474">
        <f t="shared" ref="G55" si="5">E55+F55</f>
        <v>0</v>
      </c>
      <c r="H55" s="311"/>
      <c r="I55" s="109"/>
      <c r="J55" s="109"/>
      <c r="K55" s="109"/>
      <c r="L55" s="109"/>
      <c r="N55" s="225"/>
      <c r="O55" s="235"/>
      <c r="P55" s="113"/>
      <c r="Q55" s="95"/>
      <c r="R55" s="95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225"/>
    </row>
    <row r="56" spans="1:53">
      <c r="A56" s="573">
        <v>2010</v>
      </c>
      <c r="B56" s="284"/>
      <c r="C56" s="614" t="s">
        <v>152</v>
      </c>
      <c r="D56" s="611">
        <v>20.8</v>
      </c>
      <c r="E56" s="612"/>
      <c r="F56" s="612"/>
      <c r="G56" s="613">
        <v>13</v>
      </c>
      <c r="H56" s="612"/>
      <c r="I56" s="615"/>
      <c r="J56" s="237"/>
      <c r="K56" s="237"/>
      <c r="L56" s="237"/>
      <c r="O56" s="247"/>
      <c r="P56" s="235"/>
      <c r="Q56" s="235"/>
      <c r="R56" s="235"/>
      <c r="S56" s="237"/>
      <c r="T56" s="237"/>
      <c r="U56" s="237"/>
      <c r="V56" s="237"/>
      <c r="W56" s="237"/>
      <c r="X56" s="237"/>
      <c r="Y56" s="237"/>
      <c r="Z56" s="235"/>
      <c r="AA56" s="235"/>
      <c r="AB56" s="237"/>
    </row>
    <row r="57" spans="1:53">
      <c r="A57" s="574"/>
      <c r="B57" s="284"/>
      <c r="C57" s="289" t="s">
        <v>153</v>
      </c>
      <c r="D57" s="378">
        <v>15.66</v>
      </c>
      <c r="E57" s="378">
        <v>3.01</v>
      </c>
      <c r="F57" s="378"/>
      <c r="G57" s="378">
        <v>15.66</v>
      </c>
      <c r="H57" s="378">
        <v>3.01</v>
      </c>
      <c r="I57" s="235">
        <f>SUM(G57:H57)</f>
        <v>18.670000000000002</v>
      </c>
      <c r="J57" s="237"/>
      <c r="K57" s="237"/>
      <c r="L57" s="237"/>
      <c r="O57" s="235"/>
      <c r="P57" s="235"/>
      <c r="Q57" s="235"/>
      <c r="R57" s="235"/>
      <c r="S57" s="237"/>
      <c r="T57" s="237"/>
      <c r="U57" s="237"/>
      <c r="V57" s="237"/>
      <c r="W57" s="237"/>
      <c r="X57" s="237"/>
      <c r="Y57" s="237"/>
      <c r="Z57" s="235"/>
      <c r="AA57" s="235"/>
      <c r="AB57" s="237"/>
    </row>
    <row r="58" spans="1:53">
      <c r="A58" s="574"/>
      <c r="B58" s="284"/>
      <c r="C58" s="610" t="s">
        <v>154</v>
      </c>
      <c r="D58" s="611">
        <v>31.33</v>
      </c>
      <c r="E58" s="611">
        <v>6.02</v>
      </c>
      <c r="F58" s="611"/>
      <c r="G58" s="611">
        <v>31.33</v>
      </c>
      <c r="H58" s="611">
        <v>6.02</v>
      </c>
      <c r="I58" s="612">
        <f>SUM(G58:H58)</f>
        <v>37.349999999999994</v>
      </c>
      <c r="J58" s="613">
        <f>SUM(I57:I58)</f>
        <v>56.019999999999996</v>
      </c>
      <c r="K58" s="237" t="s">
        <v>155</v>
      </c>
      <c r="L58" s="237"/>
      <c r="O58" s="235"/>
      <c r="P58" s="235"/>
      <c r="Q58" s="235"/>
      <c r="R58" s="235"/>
      <c r="S58" s="237"/>
      <c r="T58" s="237"/>
      <c r="U58" s="237"/>
      <c r="V58" s="237"/>
      <c r="W58" s="237"/>
      <c r="X58" s="237"/>
      <c r="Y58" s="237"/>
      <c r="Z58" s="235"/>
      <c r="AA58" s="235"/>
      <c r="AB58" s="237"/>
    </row>
    <row r="59" spans="1:53">
      <c r="A59" s="574"/>
      <c r="B59" s="284"/>
      <c r="C59" s="170" t="s">
        <v>158</v>
      </c>
      <c r="D59" s="378">
        <v>482.7</v>
      </c>
      <c r="E59" s="378">
        <v>92.83</v>
      </c>
      <c r="F59" s="378"/>
      <c r="G59" s="378">
        <v>482.7</v>
      </c>
      <c r="H59" s="378">
        <v>92.83</v>
      </c>
      <c r="I59" s="235">
        <f>SUM(G59:H59)</f>
        <v>575.53</v>
      </c>
      <c r="J59" s="237"/>
      <c r="K59" s="237" t="s">
        <v>140</v>
      </c>
      <c r="L59" s="237"/>
      <c r="O59" s="235"/>
      <c r="P59" s="235"/>
      <c r="Q59" s="235"/>
      <c r="R59" s="235"/>
      <c r="S59" s="237"/>
      <c r="T59" s="237"/>
      <c r="U59" s="237"/>
      <c r="V59" s="237"/>
      <c r="W59" s="237"/>
      <c r="X59" s="237"/>
      <c r="Y59" s="237"/>
      <c r="Z59" s="235"/>
      <c r="AA59" s="235"/>
      <c r="AB59" s="237"/>
    </row>
    <row r="60" spans="1:53">
      <c r="A60" s="574"/>
      <c r="B60" s="284"/>
      <c r="C60" s="775" t="s">
        <v>159</v>
      </c>
      <c r="D60" s="378">
        <v>532.24</v>
      </c>
      <c r="E60" s="378">
        <v>102.35</v>
      </c>
      <c r="F60" s="378"/>
      <c r="G60" s="378">
        <v>532.24</v>
      </c>
      <c r="H60" s="378">
        <v>102.35</v>
      </c>
      <c r="I60" s="235">
        <f>SUM(G60:H60)</f>
        <v>634.59</v>
      </c>
      <c r="J60" s="237"/>
      <c r="K60" s="606" t="s">
        <v>141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</row>
    <row r="61" spans="1:53">
      <c r="A61" s="574"/>
      <c r="B61" s="284"/>
      <c r="C61" s="775"/>
      <c r="D61" s="607"/>
      <c r="E61" s="607"/>
      <c r="F61" s="607"/>
      <c r="G61" s="607"/>
      <c r="H61" s="471"/>
      <c r="I61" s="109"/>
      <c r="J61" s="109"/>
      <c r="K61" s="606" t="s">
        <v>142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</row>
    <row r="62" spans="1:53" ht="12" thickBot="1">
      <c r="A62" s="575"/>
      <c r="B62" s="285"/>
      <c r="C62" s="380" t="s">
        <v>157</v>
      </c>
      <c r="D62" s="469">
        <v>228.11</v>
      </c>
      <c r="E62" s="469">
        <v>43.67</v>
      </c>
      <c r="F62" s="469"/>
      <c r="G62" s="469">
        <v>228.11</v>
      </c>
      <c r="H62" s="469">
        <v>43.67</v>
      </c>
      <c r="I62" s="268">
        <f>SUM(G62:H62)</f>
        <v>271.78000000000003</v>
      </c>
      <c r="J62" s="367">
        <f>SUM(I59:I62)</f>
        <v>1481.8999999999999</v>
      </c>
      <c r="K62" s="237" t="s">
        <v>184</v>
      </c>
      <c r="L62" s="237"/>
      <c r="O62" s="235"/>
      <c r="P62" s="235"/>
      <c r="Q62" s="235"/>
      <c r="R62" s="235"/>
      <c r="S62" s="237"/>
      <c r="T62" s="237"/>
      <c r="U62" s="237"/>
      <c r="V62" s="237"/>
      <c r="W62" s="237"/>
      <c r="X62" s="237"/>
      <c r="Y62" s="237"/>
      <c r="Z62" s="235"/>
      <c r="AA62" s="235"/>
      <c r="AB62" s="237"/>
    </row>
    <row r="63" spans="1:53">
      <c r="A63" s="605">
        <v>2011</v>
      </c>
      <c r="B63" s="287"/>
      <c r="C63" s="616" t="s">
        <v>134</v>
      </c>
      <c r="D63" s="617">
        <v>85.42</v>
      </c>
      <c r="E63" s="617">
        <v>16.43</v>
      </c>
      <c r="F63" s="617"/>
      <c r="G63" s="617">
        <v>85.42</v>
      </c>
      <c r="H63" s="617">
        <v>16.43</v>
      </c>
      <c r="I63" s="618">
        <f>G63+H63</f>
        <v>101.85</v>
      </c>
      <c r="J63" s="237"/>
      <c r="K63" s="237" t="s">
        <v>584</v>
      </c>
      <c r="L63" s="237"/>
      <c r="O63" s="247"/>
      <c r="P63" s="235"/>
      <c r="Q63" s="235"/>
      <c r="R63" s="235"/>
      <c r="S63" s="237"/>
      <c r="T63" s="237"/>
      <c r="U63" s="237"/>
      <c r="V63" s="237"/>
      <c r="W63" s="237"/>
      <c r="X63" s="237"/>
      <c r="Y63" s="237"/>
      <c r="Z63" s="235"/>
      <c r="AA63" s="235"/>
      <c r="AB63" s="237"/>
    </row>
    <row r="64" spans="1:53">
      <c r="A64" s="571"/>
      <c r="B64" s="284"/>
      <c r="C64" s="619" t="s">
        <v>160</v>
      </c>
      <c r="D64" s="620">
        <v>388.56</v>
      </c>
      <c r="E64" s="620">
        <v>74.72</v>
      </c>
      <c r="F64" s="620"/>
      <c r="G64" s="620">
        <v>388.56</v>
      </c>
      <c r="H64" s="620">
        <v>74.72</v>
      </c>
      <c r="I64" s="621">
        <f>SUM(G64:H64)</f>
        <v>463.28</v>
      </c>
      <c r="J64" s="237"/>
      <c r="K64" s="237" t="s">
        <v>161</v>
      </c>
      <c r="L64" s="237"/>
      <c r="O64" s="247"/>
      <c r="P64" s="235"/>
      <c r="Q64" s="235"/>
      <c r="R64" s="235"/>
      <c r="S64" s="237"/>
      <c r="T64" s="237"/>
      <c r="U64" s="237"/>
      <c r="V64" s="237"/>
      <c r="W64" s="237"/>
      <c r="X64" s="237"/>
      <c r="Y64" s="237"/>
      <c r="Z64" s="235"/>
      <c r="AA64" s="235"/>
      <c r="AB64" s="237"/>
    </row>
    <row r="65" spans="1:28">
      <c r="A65" s="571"/>
      <c r="B65" s="284"/>
      <c r="C65" s="170" t="s">
        <v>135</v>
      </c>
      <c r="D65" s="378">
        <v>18.97</v>
      </c>
      <c r="E65" s="378">
        <v>3.65</v>
      </c>
      <c r="F65" s="378"/>
      <c r="G65" s="378"/>
      <c r="H65" s="265"/>
      <c r="I65" s="237"/>
      <c r="J65" s="237"/>
      <c r="K65" s="237" t="s">
        <v>162</v>
      </c>
      <c r="L65" s="237"/>
      <c r="O65" s="247"/>
      <c r="P65" s="235"/>
      <c r="Q65" s="378">
        <v>18.97</v>
      </c>
      <c r="R65" s="378">
        <v>3.65</v>
      </c>
      <c r="S65" s="235">
        <f>Q65+R65</f>
        <v>22.619999999999997</v>
      </c>
      <c r="T65" s="237"/>
      <c r="U65" s="237"/>
      <c r="V65" s="237"/>
      <c r="W65" s="237"/>
      <c r="X65" s="237"/>
      <c r="Y65" s="237"/>
      <c r="Z65" s="235"/>
      <c r="AA65" s="235"/>
      <c r="AB65" s="237"/>
    </row>
    <row r="66" spans="1:28">
      <c r="A66" s="571"/>
      <c r="B66" s="284"/>
      <c r="C66" s="170" t="s">
        <v>136</v>
      </c>
      <c r="D66" s="378">
        <v>51.88</v>
      </c>
      <c r="E66" s="378">
        <v>9.98</v>
      </c>
      <c r="F66" s="378"/>
      <c r="G66" s="378"/>
      <c r="H66" s="265"/>
      <c r="I66" s="237"/>
      <c r="J66" s="237"/>
      <c r="K66" s="237" t="s">
        <v>139</v>
      </c>
      <c r="L66" s="237"/>
      <c r="O66" s="247"/>
      <c r="P66" s="235"/>
      <c r="Q66" s="378">
        <v>51.88</v>
      </c>
      <c r="R66" s="378">
        <v>9.98</v>
      </c>
      <c r="S66" s="235">
        <f t="shared" ref="S66:S68" si="6">Q66+R66</f>
        <v>61.86</v>
      </c>
      <c r="T66" s="237"/>
      <c r="U66" s="237"/>
      <c r="V66" s="237"/>
      <c r="W66" s="237"/>
      <c r="X66" s="237"/>
      <c r="Y66" s="237"/>
      <c r="Z66" s="235"/>
      <c r="AA66" s="235"/>
      <c r="AB66" s="237"/>
    </row>
    <row r="67" spans="1:28">
      <c r="A67" s="571"/>
      <c r="B67" s="284"/>
      <c r="C67" s="170" t="s">
        <v>137</v>
      </c>
      <c r="D67" s="378">
        <v>69.91</v>
      </c>
      <c r="E67" s="378">
        <v>13.44</v>
      </c>
      <c r="F67" s="378"/>
      <c r="G67" s="378"/>
      <c r="H67" s="265"/>
      <c r="I67" s="237"/>
      <c r="J67" s="237"/>
      <c r="K67" s="237" t="s">
        <v>139</v>
      </c>
      <c r="L67" s="237"/>
      <c r="O67" s="247"/>
      <c r="P67" s="235"/>
      <c r="Q67" s="378">
        <v>69.91</v>
      </c>
      <c r="R67" s="378">
        <v>13.44</v>
      </c>
      <c r="S67" s="235">
        <f t="shared" si="6"/>
        <v>83.35</v>
      </c>
      <c r="T67" s="237"/>
      <c r="U67" s="237"/>
      <c r="V67" s="237"/>
      <c r="W67" s="237"/>
      <c r="X67" s="237"/>
      <c r="Y67" s="237"/>
      <c r="Z67" s="235"/>
      <c r="AA67" s="235"/>
      <c r="AB67" s="237"/>
    </row>
    <row r="68" spans="1:28" ht="12" thickBot="1">
      <c r="A68" s="572"/>
      <c r="B68" s="285"/>
      <c r="C68" s="268" t="s">
        <v>138</v>
      </c>
      <c r="D68" s="374">
        <v>70.89</v>
      </c>
      <c r="E68" s="374">
        <v>13.63</v>
      </c>
      <c r="F68" s="374"/>
      <c r="G68" s="378"/>
      <c r="H68" s="367">
        <f>G65+G66+G67+G68</f>
        <v>0</v>
      </c>
      <c r="I68" s="267"/>
      <c r="J68" s="267"/>
      <c r="K68" s="237" t="s">
        <v>139</v>
      </c>
      <c r="L68" s="237"/>
      <c r="O68" s="247"/>
      <c r="P68" s="235"/>
      <c r="Q68" s="374">
        <v>70.89</v>
      </c>
      <c r="R68" s="374">
        <v>13.63</v>
      </c>
      <c r="S68" s="268">
        <f t="shared" si="6"/>
        <v>84.52</v>
      </c>
      <c r="T68" s="268">
        <f>SUM(S65:S68)</f>
        <v>252.34999999999997</v>
      </c>
      <c r="U68" s="237"/>
      <c r="V68" s="237"/>
      <c r="W68" s="237"/>
      <c r="X68" s="237"/>
      <c r="Y68" s="237"/>
      <c r="Z68" s="235"/>
      <c r="AA68" s="235"/>
      <c r="AB68" s="237"/>
    </row>
    <row r="69" spans="1:28" ht="12" thickBot="1">
      <c r="A69" s="312">
        <v>2012</v>
      </c>
      <c r="B69" s="311"/>
      <c r="C69" s="473" t="s">
        <v>116</v>
      </c>
      <c r="D69" s="474">
        <v>230.8</v>
      </c>
      <c r="E69" s="474">
        <v>44.38</v>
      </c>
      <c r="F69" s="474"/>
      <c r="G69" s="474">
        <v>230.8</v>
      </c>
      <c r="H69" s="474">
        <v>44.38</v>
      </c>
      <c r="I69" s="371">
        <f>SUM(G69:H69)</f>
        <v>275.18</v>
      </c>
      <c r="J69" s="473"/>
      <c r="K69" s="237"/>
      <c r="L69" s="237"/>
      <c r="O69" s="235"/>
      <c r="P69" s="247"/>
      <c r="Q69" s="235"/>
      <c r="R69" s="235"/>
      <c r="S69" s="237"/>
      <c r="T69" s="237"/>
      <c r="U69" s="237"/>
      <c r="V69" s="237"/>
      <c r="W69" s="237"/>
      <c r="X69" s="237"/>
      <c r="Y69" s="237"/>
      <c r="Z69" s="235"/>
      <c r="AA69" s="235"/>
      <c r="AB69" s="237"/>
    </row>
    <row r="70" spans="1:28">
      <c r="A70" s="94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5"/>
      <c r="P70" s="235"/>
      <c r="Q70" s="235"/>
      <c r="R70" s="235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</row>
    <row r="71" spans="1:28">
      <c r="B71" s="237"/>
      <c r="C71" s="237"/>
      <c r="D71" s="237"/>
      <c r="E71" s="237"/>
      <c r="F71" s="237"/>
      <c r="G71" s="237"/>
      <c r="H71" s="237"/>
      <c r="I71" s="237"/>
      <c r="J71" s="235"/>
      <c r="K71" s="237"/>
      <c r="L71" s="237"/>
      <c r="M71" s="237"/>
      <c r="N71" s="237"/>
      <c r="O71" s="235"/>
      <c r="P71" s="235"/>
      <c r="Q71" s="235"/>
      <c r="R71" s="235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</row>
    <row r="72" spans="1:28">
      <c r="G72" s="225" t="s">
        <v>618</v>
      </c>
      <c r="H72" s="228">
        <f>H53+I69</f>
        <v>753.57999999999993</v>
      </c>
    </row>
    <row r="73" spans="1:28">
      <c r="G73" s="225" t="s">
        <v>618</v>
      </c>
      <c r="H73" s="228">
        <f>L45</f>
        <v>270.97000000000003</v>
      </c>
    </row>
    <row r="78" spans="1:28" ht="1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</row>
  </sheetData>
  <mergeCells count="21">
    <mergeCell ref="X1:Y1"/>
    <mergeCell ref="Z1:AB1"/>
    <mergeCell ref="A21:Y21"/>
    <mergeCell ref="A23:Y23"/>
    <mergeCell ref="A25:Y25"/>
    <mergeCell ref="T1:U1"/>
    <mergeCell ref="V1:W1"/>
    <mergeCell ref="L1:M1"/>
    <mergeCell ref="N1:O1"/>
    <mergeCell ref="P1:Q1"/>
    <mergeCell ref="R1:S1"/>
    <mergeCell ref="A1:A2"/>
    <mergeCell ref="B1:C1"/>
    <mergeCell ref="D1:E1"/>
    <mergeCell ref="F1:G1"/>
    <mergeCell ref="H1:I1"/>
    <mergeCell ref="J1:K1"/>
    <mergeCell ref="D28:E28"/>
    <mergeCell ref="G28:H28"/>
    <mergeCell ref="J28:K28"/>
    <mergeCell ref="C60:C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31"/>
  <sheetViews>
    <sheetView workbookViewId="0">
      <pane ySplit="1" topLeftCell="A2" activePane="bottomLeft" state="frozen"/>
      <selection pane="bottomLeft" activeCell="F35" sqref="F35"/>
    </sheetView>
  </sheetViews>
  <sheetFormatPr defaultRowHeight="14.25"/>
  <cols>
    <col min="1" max="1" width="6.6640625" style="390" customWidth="1"/>
    <col min="2" max="2" width="8.44140625" style="390" bestFit="1" customWidth="1"/>
    <col min="3" max="3" width="3.21875" style="390" customWidth="1"/>
    <col min="4" max="4" width="3.109375" style="390" customWidth="1"/>
    <col min="5" max="5" width="10.33203125" style="390" bestFit="1" customWidth="1"/>
    <col min="6" max="7" width="8.109375" style="390" bestFit="1" customWidth="1"/>
    <col min="8" max="8" width="3.109375" style="390" customWidth="1"/>
    <col min="9" max="9" width="3.44140625" style="390" customWidth="1"/>
    <col min="10" max="10" width="8.109375" style="390" bestFit="1" customWidth="1"/>
    <col min="11" max="11" width="7.21875" style="390" bestFit="1" customWidth="1"/>
    <col min="12" max="12" width="4.5546875" style="390" customWidth="1"/>
    <col min="13" max="13" width="4.44140625" style="390" customWidth="1"/>
    <col min="14" max="14" width="8.109375" style="390" bestFit="1" customWidth="1"/>
    <col min="15" max="15" width="9.44140625" style="390" bestFit="1" customWidth="1"/>
    <col min="16" max="16" width="12.6640625" style="390" bestFit="1" customWidth="1"/>
    <col min="17" max="17" width="9.44140625" style="390" bestFit="1" customWidth="1"/>
    <col min="18" max="18" width="4.33203125" style="390" customWidth="1"/>
    <col min="19" max="19" width="7.21875" style="390" bestFit="1" customWidth="1"/>
    <col min="20" max="25" width="5.5546875" style="390" bestFit="1" customWidth="1"/>
    <col min="26" max="28" width="7.21875" style="390" bestFit="1" customWidth="1"/>
    <col min="29" max="30" width="5.5546875" style="390" bestFit="1" customWidth="1"/>
    <col min="31" max="31" width="7.21875" style="390" bestFit="1" customWidth="1"/>
    <col min="32" max="32" width="8.77734375" style="390" bestFit="1" customWidth="1"/>
    <col min="33" max="34" width="5.6640625" style="390" bestFit="1" customWidth="1"/>
    <col min="35" max="16384" width="8.88671875" style="390"/>
  </cols>
  <sheetData>
    <row r="1" spans="1:34" ht="29.25" thickBot="1">
      <c r="A1" s="384"/>
      <c r="B1" s="385" t="s">
        <v>18</v>
      </c>
      <c r="C1" s="386" t="s">
        <v>19</v>
      </c>
      <c r="D1" s="385" t="s">
        <v>20</v>
      </c>
      <c r="E1" s="387" t="s">
        <v>21</v>
      </c>
      <c r="F1" s="385" t="s">
        <v>2</v>
      </c>
      <c r="G1" s="386" t="s">
        <v>22</v>
      </c>
      <c r="H1" s="385" t="s">
        <v>23</v>
      </c>
      <c r="I1" s="387" t="s">
        <v>24</v>
      </c>
      <c r="J1" s="385" t="s">
        <v>25</v>
      </c>
      <c r="K1" s="386" t="s">
        <v>26</v>
      </c>
      <c r="L1" s="385" t="s">
        <v>27</v>
      </c>
      <c r="M1" s="387" t="s">
        <v>28</v>
      </c>
      <c r="N1" s="388" t="s">
        <v>68</v>
      </c>
      <c r="O1" s="388" t="s">
        <v>54</v>
      </c>
      <c r="P1" s="389" t="s">
        <v>210</v>
      </c>
      <c r="Q1" s="388" t="s">
        <v>54</v>
      </c>
      <c r="AE1" s="391">
        <f t="shared" ref="AE1:AE2" si="0">SUM(S1:AD1)</f>
        <v>0</v>
      </c>
    </row>
    <row r="2" spans="1:34" ht="15">
      <c r="A2" s="392">
        <v>1998</v>
      </c>
      <c r="B2" s="400"/>
      <c r="C2" s="400"/>
      <c r="D2" s="400"/>
      <c r="E2" s="400"/>
      <c r="F2" s="400"/>
      <c r="G2" s="400"/>
      <c r="H2" s="400"/>
      <c r="I2" s="400"/>
      <c r="J2" s="400"/>
      <c r="K2" s="393">
        <v>50.2</v>
      </c>
      <c r="L2" s="394"/>
      <c r="M2" s="394"/>
      <c r="N2" s="393">
        <f>SUM(J2:M2)</f>
        <v>50.2</v>
      </c>
      <c r="O2" s="425">
        <v>749</v>
      </c>
      <c r="P2" s="393">
        <f>N2*R2</f>
        <v>15.06</v>
      </c>
      <c r="Q2" s="425">
        <f>O2*30%</f>
        <v>224.7</v>
      </c>
      <c r="R2" s="602">
        <v>0.3</v>
      </c>
      <c r="S2" s="395"/>
      <c r="T2" s="395"/>
      <c r="U2" s="395"/>
      <c r="V2" s="395"/>
      <c r="W2" s="395"/>
      <c r="X2" s="395"/>
      <c r="Y2" s="395"/>
      <c r="Z2" s="395"/>
      <c r="AA2" s="395"/>
      <c r="AB2" s="395">
        <v>609</v>
      </c>
      <c r="AC2" s="395"/>
      <c r="AD2" s="395"/>
      <c r="AE2" s="396">
        <f t="shared" si="0"/>
        <v>609</v>
      </c>
      <c r="AF2" s="395"/>
      <c r="AG2" s="395"/>
      <c r="AH2" s="395"/>
    </row>
    <row r="3" spans="1:34" ht="15">
      <c r="A3" s="397">
        <v>1999</v>
      </c>
      <c r="B3" s="398">
        <f>G21</f>
        <v>190.45047688921497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3">
        <f>SUM(B3:M3)</f>
        <v>190.45047688921497</v>
      </c>
      <c r="O3" s="425">
        <v>2686</v>
      </c>
      <c r="P3" s="393">
        <f t="shared" ref="P3:P5" si="1">N3*R3</f>
        <v>76.180190755685985</v>
      </c>
      <c r="Q3" s="425">
        <f>O3*40%</f>
        <v>1074.4000000000001</v>
      </c>
      <c r="R3" s="602">
        <v>0.4</v>
      </c>
      <c r="S3" s="395">
        <v>2181</v>
      </c>
      <c r="T3" s="395">
        <v>0</v>
      </c>
      <c r="U3" s="395">
        <v>0</v>
      </c>
      <c r="V3" s="395">
        <v>0</v>
      </c>
      <c r="W3" s="395">
        <v>0</v>
      </c>
      <c r="X3" s="395">
        <v>0</v>
      </c>
      <c r="Y3" s="395">
        <v>0</v>
      </c>
      <c r="Z3" s="395">
        <v>0</v>
      </c>
      <c r="AA3" s="395"/>
      <c r="AB3" s="395">
        <v>0</v>
      </c>
      <c r="AC3" s="395">
        <v>0</v>
      </c>
      <c r="AD3" s="395">
        <v>0</v>
      </c>
      <c r="AE3" s="396">
        <f>SUM(S3:AD3)</f>
        <v>2181</v>
      </c>
      <c r="AF3" s="399"/>
    </row>
    <row r="4" spans="1:34">
      <c r="A4" s="397">
        <v>2000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3">
        <f t="shared" ref="N4:N5" si="2">SUM(B4:M4)</f>
        <v>0</v>
      </c>
      <c r="O4" s="425">
        <f t="shared" ref="O4:O5" si="3">AE4</f>
        <v>0</v>
      </c>
      <c r="P4" s="393">
        <f t="shared" si="1"/>
        <v>0</v>
      </c>
      <c r="Q4" s="425">
        <f t="shared" ref="Q4:Q5" si="4">O4*30%</f>
        <v>0</v>
      </c>
      <c r="R4" s="602">
        <v>0.45</v>
      </c>
    </row>
    <row r="5" spans="1:34">
      <c r="A5" s="397">
        <v>2001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3">
        <f t="shared" si="2"/>
        <v>0</v>
      </c>
      <c r="O5" s="425">
        <f t="shared" si="3"/>
        <v>0</v>
      </c>
      <c r="P5" s="393">
        <f t="shared" si="1"/>
        <v>0</v>
      </c>
      <c r="Q5" s="425">
        <f t="shared" si="4"/>
        <v>0</v>
      </c>
      <c r="R5" s="602">
        <v>0.4</v>
      </c>
    </row>
    <row r="6" spans="1:34"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398">
        <f>SUM(N2:N5)</f>
        <v>240.65047688921499</v>
      </c>
      <c r="O6" s="426">
        <f t="shared" ref="O6:Q6" si="5">SUM(O2:O5)</f>
        <v>3435</v>
      </c>
      <c r="P6" s="398">
        <f t="shared" si="5"/>
        <v>91.240190755685987</v>
      </c>
      <c r="Q6" s="426">
        <f t="shared" si="5"/>
        <v>1299.1000000000001</v>
      </c>
    </row>
    <row r="7" spans="1:34" ht="15">
      <c r="P7" s="403"/>
    </row>
    <row r="8" spans="1:34">
      <c r="O8" s="245" t="s">
        <v>386</v>
      </c>
      <c r="P8" s="399">
        <v>46061</v>
      </c>
    </row>
    <row r="9" spans="1:34" ht="15">
      <c r="A9" s="779" t="s">
        <v>558</v>
      </c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</row>
    <row r="11" spans="1:34">
      <c r="B11" s="390" t="s">
        <v>286</v>
      </c>
    </row>
    <row r="12" spans="1:34" ht="15">
      <c r="A12" s="780" t="s">
        <v>284</v>
      </c>
      <c r="B12" s="582">
        <v>66</v>
      </c>
      <c r="C12" s="582"/>
      <c r="D12" s="582"/>
      <c r="E12" s="584">
        <v>1000</v>
      </c>
      <c r="F12" s="584"/>
      <c r="G12" s="591"/>
    </row>
    <row r="13" spans="1:34" ht="15">
      <c r="A13" s="780"/>
      <c r="B13" s="582">
        <v>67</v>
      </c>
      <c r="C13" s="582"/>
      <c r="D13" s="582"/>
      <c r="E13" s="584">
        <v>4375</v>
      </c>
      <c r="F13" s="584"/>
      <c r="G13" s="591"/>
    </row>
    <row r="14" spans="1:34" ht="15">
      <c r="A14" s="780"/>
      <c r="B14" s="582">
        <v>69</v>
      </c>
      <c r="C14" s="582"/>
      <c r="D14" s="582"/>
      <c r="E14" s="584">
        <v>3525</v>
      </c>
      <c r="F14" s="584"/>
      <c r="G14" s="591"/>
    </row>
    <row r="15" spans="1:34" ht="15">
      <c r="A15" s="780"/>
      <c r="B15" s="582">
        <v>70</v>
      </c>
      <c r="C15" s="582"/>
      <c r="D15" s="582"/>
      <c r="E15" s="584">
        <v>5706</v>
      </c>
      <c r="F15" s="584"/>
      <c r="G15" s="591"/>
      <c r="S15" s="390">
        <v>1</v>
      </c>
      <c r="T15" s="390">
        <v>2</v>
      </c>
      <c r="U15" s="390">
        <v>3</v>
      </c>
      <c r="V15" s="390">
        <v>4</v>
      </c>
      <c r="W15" s="390">
        <v>5</v>
      </c>
      <c r="X15" s="390">
        <v>6</v>
      </c>
      <c r="Y15" s="390">
        <v>7</v>
      </c>
      <c r="Z15" s="390">
        <v>8</v>
      </c>
      <c r="AA15" s="390">
        <v>9</v>
      </c>
      <c r="AB15" s="390">
        <v>10</v>
      </c>
      <c r="AC15" s="390">
        <v>11</v>
      </c>
      <c r="AD15" s="390">
        <v>12</v>
      </c>
    </row>
    <row r="16" spans="1:34" ht="15.75" thickBot="1">
      <c r="A16" s="781"/>
      <c r="B16" s="587">
        <v>71</v>
      </c>
      <c r="C16" s="587"/>
      <c r="D16" s="587"/>
      <c r="E16" s="592">
        <v>2500</v>
      </c>
      <c r="F16" s="589">
        <f>SUM(E12:E16)</f>
        <v>17106</v>
      </c>
      <c r="G16" s="590">
        <f>F16/340.75</f>
        <v>50.201027146001465</v>
      </c>
    </row>
    <row r="17" spans="1:32" ht="15">
      <c r="A17" s="782" t="s">
        <v>285</v>
      </c>
      <c r="B17" s="582">
        <v>253</v>
      </c>
      <c r="C17" s="582"/>
      <c r="D17" s="582"/>
      <c r="E17" s="583">
        <v>6750</v>
      </c>
      <c r="F17" s="584"/>
      <c r="G17" s="585"/>
    </row>
    <row r="18" spans="1:32">
      <c r="A18" s="782"/>
      <c r="B18" s="582">
        <v>254</v>
      </c>
      <c r="C18" s="582"/>
      <c r="D18" s="582"/>
      <c r="E18" s="586">
        <v>14961</v>
      </c>
      <c r="F18" s="582"/>
      <c r="G18" s="582"/>
    </row>
    <row r="19" spans="1:32">
      <c r="A19" s="782"/>
      <c r="B19" s="582">
        <v>255</v>
      </c>
      <c r="C19" s="582"/>
      <c r="D19" s="582"/>
      <c r="E19" s="586">
        <v>17124</v>
      </c>
      <c r="F19" s="582"/>
      <c r="G19" s="582"/>
    </row>
    <row r="20" spans="1:32">
      <c r="A20" s="782"/>
      <c r="B20" s="582">
        <v>256</v>
      </c>
      <c r="C20" s="582"/>
      <c r="D20" s="582"/>
      <c r="E20" s="586">
        <v>10209</v>
      </c>
      <c r="F20" s="582"/>
      <c r="G20" s="582"/>
    </row>
    <row r="21" spans="1:32" ht="15.75" thickBot="1">
      <c r="A21" s="783"/>
      <c r="B21" s="587">
        <v>257</v>
      </c>
      <c r="C21" s="587"/>
      <c r="D21" s="587"/>
      <c r="E21" s="588">
        <v>15852</v>
      </c>
      <c r="F21" s="589">
        <f>SUM(E17:E21)</f>
        <v>64896</v>
      </c>
      <c r="G21" s="590">
        <f>F21/340.75</f>
        <v>190.45047688921497</v>
      </c>
    </row>
    <row r="25" spans="1:32" ht="15">
      <c r="A25" s="397">
        <v>1998</v>
      </c>
      <c r="B25" s="400"/>
      <c r="C25" s="400"/>
      <c r="D25" s="400"/>
      <c r="E25" s="400"/>
      <c r="F25" s="400"/>
      <c r="G25" s="400"/>
      <c r="H25" s="400"/>
      <c r="I25" s="400"/>
      <c r="J25" s="400"/>
      <c r="K25" s="398">
        <v>50.2</v>
      </c>
      <c r="L25" s="443"/>
      <c r="M25" s="443"/>
      <c r="N25" s="398">
        <f>SUM(J25:M25)</f>
        <v>50.2</v>
      </c>
      <c r="O25" s="426">
        <v>1471</v>
      </c>
      <c r="P25" s="398">
        <f t="shared" ref="P25:P28" si="6">N25*R25</f>
        <v>15.06</v>
      </c>
      <c r="Q25" s="426">
        <f>O25*30%</f>
        <v>441.3</v>
      </c>
      <c r="R25" s="602">
        <v>0.3</v>
      </c>
      <c r="S25" s="395"/>
      <c r="T25" s="395"/>
      <c r="U25" s="395"/>
      <c r="V25" s="395"/>
      <c r="W25" s="395"/>
      <c r="X25" s="395"/>
      <c r="Y25" s="395"/>
      <c r="Z25" s="395"/>
      <c r="AA25" s="395"/>
      <c r="AB25" s="395">
        <v>1194</v>
      </c>
      <c r="AC25" s="395"/>
      <c r="AD25" s="395"/>
      <c r="AE25" s="396">
        <f t="shared" ref="AE25" si="7">SUM(S25:AD25)</f>
        <v>1194</v>
      </c>
      <c r="AF25" s="395"/>
    </row>
    <row r="26" spans="1:32" ht="15">
      <c r="A26" s="397">
        <v>1999</v>
      </c>
      <c r="B26" s="398">
        <v>190.45</v>
      </c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3">
        <f>SUM(B26:M26)</f>
        <v>190.45</v>
      </c>
      <c r="O26" s="426">
        <v>5271</v>
      </c>
      <c r="P26" s="393">
        <f t="shared" si="6"/>
        <v>76.179999999999993</v>
      </c>
      <c r="Q26" s="425">
        <f>O26*40%</f>
        <v>2108.4</v>
      </c>
      <c r="R26" s="602">
        <v>0.4</v>
      </c>
      <c r="S26" s="395">
        <v>4280</v>
      </c>
      <c r="T26" s="395">
        <v>0</v>
      </c>
      <c r="U26" s="395">
        <v>0</v>
      </c>
      <c r="V26" s="395">
        <v>0</v>
      </c>
      <c r="W26" s="395">
        <v>0</v>
      </c>
      <c r="X26" s="395">
        <v>0</v>
      </c>
      <c r="Y26" s="395">
        <v>0</v>
      </c>
      <c r="Z26" s="395">
        <v>0</v>
      </c>
      <c r="AA26" s="395"/>
      <c r="AB26" s="395">
        <v>0</v>
      </c>
      <c r="AC26" s="395">
        <v>0</v>
      </c>
      <c r="AD26" s="395">
        <v>0</v>
      </c>
      <c r="AE26" s="396">
        <f>SUM(S26:AD26)</f>
        <v>4280</v>
      </c>
      <c r="AF26" s="399"/>
    </row>
    <row r="27" spans="1:32">
      <c r="A27" s="397">
        <v>2000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3">
        <f t="shared" ref="N27:N28" si="8">SUM(B27:M27)</f>
        <v>0</v>
      </c>
      <c r="O27" s="426">
        <f t="shared" ref="O27:O28" si="9">AE27</f>
        <v>0</v>
      </c>
      <c r="P27" s="393">
        <f t="shared" si="6"/>
        <v>0</v>
      </c>
      <c r="Q27" s="425">
        <f t="shared" ref="Q27:Q28" si="10">O27*30%</f>
        <v>0</v>
      </c>
      <c r="R27" s="602">
        <v>0.45</v>
      </c>
    </row>
    <row r="28" spans="1:32">
      <c r="A28" s="397">
        <v>2001</v>
      </c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3">
        <f t="shared" si="8"/>
        <v>0</v>
      </c>
      <c r="O28" s="426">
        <f t="shared" si="9"/>
        <v>0</v>
      </c>
      <c r="P28" s="393">
        <f t="shared" si="6"/>
        <v>0</v>
      </c>
      <c r="Q28" s="425">
        <f t="shared" si="10"/>
        <v>0</v>
      </c>
      <c r="R28" s="602">
        <v>0.4</v>
      </c>
    </row>
    <row r="29" spans="1:32"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398">
        <f>SUM(N25:N28)</f>
        <v>240.64999999999998</v>
      </c>
      <c r="O29" s="426">
        <f t="shared" ref="O29:Q29" si="11">SUM(O25:O28)</f>
        <v>6742</v>
      </c>
      <c r="P29" s="398">
        <f t="shared" si="11"/>
        <v>91.24</v>
      </c>
      <c r="Q29" s="426">
        <f t="shared" si="11"/>
        <v>2549.7000000000003</v>
      </c>
    </row>
    <row r="30" spans="1:32" ht="15">
      <c r="P30" s="403">
        <v>299</v>
      </c>
    </row>
    <row r="31" spans="1:32">
      <c r="O31" s="245" t="s">
        <v>389</v>
      </c>
      <c r="P31" s="399">
        <v>46061</v>
      </c>
    </row>
  </sheetData>
  <mergeCells count="3">
    <mergeCell ref="A9:Q9"/>
    <mergeCell ref="A12:A16"/>
    <mergeCell ref="A17:A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110"/>
  <sheetViews>
    <sheetView workbookViewId="0">
      <pane ySplit="2" topLeftCell="A3" activePane="bottomLeft" state="frozen"/>
      <selection pane="bottomLeft" activeCell="L41" sqref="L41"/>
    </sheetView>
  </sheetViews>
  <sheetFormatPr defaultRowHeight="11.25"/>
  <cols>
    <col min="1" max="1" width="5.21875" style="225" bestFit="1" customWidth="1"/>
    <col min="2" max="2" width="6.44140625" style="225" bestFit="1" customWidth="1"/>
    <col min="3" max="3" width="7" style="225" bestFit="1" customWidth="1"/>
    <col min="4" max="5" width="6.33203125" style="225" bestFit="1" customWidth="1"/>
    <col min="6" max="6" width="6.44140625" style="225" bestFit="1" customWidth="1"/>
    <col min="7" max="8" width="2.6640625" style="225" bestFit="1" customWidth="1"/>
    <col min="9" max="9" width="5.6640625" style="225" bestFit="1" customWidth="1"/>
    <col min="10" max="11" width="6.33203125" style="225" bestFit="1" customWidth="1"/>
    <col min="12" max="12" width="5.6640625" style="225" bestFit="1" customWidth="1"/>
    <col min="13" max="13" width="6.33203125" style="225" bestFit="1" customWidth="1"/>
    <col min="14" max="14" width="7.33203125" style="225" bestFit="1" customWidth="1"/>
    <col min="15" max="15" width="6.5546875" style="225" bestFit="1" customWidth="1"/>
    <col min="16" max="16" width="6.33203125" style="225" bestFit="1" customWidth="1"/>
    <col min="17" max="17" width="6.5546875" style="225" bestFit="1" customWidth="1"/>
    <col min="18" max="18" width="3.109375" style="225" customWidth="1"/>
    <col min="19" max="20" width="4.6640625" style="225" bestFit="1" customWidth="1"/>
    <col min="21" max="21" width="4.6640625" style="225" customWidth="1"/>
    <col min="22" max="22" width="3.109375" style="225" customWidth="1"/>
    <col min="23" max="23" width="4.5546875" style="225" customWidth="1"/>
    <col min="24" max="24" width="3.88671875" style="225" customWidth="1"/>
    <col min="25" max="25" width="3.77734375" style="225" customWidth="1"/>
    <col min="26" max="30" width="5.6640625" style="225" bestFit="1" customWidth="1"/>
    <col min="31" max="31" width="6.33203125" style="225" bestFit="1" customWidth="1"/>
    <col min="32" max="16384" width="8.88671875" style="225"/>
  </cols>
  <sheetData>
    <row r="1" spans="1:32">
      <c r="A1" s="740"/>
      <c r="B1" s="738" t="s">
        <v>18</v>
      </c>
      <c r="C1" s="727" t="s">
        <v>19</v>
      </c>
      <c r="D1" s="738" t="s">
        <v>20</v>
      </c>
      <c r="E1" s="743" t="s">
        <v>21</v>
      </c>
      <c r="F1" s="738" t="s">
        <v>2</v>
      </c>
      <c r="G1" s="727" t="s">
        <v>22</v>
      </c>
      <c r="H1" s="738" t="s">
        <v>23</v>
      </c>
      <c r="I1" s="743" t="s">
        <v>24</v>
      </c>
      <c r="J1" s="738" t="s">
        <v>25</v>
      </c>
      <c r="K1" s="727" t="s">
        <v>26</v>
      </c>
      <c r="L1" s="738" t="s">
        <v>27</v>
      </c>
      <c r="M1" s="743" t="s">
        <v>28</v>
      </c>
      <c r="N1" s="277"/>
      <c r="P1" s="787" t="s">
        <v>278</v>
      </c>
      <c r="Q1" s="787"/>
    </row>
    <row r="2" spans="1:32" ht="12" thickBot="1">
      <c r="A2" s="741"/>
      <c r="B2" s="739"/>
      <c r="C2" s="728"/>
      <c r="D2" s="739"/>
      <c r="E2" s="744"/>
      <c r="F2" s="739"/>
      <c r="G2" s="728"/>
      <c r="H2" s="739"/>
      <c r="I2" s="744"/>
      <c r="J2" s="739"/>
      <c r="K2" s="728"/>
      <c r="L2" s="739"/>
      <c r="M2" s="744"/>
      <c r="N2" s="278"/>
      <c r="O2" s="35" t="s">
        <v>54</v>
      </c>
      <c r="P2" s="278"/>
      <c r="Q2" s="35" t="s">
        <v>54</v>
      </c>
      <c r="S2" s="225">
        <v>1</v>
      </c>
      <c r="T2" s="225">
        <v>2</v>
      </c>
      <c r="U2" s="225">
        <v>3</v>
      </c>
      <c r="V2" s="225">
        <v>4</v>
      </c>
      <c r="W2" s="225">
        <v>5</v>
      </c>
      <c r="X2" s="225">
        <v>6</v>
      </c>
      <c r="Y2" s="225">
        <v>7</v>
      </c>
      <c r="Z2" s="225">
        <v>8</v>
      </c>
      <c r="AA2" s="225">
        <v>9</v>
      </c>
      <c r="AB2" s="225">
        <v>10</v>
      </c>
      <c r="AC2" s="225">
        <v>11</v>
      </c>
      <c r="AD2" s="225">
        <v>12</v>
      </c>
    </row>
    <row r="3" spans="1:32">
      <c r="A3" s="229">
        <v>1998</v>
      </c>
      <c r="B3" s="89"/>
      <c r="C3" s="89"/>
      <c r="D3" s="89"/>
      <c r="E3" s="89"/>
      <c r="F3" s="89"/>
      <c r="G3" s="89"/>
      <c r="H3" s="89"/>
      <c r="I3" s="89"/>
      <c r="J3" s="89"/>
      <c r="K3" s="231">
        <v>573.69000000000005</v>
      </c>
      <c r="L3" s="231">
        <v>73.28</v>
      </c>
      <c r="M3" s="231">
        <v>337.38</v>
      </c>
      <c r="N3" s="279">
        <f>SUM(I3:M3)</f>
        <v>984.35</v>
      </c>
      <c r="O3" s="243">
        <f>AE3</f>
        <v>14487</v>
      </c>
      <c r="P3" s="279">
        <f>N3*30%</f>
        <v>295.30500000000001</v>
      </c>
      <c r="Q3" s="280">
        <f>O3*30%</f>
        <v>4346.0999999999995</v>
      </c>
      <c r="R3" s="622">
        <v>0.3</v>
      </c>
      <c r="S3" s="237"/>
      <c r="T3" s="237"/>
      <c r="U3" s="237"/>
      <c r="V3" s="237"/>
      <c r="W3" s="237"/>
      <c r="X3" s="237"/>
      <c r="Y3" s="237"/>
      <c r="Z3" s="237"/>
      <c r="AA3" s="237"/>
      <c r="AB3" s="237">
        <v>8565</v>
      </c>
      <c r="AC3" s="237">
        <v>1073</v>
      </c>
      <c r="AD3" s="109">
        <v>4849</v>
      </c>
      <c r="AE3" s="315">
        <f>SUM(S3:AD3)</f>
        <v>14487</v>
      </c>
    </row>
    <row r="4" spans="1:32">
      <c r="A4" s="226">
        <v>1999</v>
      </c>
      <c r="B4" s="232">
        <v>11.04</v>
      </c>
      <c r="C4" s="232">
        <v>54.57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232">
        <f t="shared" ref="N4:N18" si="0">SUM(B4:M4)</f>
        <v>65.61</v>
      </c>
      <c r="O4" s="243">
        <f>AE4</f>
        <v>921</v>
      </c>
      <c r="P4" s="279">
        <f>N4*30%</f>
        <v>19.683</v>
      </c>
      <c r="Q4" s="280">
        <f>O4*30%</f>
        <v>276.3</v>
      </c>
      <c r="R4" s="622">
        <v>0.4</v>
      </c>
      <c r="S4" s="237">
        <v>156</v>
      </c>
      <c r="T4" s="237">
        <v>765</v>
      </c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315">
        <f t="shared" ref="AE4" si="1">SUM(S4:AD4)</f>
        <v>921</v>
      </c>
      <c r="AF4" s="111"/>
    </row>
    <row r="5" spans="1:32">
      <c r="A5" s="226">
        <v>2000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27">
        <f t="shared" si="0"/>
        <v>0</v>
      </c>
      <c r="O5" s="263"/>
      <c r="P5" s="227">
        <f t="shared" ref="P5:P18" si="2">SUM(D5:O5)</f>
        <v>0</v>
      </c>
      <c r="Q5" s="263"/>
      <c r="R5" s="622">
        <v>0.45</v>
      </c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45"/>
    </row>
    <row r="6" spans="1:32">
      <c r="A6" s="226">
        <v>2001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27">
        <f t="shared" si="0"/>
        <v>0</v>
      </c>
      <c r="O6" s="263"/>
      <c r="P6" s="227">
        <f t="shared" si="2"/>
        <v>0</v>
      </c>
      <c r="Q6" s="263"/>
      <c r="R6" s="622">
        <v>0.4</v>
      </c>
      <c r="S6" s="237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</row>
    <row r="7" spans="1:32">
      <c r="A7" s="226">
        <v>2002</v>
      </c>
      <c r="B7" s="232"/>
      <c r="C7" s="232"/>
      <c r="D7" s="232"/>
      <c r="E7" s="232"/>
      <c r="F7" s="232"/>
      <c r="G7" s="232"/>
      <c r="H7" s="232"/>
      <c r="I7" s="240"/>
      <c r="J7" s="232"/>
      <c r="K7" s="232"/>
      <c r="L7" s="232"/>
      <c r="M7" s="232"/>
      <c r="N7" s="227">
        <f t="shared" si="0"/>
        <v>0</v>
      </c>
      <c r="O7" s="263"/>
      <c r="P7" s="227">
        <f t="shared" si="2"/>
        <v>0</v>
      </c>
      <c r="Q7" s="263"/>
      <c r="S7" s="235"/>
    </row>
    <row r="8" spans="1:32">
      <c r="A8" s="226">
        <v>2003</v>
      </c>
      <c r="B8" s="233"/>
      <c r="C8" s="233"/>
      <c r="D8" s="233"/>
      <c r="E8" s="233"/>
      <c r="F8" s="233"/>
      <c r="G8" s="233"/>
      <c r="H8" s="233"/>
      <c r="I8" s="185"/>
      <c r="J8" s="233"/>
      <c r="K8" s="233"/>
      <c r="L8" s="233"/>
      <c r="M8" s="233"/>
      <c r="N8" s="227">
        <f t="shared" si="0"/>
        <v>0</v>
      </c>
      <c r="O8" s="263"/>
      <c r="P8" s="227">
        <f t="shared" si="2"/>
        <v>0</v>
      </c>
      <c r="Q8" s="263"/>
      <c r="S8" s="235"/>
    </row>
    <row r="9" spans="1:32">
      <c r="A9" s="226">
        <v>2004</v>
      </c>
      <c r="B9" s="233"/>
      <c r="C9" s="233"/>
      <c r="D9" s="233"/>
      <c r="E9" s="233"/>
      <c r="F9" s="233"/>
      <c r="G9" s="233"/>
      <c r="H9" s="233"/>
      <c r="I9" s="185"/>
      <c r="J9" s="233"/>
      <c r="K9" s="233"/>
      <c r="L9" s="233"/>
      <c r="M9" s="233"/>
      <c r="N9" s="227">
        <f t="shared" si="0"/>
        <v>0</v>
      </c>
      <c r="O9" s="263"/>
      <c r="P9" s="227">
        <f t="shared" si="2"/>
        <v>0</v>
      </c>
      <c r="Q9" s="263"/>
      <c r="S9" s="235"/>
    </row>
    <row r="10" spans="1:32">
      <c r="A10" s="226">
        <v>2005</v>
      </c>
      <c r="B10" s="232"/>
      <c r="C10" s="232"/>
      <c r="D10" s="232"/>
      <c r="E10" s="232"/>
      <c r="F10" s="232"/>
      <c r="G10" s="232"/>
      <c r="H10" s="232"/>
      <c r="I10" s="240"/>
      <c r="J10" s="232"/>
      <c r="K10" s="232"/>
      <c r="L10" s="232"/>
      <c r="M10" s="232"/>
      <c r="N10" s="227">
        <f t="shared" si="0"/>
        <v>0</v>
      </c>
      <c r="O10" s="263"/>
      <c r="P10" s="227">
        <f t="shared" si="2"/>
        <v>0</v>
      </c>
      <c r="Q10" s="263"/>
      <c r="S10" s="235"/>
    </row>
    <row r="11" spans="1:32">
      <c r="A11" s="226">
        <v>2006</v>
      </c>
      <c r="B11" s="232"/>
      <c r="C11" s="232"/>
      <c r="D11" s="232"/>
      <c r="E11" s="232"/>
      <c r="F11" s="232"/>
      <c r="G11" s="232"/>
      <c r="H11" s="232"/>
      <c r="I11" s="240"/>
      <c r="J11" s="232"/>
      <c r="K11" s="232"/>
      <c r="L11" s="232"/>
      <c r="M11" s="232"/>
      <c r="N11" s="227">
        <f t="shared" si="0"/>
        <v>0</v>
      </c>
      <c r="O11" s="263"/>
      <c r="P11" s="227">
        <f t="shared" si="2"/>
        <v>0</v>
      </c>
      <c r="Q11" s="263"/>
      <c r="S11" s="235"/>
    </row>
    <row r="12" spans="1:32">
      <c r="A12" s="226">
        <v>2007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27">
        <f t="shared" si="0"/>
        <v>0</v>
      </c>
      <c r="O12" s="263"/>
      <c r="P12" s="227">
        <f t="shared" si="2"/>
        <v>0</v>
      </c>
      <c r="Q12" s="263"/>
      <c r="S12" s="235"/>
    </row>
    <row r="13" spans="1:32">
      <c r="A13" s="226">
        <v>2008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27">
        <f t="shared" si="0"/>
        <v>0</v>
      </c>
      <c r="O13" s="263"/>
      <c r="P13" s="227">
        <f t="shared" si="2"/>
        <v>0</v>
      </c>
      <c r="Q13" s="263"/>
      <c r="S13" s="235"/>
    </row>
    <row r="14" spans="1:32">
      <c r="A14" s="226">
        <v>2009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27">
        <f t="shared" si="0"/>
        <v>0</v>
      </c>
      <c r="O14" s="263"/>
      <c r="P14" s="227">
        <f t="shared" si="2"/>
        <v>0</v>
      </c>
      <c r="Q14" s="263"/>
      <c r="S14" s="235"/>
    </row>
    <row r="15" spans="1:32">
      <c r="A15" s="226">
        <v>2010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27">
        <f t="shared" si="0"/>
        <v>0</v>
      </c>
      <c r="O15" s="263"/>
      <c r="P15" s="227">
        <f t="shared" si="2"/>
        <v>0</v>
      </c>
      <c r="Q15" s="263"/>
      <c r="S15" s="235"/>
    </row>
    <row r="16" spans="1:32">
      <c r="A16" s="226">
        <v>2011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27">
        <f t="shared" si="0"/>
        <v>0</v>
      </c>
      <c r="O16" s="263"/>
      <c r="P16" s="227">
        <f t="shared" si="2"/>
        <v>0</v>
      </c>
      <c r="Q16" s="263"/>
      <c r="S16" s="235"/>
    </row>
    <row r="17" spans="1:19">
      <c r="A17" s="226">
        <v>2012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27">
        <f t="shared" si="0"/>
        <v>0</v>
      </c>
      <c r="O17" s="263"/>
      <c r="P17" s="227">
        <f t="shared" si="2"/>
        <v>0</v>
      </c>
      <c r="Q17" s="263"/>
      <c r="S17" s="235"/>
    </row>
    <row r="18" spans="1:19">
      <c r="A18" s="226">
        <v>2013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27">
        <f t="shared" si="0"/>
        <v>0</v>
      </c>
      <c r="O18" s="281"/>
      <c r="P18" s="227">
        <f t="shared" si="2"/>
        <v>0</v>
      </c>
      <c r="Q18" s="281"/>
      <c r="R18" s="245"/>
      <c r="S18" s="235"/>
    </row>
    <row r="19" spans="1:19"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2">
        <f>SUM(N3:N18)</f>
        <v>1049.96</v>
      </c>
      <c r="O19" s="240">
        <f>SUM(O3:O18)</f>
        <v>15408</v>
      </c>
      <c r="P19" s="232">
        <f>SUM(P3:P18)</f>
        <v>314.988</v>
      </c>
      <c r="Q19" s="240">
        <f>SUM(Q3:Q18)</f>
        <v>4622.3999999999996</v>
      </c>
    </row>
    <row r="20" spans="1:19">
      <c r="P20" s="275">
        <v>299</v>
      </c>
    </row>
    <row r="21" spans="1:19">
      <c r="O21" s="245" t="s">
        <v>386</v>
      </c>
      <c r="Q21" s="111">
        <v>46061</v>
      </c>
    </row>
    <row r="22" spans="1:19" ht="20.25" customHeight="1">
      <c r="A22" s="794" t="s">
        <v>585</v>
      </c>
      <c r="B22" s="794"/>
      <c r="C22" s="794"/>
      <c r="D22" s="794"/>
      <c r="E22" s="794"/>
      <c r="F22" s="794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</row>
    <row r="23" spans="1:19" ht="23.25" customHeight="1">
      <c r="A23" s="794"/>
      <c r="B23" s="794"/>
      <c r="C23" s="794"/>
      <c r="D23" s="794"/>
      <c r="E23" s="794"/>
      <c r="F23" s="794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</row>
    <row r="24" spans="1:19" ht="12" thickBot="1">
      <c r="B24" s="225" t="s">
        <v>286</v>
      </c>
      <c r="C24" s="225" t="s">
        <v>289</v>
      </c>
      <c r="D24" s="225" t="s">
        <v>58</v>
      </c>
      <c r="E24" s="795" t="s">
        <v>287</v>
      </c>
      <c r="F24" s="795"/>
      <c r="G24" s="795"/>
    </row>
    <row r="25" spans="1:19">
      <c r="A25" s="788" t="s">
        <v>284</v>
      </c>
      <c r="B25" s="270">
        <v>73</v>
      </c>
      <c r="C25" s="271">
        <v>179192</v>
      </c>
      <c r="D25" s="271">
        <v>4750</v>
      </c>
      <c r="E25" s="272">
        <f t="shared" ref="E25:E65" si="3">D25/340.75</f>
        <v>13.939838591342626</v>
      </c>
      <c r="F25" s="270"/>
      <c r="M25" s="237"/>
    </row>
    <row r="26" spans="1:19">
      <c r="A26" s="789"/>
      <c r="B26" s="264">
        <v>74</v>
      </c>
      <c r="C26" s="265">
        <v>179190</v>
      </c>
      <c r="D26" s="265">
        <v>1625</v>
      </c>
      <c r="E26" s="170">
        <f t="shared" si="3"/>
        <v>4.7688921496698455</v>
      </c>
      <c r="F26" s="273" t="s">
        <v>291</v>
      </c>
      <c r="M26" s="237"/>
    </row>
    <row r="27" spans="1:19">
      <c r="A27" s="789"/>
      <c r="B27" s="264">
        <v>75</v>
      </c>
      <c r="C27" s="265">
        <v>179188</v>
      </c>
      <c r="D27" s="265">
        <v>5685</v>
      </c>
      <c r="E27" s="170">
        <f t="shared" si="3"/>
        <v>16.683785766691123</v>
      </c>
      <c r="F27" s="273" t="s">
        <v>292</v>
      </c>
      <c r="M27" s="237"/>
    </row>
    <row r="28" spans="1:19">
      <c r="A28" s="789"/>
      <c r="B28" s="264">
        <v>76</v>
      </c>
      <c r="C28" s="265">
        <v>179509</v>
      </c>
      <c r="D28" s="265">
        <v>2875</v>
      </c>
      <c r="E28" s="170">
        <f t="shared" si="3"/>
        <v>8.4372707263389586</v>
      </c>
      <c r="F28" s="273" t="s">
        <v>293</v>
      </c>
      <c r="M28" s="237"/>
    </row>
    <row r="29" spans="1:19">
      <c r="A29" s="789"/>
      <c r="B29" s="264">
        <v>77</v>
      </c>
      <c r="C29" s="265">
        <v>179185</v>
      </c>
      <c r="D29" s="265">
        <v>2125</v>
      </c>
      <c r="E29" s="170">
        <f t="shared" si="3"/>
        <v>6.2362435803374909</v>
      </c>
      <c r="F29" s="273" t="s">
        <v>294</v>
      </c>
      <c r="M29" s="237"/>
    </row>
    <row r="30" spans="1:19">
      <c r="A30" s="789"/>
      <c r="B30" s="264">
        <v>78</v>
      </c>
      <c r="C30" s="265">
        <v>179183</v>
      </c>
      <c r="D30" s="265">
        <v>18373</v>
      </c>
      <c r="E30" s="170">
        <f t="shared" si="3"/>
        <v>53.919295671313279</v>
      </c>
      <c r="F30" s="273" t="s">
        <v>295</v>
      </c>
    </row>
    <row r="31" spans="1:19">
      <c r="A31" s="789"/>
      <c r="B31" s="264">
        <v>79</v>
      </c>
      <c r="C31" s="265">
        <v>179181</v>
      </c>
      <c r="D31" s="265">
        <v>10653</v>
      </c>
      <c r="E31" s="170">
        <f t="shared" si="3"/>
        <v>31.263389581804841</v>
      </c>
      <c r="F31" s="264"/>
    </row>
    <row r="32" spans="1:19">
      <c r="A32" s="789"/>
      <c r="B32" s="264">
        <v>82</v>
      </c>
      <c r="C32" s="265">
        <v>179180</v>
      </c>
      <c r="D32" s="265">
        <v>1149</v>
      </c>
      <c r="E32" s="170">
        <f t="shared" si="3"/>
        <v>3.371973587674248</v>
      </c>
      <c r="F32" s="264"/>
    </row>
    <row r="33" spans="1:6">
      <c r="A33" s="789"/>
      <c r="B33" s="264">
        <v>86</v>
      </c>
      <c r="C33" s="265">
        <v>179179</v>
      </c>
      <c r="D33" s="265">
        <v>5265</v>
      </c>
      <c r="E33" s="170">
        <f t="shared" si="3"/>
        <v>15.451210564930301</v>
      </c>
      <c r="F33" s="264"/>
    </row>
    <row r="34" spans="1:6">
      <c r="A34" s="789"/>
      <c r="B34" s="264">
        <v>87</v>
      </c>
      <c r="C34" s="265">
        <v>179177</v>
      </c>
      <c r="D34" s="265">
        <v>40413</v>
      </c>
      <c r="E34" s="170">
        <f t="shared" si="3"/>
        <v>118.60014673514307</v>
      </c>
      <c r="F34" s="264"/>
    </row>
    <row r="35" spans="1:6">
      <c r="A35" s="789"/>
      <c r="B35" s="791">
        <v>88</v>
      </c>
      <c r="C35" s="265">
        <v>179174</v>
      </c>
      <c r="D35" s="265">
        <v>31911</v>
      </c>
      <c r="E35" s="170">
        <f t="shared" si="3"/>
        <v>93.649303008070433</v>
      </c>
      <c r="F35" s="264"/>
    </row>
    <row r="36" spans="1:6">
      <c r="A36" s="789"/>
      <c r="B36" s="791"/>
      <c r="C36" s="265">
        <v>179175</v>
      </c>
      <c r="D36" s="265">
        <v>1000</v>
      </c>
      <c r="E36" s="170">
        <f t="shared" si="3"/>
        <v>2.9347028613352899</v>
      </c>
      <c r="F36" s="264"/>
    </row>
    <row r="37" spans="1:6">
      <c r="A37" s="789"/>
      <c r="B37" s="282">
        <v>91</v>
      </c>
      <c r="C37" s="265">
        <v>179172</v>
      </c>
      <c r="D37" s="265">
        <v>12988</v>
      </c>
      <c r="E37" s="170">
        <f t="shared" si="3"/>
        <v>38.115920763022743</v>
      </c>
      <c r="F37" s="264"/>
    </row>
    <row r="38" spans="1:6">
      <c r="A38" s="789"/>
      <c r="B38" s="282">
        <v>96</v>
      </c>
      <c r="C38" s="265">
        <v>147386</v>
      </c>
      <c r="D38" s="265">
        <v>2985</v>
      </c>
      <c r="E38" s="170">
        <f t="shared" si="3"/>
        <v>8.7600880410858402</v>
      </c>
      <c r="F38" s="264"/>
    </row>
    <row r="39" spans="1:6">
      <c r="A39" s="789"/>
      <c r="B39" s="282">
        <v>98</v>
      </c>
      <c r="C39" s="265">
        <v>179168</v>
      </c>
      <c r="D39" s="265">
        <v>2445</v>
      </c>
      <c r="E39" s="170">
        <f t="shared" si="3"/>
        <v>7.1753484959647835</v>
      </c>
      <c r="F39" s="264"/>
    </row>
    <row r="40" spans="1:6">
      <c r="A40" s="789"/>
      <c r="B40" s="791">
        <v>99</v>
      </c>
      <c r="C40" s="265">
        <v>179169</v>
      </c>
      <c r="D40" s="265">
        <v>45285</v>
      </c>
      <c r="E40" s="170">
        <f t="shared" si="3"/>
        <v>132.89801907556861</v>
      </c>
      <c r="F40" s="264"/>
    </row>
    <row r="41" spans="1:6">
      <c r="A41" s="789"/>
      <c r="B41" s="791"/>
      <c r="C41" s="265">
        <v>179170</v>
      </c>
      <c r="D41" s="265">
        <v>1000</v>
      </c>
      <c r="E41" s="170">
        <f t="shared" si="3"/>
        <v>2.9347028613352899</v>
      </c>
      <c r="F41" s="264"/>
    </row>
    <row r="42" spans="1:6">
      <c r="A42" s="789"/>
      <c r="B42" s="282">
        <v>104</v>
      </c>
      <c r="C42" s="265">
        <v>179167</v>
      </c>
      <c r="D42" s="265">
        <v>2000</v>
      </c>
      <c r="E42" s="170">
        <f t="shared" si="3"/>
        <v>5.8694057226705798</v>
      </c>
      <c r="F42" s="264"/>
    </row>
    <row r="43" spans="1:6">
      <c r="A43" s="789"/>
      <c r="B43" s="282">
        <v>105</v>
      </c>
      <c r="C43" s="265">
        <v>179164</v>
      </c>
      <c r="D43" s="265">
        <v>1041</v>
      </c>
      <c r="E43" s="170">
        <f t="shared" si="3"/>
        <v>3.0550256786500367</v>
      </c>
      <c r="F43" s="264"/>
    </row>
    <row r="44" spans="1:6">
      <c r="A44" s="789"/>
      <c r="B44" s="282">
        <v>106</v>
      </c>
      <c r="C44" s="265">
        <v>179165</v>
      </c>
      <c r="D44" s="265">
        <v>1041</v>
      </c>
      <c r="E44" s="170">
        <f t="shared" si="3"/>
        <v>3.0550256786500367</v>
      </c>
      <c r="F44" s="264"/>
    </row>
    <row r="45" spans="1:6" ht="12" thickBot="1">
      <c r="A45" s="790"/>
      <c r="B45" s="283">
        <v>108</v>
      </c>
      <c r="C45" s="267">
        <v>179163</v>
      </c>
      <c r="D45" s="267">
        <v>875</v>
      </c>
      <c r="E45" s="268">
        <f t="shared" si="3"/>
        <v>2.5678650036683788</v>
      </c>
      <c r="F45" s="269">
        <f>SUM(E25:E45)</f>
        <v>573.68745414526779</v>
      </c>
    </row>
    <row r="46" spans="1:6">
      <c r="A46" s="784" t="s">
        <v>296</v>
      </c>
      <c r="B46" s="282">
        <v>110</v>
      </c>
      <c r="C46" s="274" t="s">
        <v>297</v>
      </c>
      <c r="D46" s="284">
        <v>267</v>
      </c>
      <c r="E46" s="235">
        <f t="shared" si="3"/>
        <v>0.78356566397652239</v>
      </c>
    </row>
    <row r="47" spans="1:6">
      <c r="A47" s="792"/>
      <c r="B47" s="282">
        <v>113</v>
      </c>
      <c r="C47" s="284">
        <v>179160</v>
      </c>
      <c r="D47" s="284">
        <v>3000</v>
      </c>
      <c r="E47" s="235">
        <f t="shared" si="3"/>
        <v>8.8041085840058688</v>
      </c>
    </row>
    <row r="48" spans="1:6">
      <c r="A48" s="792"/>
      <c r="B48" s="282">
        <v>122</v>
      </c>
      <c r="C48" s="284">
        <v>179155</v>
      </c>
      <c r="D48" s="284">
        <v>1625</v>
      </c>
      <c r="E48" s="235">
        <f t="shared" si="3"/>
        <v>4.7688921496698455</v>
      </c>
    </row>
    <row r="49" spans="1:15">
      <c r="A49" s="792"/>
      <c r="B49" s="791">
        <v>123</v>
      </c>
      <c r="C49" s="284">
        <v>179157</v>
      </c>
      <c r="D49" s="284">
        <v>4938</v>
      </c>
      <c r="E49" s="235">
        <f t="shared" si="3"/>
        <v>14.49156272927366</v>
      </c>
    </row>
    <row r="50" spans="1:15">
      <c r="A50" s="792"/>
      <c r="B50" s="791"/>
      <c r="C50" s="284">
        <v>179158</v>
      </c>
      <c r="D50" s="284">
        <v>1000</v>
      </c>
      <c r="E50" s="235">
        <f t="shared" si="3"/>
        <v>2.9347028613352899</v>
      </c>
    </row>
    <row r="51" spans="1:15">
      <c r="A51" s="792"/>
      <c r="B51" s="282">
        <v>124</v>
      </c>
      <c r="C51" s="284">
        <v>179152</v>
      </c>
      <c r="D51" s="284">
        <v>1625</v>
      </c>
      <c r="E51" s="235">
        <f t="shared" si="3"/>
        <v>4.7688921496698455</v>
      </c>
    </row>
    <row r="52" spans="1:15">
      <c r="A52" s="792"/>
      <c r="B52" s="282">
        <v>125</v>
      </c>
      <c r="C52" s="284">
        <v>179151</v>
      </c>
      <c r="D52" s="284">
        <v>1365</v>
      </c>
      <c r="E52" s="235">
        <f t="shared" si="3"/>
        <v>4.0058694057226703</v>
      </c>
    </row>
    <row r="53" spans="1:15">
      <c r="A53" s="792"/>
      <c r="B53" s="282">
        <v>126</v>
      </c>
      <c r="C53" s="284">
        <v>179187</v>
      </c>
      <c r="D53" s="284">
        <v>7000</v>
      </c>
      <c r="E53" s="235">
        <f t="shared" si="3"/>
        <v>20.54292002934703</v>
      </c>
    </row>
    <row r="54" spans="1:15">
      <c r="A54" s="792"/>
      <c r="B54" s="282">
        <v>128</v>
      </c>
      <c r="C54" s="284">
        <v>147383</v>
      </c>
      <c r="D54" s="284">
        <v>716</v>
      </c>
      <c r="E54" s="235">
        <f t="shared" si="3"/>
        <v>2.1012472487160676</v>
      </c>
    </row>
    <row r="55" spans="1:15">
      <c r="A55" s="792"/>
      <c r="B55" s="282">
        <v>129</v>
      </c>
      <c r="C55" s="284">
        <v>147390</v>
      </c>
      <c r="D55" s="284">
        <v>851</v>
      </c>
      <c r="E55" s="235">
        <f t="shared" si="3"/>
        <v>2.4974321349963318</v>
      </c>
    </row>
    <row r="56" spans="1:15">
      <c r="A56" s="792"/>
      <c r="B56" s="282">
        <v>133</v>
      </c>
      <c r="C56" s="284">
        <v>147392</v>
      </c>
      <c r="D56" s="284">
        <v>1398</v>
      </c>
      <c r="E56" s="235">
        <f t="shared" si="3"/>
        <v>4.1027146001467347</v>
      </c>
    </row>
    <row r="57" spans="1:15" ht="12" thickBot="1">
      <c r="A57" s="793"/>
      <c r="B57" s="283">
        <v>141</v>
      </c>
      <c r="C57" s="285">
        <v>147388</v>
      </c>
      <c r="D57" s="285">
        <v>1186</v>
      </c>
      <c r="E57" s="268">
        <f t="shared" si="3"/>
        <v>3.4805575935436539</v>
      </c>
      <c r="F57" s="269">
        <f>SUM(E46:E57)</f>
        <v>73.282465150403524</v>
      </c>
      <c r="L57" s="264"/>
      <c r="M57" s="264"/>
      <c r="N57" s="264"/>
      <c r="O57" s="264"/>
    </row>
    <row r="58" spans="1:15">
      <c r="A58" s="788" t="s">
        <v>298</v>
      </c>
      <c r="B58" s="286">
        <v>151</v>
      </c>
      <c r="C58" s="271">
        <v>277639</v>
      </c>
      <c r="D58" s="287">
        <v>932</v>
      </c>
      <c r="E58" s="272">
        <f t="shared" si="3"/>
        <v>2.7351430667644903</v>
      </c>
      <c r="F58" s="270"/>
      <c r="L58" s="288"/>
      <c r="M58" s="288"/>
      <c r="N58" s="288"/>
      <c r="O58" s="264"/>
    </row>
    <row r="59" spans="1:15">
      <c r="A59" s="789"/>
      <c r="B59" s="282">
        <v>153</v>
      </c>
      <c r="C59" s="288">
        <v>277638</v>
      </c>
      <c r="D59" s="284">
        <v>1365</v>
      </c>
      <c r="E59" s="170">
        <f t="shared" si="3"/>
        <v>4.0058694057226703</v>
      </c>
      <c r="F59" s="264"/>
      <c r="L59" s="288"/>
      <c r="M59" s="288"/>
      <c r="N59" s="288"/>
      <c r="O59" s="264"/>
    </row>
    <row r="60" spans="1:15">
      <c r="A60" s="789"/>
      <c r="B60" s="282">
        <v>154</v>
      </c>
      <c r="C60" s="288">
        <v>277637</v>
      </c>
      <c r="D60" s="284">
        <v>1202</v>
      </c>
      <c r="E60" s="170">
        <f t="shared" si="3"/>
        <v>3.5275128393250181</v>
      </c>
      <c r="F60" s="264"/>
      <c r="L60" s="288"/>
      <c r="M60" s="288"/>
      <c r="N60" s="288"/>
      <c r="O60" s="264"/>
    </row>
    <row r="61" spans="1:15">
      <c r="A61" s="789"/>
      <c r="B61" s="282">
        <v>156</v>
      </c>
      <c r="C61" s="288">
        <v>277635</v>
      </c>
      <c r="D61" s="284">
        <v>3525</v>
      </c>
      <c r="E61" s="170">
        <f t="shared" si="3"/>
        <v>10.344827586206897</v>
      </c>
      <c r="F61" s="264"/>
      <c r="L61" s="288"/>
      <c r="M61" s="288"/>
      <c r="N61" s="288"/>
      <c r="O61" s="264"/>
    </row>
    <row r="62" spans="1:15">
      <c r="A62" s="789"/>
      <c r="B62" s="282">
        <v>161</v>
      </c>
      <c r="C62" s="288">
        <v>277646</v>
      </c>
      <c r="D62" s="284">
        <v>3178</v>
      </c>
      <c r="E62" s="170">
        <f t="shared" si="3"/>
        <v>9.3264856933235514</v>
      </c>
      <c r="F62" s="264"/>
      <c r="L62" s="288"/>
      <c r="M62" s="288"/>
      <c r="N62" s="288"/>
      <c r="O62" s="264"/>
    </row>
    <row r="63" spans="1:15">
      <c r="A63" s="789"/>
      <c r="B63" s="282">
        <v>162</v>
      </c>
      <c r="C63" s="288">
        <v>277644</v>
      </c>
      <c r="D63" s="284">
        <v>875</v>
      </c>
      <c r="E63" s="170">
        <f t="shared" si="3"/>
        <v>2.5678650036683788</v>
      </c>
      <c r="F63" s="264"/>
      <c r="L63" s="288"/>
      <c r="M63" s="288"/>
      <c r="N63" s="288"/>
      <c r="O63" s="264"/>
    </row>
    <row r="64" spans="1:15">
      <c r="A64" s="789"/>
      <c r="B64" s="282">
        <v>163</v>
      </c>
      <c r="C64" s="265">
        <v>277642</v>
      </c>
      <c r="D64" s="284">
        <v>4138</v>
      </c>
      <c r="E64" s="170">
        <f t="shared" si="3"/>
        <v>12.14380044020543</v>
      </c>
      <c r="F64" s="264"/>
      <c r="L64" s="288"/>
      <c r="M64" s="288"/>
      <c r="N64" s="288"/>
      <c r="O64" s="264"/>
    </row>
    <row r="65" spans="1:15">
      <c r="A65" s="789"/>
      <c r="B65" s="282">
        <v>164</v>
      </c>
      <c r="C65" s="288">
        <v>277633</v>
      </c>
      <c r="D65" s="284">
        <v>5685</v>
      </c>
      <c r="E65" s="170">
        <f t="shared" si="3"/>
        <v>16.683785766691123</v>
      </c>
      <c r="F65" s="264"/>
      <c r="L65" s="288"/>
      <c r="M65" s="288"/>
      <c r="N65" s="288"/>
      <c r="O65" s="264"/>
    </row>
    <row r="66" spans="1:15">
      <c r="A66" s="789"/>
      <c r="B66" s="282">
        <v>167</v>
      </c>
      <c r="C66" s="288">
        <v>276634</v>
      </c>
      <c r="D66" s="284">
        <v>2013</v>
      </c>
      <c r="E66" s="170">
        <f t="shared" ref="E66:E110" si="4">D66/340.75</f>
        <v>5.9075568598679382</v>
      </c>
      <c r="F66" s="264"/>
      <c r="L66" s="288"/>
      <c r="M66" s="288"/>
      <c r="N66" s="288"/>
      <c r="O66" s="264"/>
    </row>
    <row r="67" spans="1:15">
      <c r="A67" s="789"/>
      <c r="B67" s="791">
        <v>169</v>
      </c>
      <c r="C67" s="288">
        <v>147795</v>
      </c>
      <c r="D67" s="284">
        <v>5590</v>
      </c>
      <c r="E67" s="170">
        <f t="shared" si="4"/>
        <v>16.404988994864269</v>
      </c>
      <c r="F67" s="264"/>
      <c r="L67" s="288"/>
      <c r="M67" s="288"/>
      <c r="N67" s="288"/>
      <c r="O67" s="264"/>
    </row>
    <row r="68" spans="1:15">
      <c r="A68" s="789"/>
      <c r="B68" s="791"/>
      <c r="C68" s="288">
        <v>147796</v>
      </c>
      <c r="D68" s="284">
        <v>1000</v>
      </c>
      <c r="E68" s="170">
        <f t="shared" si="4"/>
        <v>2.9347028613352899</v>
      </c>
      <c r="F68" s="264"/>
      <c r="L68" s="288"/>
      <c r="M68" s="288"/>
      <c r="N68" s="288"/>
      <c r="O68" s="264"/>
    </row>
    <row r="69" spans="1:15">
      <c r="A69" s="789"/>
      <c r="B69" s="282">
        <v>170</v>
      </c>
      <c r="C69" s="288">
        <v>277640</v>
      </c>
      <c r="D69" s="284">
        <v>1365</v>
      </c>
      <c r="E69" s="170">
        <f t="shared" si="4"/>
        <v>4.0058694057226703</v>
      </c>
      <c r="F69" s="264"/>
      <c r="L69" s="288"/>
      <c r="M69" s="288"/>
      <c r="N69" s="288"/>
      <c r="O69" s="264"/>
    </row>
    <row r="70" spans="1:15">
      <c r="A70" s="789"/>
      <c r="B70" s="282">
        <v>172</v>
      </c>
      <c r="C70" s="288">
        <v>147791</v>
      </c>
      <c r="D70" s="284">
        <v>3275</v>
      </c>
      <c r="E70" s="170">
        <f t="shared" si="4"/>
        <v>9.6111518708730745</v>
      </c>
      <c r="F70" s="264"/>
      <c r="L70" s="288"/>
      <c r="M70" s="288"/>
      <c r="O70" s="264"/>
    </row>
    <row r="71" spans="1:15">
      <c r="A71" s="789"/>
      <c r="B71" s="282">
        <v>177</v>
      </c>
      <c r="C71" s="288">
        <v>277648</v>
      </c>
      <c r="D71" s="284">
        <v>1875</v>
      </c>
      <c r="E71" s="170">
        <f t="shared" si="4"/>
        <v>5.5025678650036687</v>
      </c>
      <c r="F71" s="264"/>
      <c r="M71" s="288"/>
      <c r="N71" s="288"/>
      <c r="O71" s="264"/>
    </row>
    <row r="72" spans="1:15">
      <c r="A72" s="789"/>
      <c r="B72" s="282">
        <v>178</v>
      </c>
      <c r="C72" s="288">
        <v>277647</v>
      </c>
      <c r="D72" s="284">
        <v>1688</v>
      </c>
      <c r="E72" s="170">
        <f t="shared" si="4"/>
        <v>4.9537784299339691</v>
      </c>
      <c r="F72" s="264"/>
      <c r="M72" s="288"/>
      <c r="N72" s="288"/>
      <c r="O72" s="264"/>
    </row>
    <row r="73" spans="1:15">
      <c r="A73" s="789"/>
      <c r="B73" s="282">
        <v>185</v>
      </c>
      <c r="C73" s="288">
        <v>147376</v>
      </c>
      <c r="D73" s="284">
        <v>1581</v>
      </c>
      <c r="E73" s="170">
        <f t="shared" si="4"/>
        <v>4.6397652237710929</v>
      </c>
      <c r="F73" s="264"/>
      <c r="M73" s="288"/>
      <c r="N73" s="288"/>
      <c r="O73" s="264"/>
    </row>
    <row r="74" spans="1:15">
      <c r="A74" s="789"/>
      <c r="B74" s="282">
        <v>195</v>
      </c>
      <c r="C74" s="288">
        <v>179541</v>
      </c>
      <c r="D74" s="284">
        <v>1365</v>
      </c>
      <c r="E74" s="170">
        <f t="shared" si="4"/>
        <v>4.0058694057226703</v>
      </c>
      <c r="F74" s="264"/>
      <c r="M74" s="288"/>
      <c r="N74" s="288"/>
      <c r="O74" s="264"/>
    </row>
    <row r="75" spans="1:15">
      <c r="A75" s="789"/>
      <c r="B75" s="282">
        <v>201</v>
      </c>
      <c r="C75" s="288">
        <v>179524</v>
      </c>
      <c r="D75" s="284">
        <v>1580</v>
      </c>
      <c r="E75" s="170">
        <f t="shared" si="4"/>
        <v>4.6368305209097578</v>
      </c>
      <c r="F75" s="264"/>
      <c r="M75" s="288"/>
      <c r="N75" s="288"/>
      <c r="O75" s="264"/>
    </row>
    <row r="76" spans="1:15">
      <c r="A76" s="789"/>
      <c r="B76" s="282">
        <v>203</v>
      </c>
      <c r="C76" s="288">
        <v>179534</v>
      </c>
      <c r="D76" s="284">
        <v>4834</v>
      </c>
      <c r="E76" s="170">
        <f t="shared" si="4"/>
        <v>14.186353631694791</v>
      </c>
      <c r="F76" s="264"/>
      <c r="L76" s="288"/>
      <c r="N76" s="288"/>
      <c r="O76" s="264"/>
    </row>
    <row r="77" spans="1:15">
      <c r="A77" s="789"/>
      <c r="B77" s="282">
        <v>204</v>
      </c>
      <c r="C77" s="288" t="s">
        <v>299</v>
      </c>
      <c r="D77" s="284">
        <v>563</v>
      </c>
      <c r="E77" s="170">
        <f t="shared" si="4"/>
        <v>1.6522377109317681</v>
      </c>
      <c r="F77" s="264"/>
      <c r="L77" s="288"/>
      <c r="N77" s="288"/>
      <c r="O77" s="264"/>
    </row>
    <row r="78" spans="1:15">
      <c r="A78" s="789"/>
      <c r="B78" s="282">
        <v>205</v>
      </c>
      <c r="C78" s="288">
        <v>179525</v>
      </c>
      <c r="D78" s="284">
        <v>3375</v>
      </c>
      <c r="E78" s="170">
        <f t="shared" si="4"/>
        <v>9.9046221570066031</v>
      </c>
      <c r="F78" s="264"/>
      <c r="L78" s="288"/>
      <c r="N78" s="288"/>
      <c r="O78" s="264"/>
    </row>
    <row r="79" spans="1:15">
      <c r="A79" s="789"/>
      <c r="B79" s="282">
        <v>206</v>
      </c>
      <c r="C79" s="288">
        <v>179527</v>
      </c>
      <c r="D79" s="284">
        <v>2606</v>
      </c>
      <c r="E79" s="170">
        <f t="shared" si="4"/>
        <v>7.6478356566397654</v>
      </c>
      <c r="F79" s="264"/>
      <c r="L79" s="288"/>
      <c r="M79" s="288"/>
      <c r="N79" s="288"/>
      <c r="O79" s="264"/>
    </row>
    <row r="80" spans="1:15">
      <c r="A80" s="789"/>
      <c r="B80" s="282">
        <v>208</v>
      </c>
      <c r="C80" s="288">
        <v>179522</v>
      </c>
      <c r="D80" s="284">
        <v>717</v>
      </c>
      <c r="E80" s="170">
        <f t="shared" si="4"/>
        <v>2.1041819515774027</v>
      </c>
      <c r="F80" s="264"/>
      <c r="L80" s="288"/>
      <c r="M80" s="288"/>
      <c r="N80" s="288"/>
      <c r="O80" s="264"/>
    </row>
    <row r="81" spans="1:15">
      <c r="A81" s="789"/>
      <c r="B81" s="282">
        <v>209</v>
      </c>
      <c r="C81" s="288">
        <v>179520</v>
      </c>
      <c r="D81" s="284">
        <v>2500</v>
      </c>
      <c r="E81" s="170">
        <f t="shared" si="4"/>
        <v>7.3367571533382243</v>
      </c>
      <c r="F81" s="264"/>
      <c r="L81" s="288"/>
      <c r="M81" s="288"/>
      <c r="N81" s="288"/>
      <c r="O81" s="264"/>
    </row>
    <row r="82" spans="1:15">
      <c r="A82" s="789"/>
      <c r="B82" s="282">
        <v>210</v>
      </c>
      <c r="C82" s="288">
        <v>179540</v>
      </c>
      <c r="D82" s="284">
        <v>1625</v>
      </c>
      <c r="E82" s="170">
        <f t="shared" si="4"/>
        <v>4.7688921496698455</v>
      </c>
      <c r="F82" s="264"/>
      <c r="L82" s="288"/>
      <c r="M82" s="288"/>
      <c r="N82" s="288"/>
      <c r="O82" s="264"/>
    </row>
    <row r="83" spans="1:15">
      <c r="A83" s="789"/>
      <c r="B83" s="282">
        <v>211</v>
      </c>
      <c r="C83" s="288">
        <v>179519</v>
      </c>
      <c r="D83" s="284">
        <v>1959</v>
      </c>
      <c r="E83" s="170">
        <f t="shared" si="4"/>
        <v>5.7490829053558326</v>
      </c>
      <c r="F83" s="264"/>
      <c r="L83" s="288"/>
      <c r="M83" s="288"/>
      <c r="N83" s="288"/>
      <c r="O83" s="264"/>
    </row>
    <row r="84" spans="1:15">
      <c r="A84" s="789"/>
      <c r="B84" s="282">
        <v>214</v>
      </c>
      <c r="C84" s="288" t="s">
        <v>299</v>
      </c>
      <c r="D84" s="284">
        <v>500</v>
      </c>
      <c r="E84" s="170">
        <f t="shared" si="4"/>
        <v>1.467351430667645</v>
      </c>
      <c r="F84" s="264"/>
      <c r="L84" s="288"/>
      <c r="M84" s="288"/>
      <c r="N84" s="288"/>
      <c r="O84" s="264"/>
    </row>
    <row r="85" spans="1:15">
      <c r="A85" s="789"/>
      <c r="B85" s="282">
        <v>215</v>
      </c>
      <c r="C85" s="288" t="s">
        <v>299</v>
      </c>
      <c r="D85" s="284">
        <v>500</v>
      </c>
      <c r="E85" s="170">
        <f t="shared" si="4"/>
        <v>1.467351430667645</v>
      </c>
      <c r="F85" s="264"/>
      <c r="L85" s="288"/>
      <c r="M85" s="288"/>
      <c r="N85" s="288"/>
      <c r="O85" s="264"/>
    </row>
    <row r="86" spans="1:15">
      <c r="A86" s="789"/>
      <c r="B86" s="282">
        <v>216</v>
      </c>
      <c r="C86" s="288" t="s">
        <v>299</v>
      </c>
      <c r="D86" s="284">
        <v>282</v>
      </c>
      <c r="E86" s="170">
        <f t="shared" si="4"/>
        <v>0.82758620689655171</v>
      </c>
      <c r="F86" s="264"/>
      <c r="L86" s="288"/>
      <c r="M86" s="288"/>
      <c r="N86" s="288"/>
      <c r="O86" s="264"/>
    </row>
    <row r="87" spans="1:15">
      <c r="A87" s="789"/>
      <c r="B87" s="282">
        <v>217</v>
      </c>
      <c r="C87" s="289">
        <v>179518</v>
      </c>
      <c r="D87" s="284">
        <v>8688</v>
      </c>
      <c r="E87" s="170">
        <f t="shared" si="4"/>
        <v>25.496698459280999</v>
      </c>
      <c r="F87" s="264"/>
      <c r="L87" s="288"/>
      <c r="M87" s="288"/>
      <c r="N87" s="288"/>
      <c r="O87" s="264"/>
    </row>
    <row r="88" spans="1:15">
      <c r="A88" s="789"/>
      <c r="B88" s="282">
        <v>220</v>
      </c>
      <c r="C88" s="288">
        <v>219197</v>
      </c>
      <c r="D88" s="284">
        <v>6433</v>
      </c>
      <c r="E88" s="170">
        <f t="shared" si="4"/>
        <v>18.878943506969918</v>
      </c>
      <c r="F88" s="264"/>
      <c r="L88" s="288"/>
      <c r="M88" s="288"/>
      <c r="N88" s="288"/>
      <c r="O88" s="264"/>
    </row>
    <row r="89" spans="1:15">
      <c r="A89" s="789"/>
      <c r="B89" s="282">
        <v>221</v>
      </c>
      <c r="C89" s="288">
        <v>179516</v>
      </c>
      <c r="D89" s="284">
        <v>1122</v>
      </c>
      <c r="E89" s="170">
        <f t="shared" si="4"/>
        <v>3.2927366104181952</v>
      </c>
      <c r="F89" s="264"/>
      <c r="L89" s="288"/>
      <c r="M89" s="288"/>
      <c r="N89" s="288"/>
      <c r="O89" s="264"/>
    </row>
    <row r="90" spans="1:15">
      <c r="A90" s="789"/>
      <c r="B90" s="791">
        <v>222</v>
      </c>
      <c r="C90" s="289">
        <v>179514</v>
      </c>
      <c r="D90" s="284">
        <v>24250</v>
      </c>
      <c r="E90" s="170">
        <f t="shared" si="4"/>
        <v>71.166544387380782</v>
      </c>
      <c r="F90" s="264"/>
      <c r="L90" s="288"/>
      <c r="M90" s="288"/>
      <c r="N90" s="288"/>
      <c r="O90" s="264"/>
    </row>
    <row r="91" spans="1:15">
      <c r="A91" s="789"/>
      <c r="B91" s="791"/>
      <c r="C91" s="289">
        <v>179515</v>
      </c>
      <c r="D91" s="284">
        <v>1000</v>
      </c>
      <c r="E91" s="170">
        <f t="shared" si="4"/>
        <v>2.9347028613352899</v>
      </c>
      <c r="F91" s="264"/>
      <c r="L91" s="288"/>
      <c r="M91" s="288"/>
      <c r="N91" s="288"/>
      <c r="O91" s="264"/>
    </row>
    <row r="92" spans="1:15">
      <c r="A92" s="789"/>
      <c r="B92" s="282">
        <v>224</v>
      </c>
      <c r="C92" s="288">
        <v>179512</v>
      </c>
      <c r="D92" s="284">
        <v>1000</v>
      </c>
      <c r="E92" s="170">
        <f t="shared" si="4"/>
        <v>2.9347028613352899</v>
      </c>
      <c r="F92" s="264"/>
      <c r="L92" s="288"/>
      <c r="M92" s="288"/>
      <c r="N92" s="288"/>
      <c r="O92" s="264"/>
    </row>
    <row r="93" spans="1:15">
      <c r="A93" s="789"/>
      <c r="B93" s="282">
        <v>231</v>
      </c>
      <c r="C93" s="288">
        <v>179501</v>
      </c>
      <c r="D93" s="284">
        <v>2375</v>
      </c>
      <c r="E93" s="170">
        <f t="shared" si="4"/>
        <v>6.9699192956713132</v>
      </c>
      <c r="F93" s="264"/>
      <c r="L93" s="288"/>
      <c r="M93" s="288"/>
      <c r="N93" s="288"/>
      <c r="O93" s="264"/>
    </row>
    <row r="94" spans="1:15">
      <c r="A94" s="789"/>
      <c r="B94" s="282">
        <v>238</v>
      </c>
      <c r="C94" s="288">
        <v>179507</v>
      </c>
      <c r="D94" s="284">
        <v>3000</v>
      </c>
      <c r="E94" s="170">
        <f t="shared" si="4"/>
        <v>8.8041085840058688</v>
      </c>
      <c r="F94" s="264"/>
      <c r="L94" s="288"/>
      <c r="M94" s="288"/>
      <c r="N94" s="288"/>
      <c r="O94" s="264"/>
    </row>
    <row r="95" spans="1:15">
      <c r="A95" s="789"/>
      <c r="B95" s="282">
        <v>239</v>
      </c>
      <c r="C95" s="288">
        <v>179505</v>
      </c>
      <c r="D95" s="284">
        <v>2563</v>
      </c>
      <c r="E95" s="170">
        <f t="shared" si="4"/>
        <v>7.5216434336023479</v>
      </c>
      <c r="F95" s="264"/>
      <c r="L95" s="288"/>
      <c r="M95" s="288"/>
      <c r="N95" s="288"/>
      <c r="O95" s="264"/>
    </row>
    <row r="96" spans="1:15" ht="12" thickBot="1">
      <c r="A96" s="790"/>
      <c r="B96" s="283">
        <v>240</v>
      </c>
      <c r="C96" s="290">
        <v>179503</v>
      </c>
      <c r="D96" s="285">
        <v>2838</v>
      </c>
      <c r="E96" s="268">
        <f t="shared" si="4"/>
        <v>8.3286867204695518</v>
      </c>
      <c r="F96" s="269">
        <f>SUM(E58:E96)</f>
        <v>337.3793103448275</v>
      </c>
      <c r="L96" s="288"/>
      <c r="M96" s="288"/>
      <c r="N96" s="288"/>
      <c r="O96" s="264"/>
    </row>
    <row r="97" spans="1:15" ht="12" thickBot="1">
      <c r="A97" s="308" t="s">
        <v>285</v>
      </c>
      <c r="B97" s="309">
        <v>259</v>
      </c>
      <c r="C97" s="310">
        <v>179531</v>
      </c>
      <c r="D97" s="311">
        <v>3750</v>
      </c>
      <c r="E97" s="313">
        <f t="shared" si="4"/>
        <v>11.005135730007337</v>
      </c>
      <c r="F97" s="312" t="s">
        <v>300</v>
      </c>
      <c r="L97" s="288"/>
      <c r="M97" s="288"/>
      <c r="N97" s="288"/>
      <c r="O97" s="264"/>
    </row>
    <row r="98" spans="1:15">
      <c r="A98" s="784" t="s">
        <v>307</v>
      </c>
      <c r="B98" s="282">
        <v>263</v>
      </c>
      <c r="C98" s="288">
        <v>179532</v>
      </c>
      <c r="D98" s="284">
        <v>1770</v>
      </c>
      <c r="E98" s="291">
        <f t="shared" si="4"/>
        <v>5.1944240645634627</v>
      </c>
      <c r="L98" s="288"/>
      <c r="M98" s="288"/>
      <c r="N98" s="288"/>
      <c r="O98" s="264"/>
    </row>
    <row r="99" spans="1:15">
      <c r="A99" s="785"/>
      <c r="B99" s="282">
        <v>268</v>
      </c>
      <c r="C99" s="288">
        <v>179510</v>
      </c>
      <c r="D99" s="284">
        <v>1000</v>
      </c>
      <c r="E99" s="291">
        <f t="shared" si="4"/>
        <v>2.9347028613352899</v>
      </c>
      <c r="F99" s="264"/>
      <c r="L99" s="288"/>
      <c r="M99" s="288"/>
      <c r="N99" s="288"/>
      <c r="O99" s="264"/>
    </row>
    <row r="100" spans="1:15">
      <c r="A100" s="785"/>
      <c r="B100" s="282">
        <v>269</v>
      </c>
      <c r="C100" s="288">
        <v>179529</v>
      </c>
      <c r="D100" s="284">
        <v>563</v>
      </c>
      <c r="E100" s="291">
        <f t="shared" si="4"/>
        <v>1.6522377109317681</v>
      </c>
      <c r="F100" s="264"/>
      <c r="L100" s="288"/>
      <c r="M100" s="288"/>
      <c r="N100" s="288"/>
      <c r="O100" s="264"/>
    </row>
    <row r="101" spans="1:15">
      <c r="A101" s="785"/>
      <c r="B101" s="282">
        <v>276</v>
      </c>
      <c r="C101" s="288">
        <v>179523</v>
      </c>
      <c r="D101" s="284">
        <v>2515</v>
      </c>
      <c r="E101" s="291">
        <f t="shared" si="4"/>
        <v>7.3807776962582539</v>
      </c>
      <c r="F101" s="264"/>
      <c r="L101" s="288"/>
      <c r="M101" s="288"/>
      <c r="N101" s="288"/>
      <c r="O101" s="264"/>
    </row>
    <row r="102" spans="1:15">
      <c r="A102" s="785"/>
      <c r="B102" s="282">
        <v>277</v>
      </c>
      <c r="C102" s="288">
        <v>147367</v>
      </c>
      <c r="D102" s="284">
        <v>1906</v>
      </c>
      <c r="E102" s="291">
        <f t="shared" si="4"/>
        <v>5.593543653705062</v>
      </c>
      <c r="F102" s="264"/>
      <c r="L102" s="288"/>
      <c r="M102" s="288"/>
      <c r="N102" s="288"/>
      <c r="O102" s="264"/>
    </row>
    <row r="103" spans="1:15">
      <c r="A103" s="785"/>
      <c r="B103" s="282">
        <v>279</v>
      </c>
      <c r="C103" s="288">
        <v>179563</v>
      </c>
      <c r="D103" s="284">
        <v>9465</v>
      </c>
      <c r="E103" s="291">
        <f t="shared" si="4"/>
        <v>27.776962582538516</v>
      </c>
      <c r="F103" s="264"/>
      <c r="L103" s="288"/>
      <c r="N103" s="288"/>
      <c r="O103" s="264"/>
    </row>
    <row r="104" spans="1:15" ht="12" thickBot="1">
      <c r="A104" s="786"/>
      <c r="B104" s="283">
        <v>280</v>
      </c>
      <c r="C104" s="290">
        <v>179538</v>
      </c>
      <c r="D104" s="285">
        <v>1375</v>
      </c>
      <c r="E104" s="292">
        <f t="shared" si="4"/>
        <v>4.0352164343360233</v>
      </c>
      <c r="F104" s="269">
        <f>SUM(E98:E104)</f>
        <v>54.567865003668373</v>
      </c>
      <c r="L104" s="288"/>
      <c r="N104" s="288"/>
      <c r="O104" s="264"/>
    </row>
    <row r="105" spans="1:15">
      <c r="A105" s="225" t="s">
        <v>308</v>
      </c>
      <c r="E105" s="291">
        <f t="shared" si="4"/>
        <v>0</v>
      </c>
      <c r="L105" s="288"/>
      <c r="N105" s="288"/>
      <c r="O105" s="264"/>
    </row>
    <row r="106" spans="1:15">
      <c r="E106" s="291">
        <f t="shared" si="4"/>
        <v>0</v>
      </c>
      <c r="L106" s="264"/>
      <c r="M106" s="264"/>
      <c r="N106" s="264"/>
      <c r="O106" s="264"/>
    </row>
    <row r="107" spans="1:15">
      <c r="E107" s="291">
        <f t="shared" si="4"/>
        <v>0</v>
      </c>
      <c r="L107" s="264"/>
      <c r="M107" s="264"/>
      <c r="N107" s="264"/>
      <c r="O107" s="264"/>
    </row>
    <row r="108" spans="1:15">
      <c r="E108" s="291">
        <f t="shared" si="4"/>
        <v>0</v>
      </c>
    </row>
    <row r="109" spans="1:15">
      <c r="E109" s="291">
        <f t="shared" si="4"/>
        <v>0</v>
      </c>
    </row>
    <row r="110" spans="1:15">
      <c r="E110" s="291">
        <f t="shared" si="4"/>
        <v>0</v>
      </c>
    </row>
  </sheetData>
  <mergeCells count="25">
    <mergeCell ref="A22:Q23"/>
    <mergeCell ref="F1:F2"/>
    <mergeCell ref="E24:G24"/>
    <mergeCell ref="E1:E2"/>
    <mergeCell ref="B90:B91"/>
    <mergeCell ref="A58:A96"/>
    <mergeCell ref="B67:B68"/>
    <mergeCell ref="B35:B36"/>
    <mergeCell ref="B40:B41"/>
    <mergeCell ref="A98:A104"/>
    <mergeCell ref="P1:Q1"/>
    <mergeCell ref="M1:M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A25:A45"/>
    <mergeCell ref="B49:B50"/>
    <mergeCell ref="A46:A5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58"/>
  <sheetViews>
    <sheetView workbookViewId="0">
      <pane ySplit="1" topLeftCell="A2" activePane="bottomLeft" state="frozen"/>
      <selection pane="bottomLeft" activeCell="Z24" sqref="Z24:AA24"/>
    </sheetView>
  </sheetViews>
  <sheetFormatPr defaultRowHeight="12.75"/>
  <cols>
    <col min="1" max="1" width="3.88671875" style="8" bestFit="1" customWidth="1"/>
    <col min="2" max="2" width="7" style="8" bestFit="1" customWidth="1"/>
    <col min="3" max="13" width="8.109375" style="8" bestFit="1" customWidth="1"/>
    <col min="14" max="14" width="7" style="8" bestFit="1" customWidth="1"/>
    <col min="15" max="15" width="7.21875" style="8" customWidth="1"/>
    <col min="16" max="16" width="8.44140625" style="8" bestFit="1" customWidth="1"/>
    <col min="17" max="17" width="7" style="8" bestFit="1" customWidth="1"/>
    <col min="18" max="18" width="6.5546875" style="8" bestFit="1" customWidth="1"/>
    <col min="19" max="19" width="2.88671875" style="8" customWidth="1"/>
    <col min="20" max="20" width="2.21875" style="8" customWidth="1"/>
    <col min="21" max="25" width="1.44140625" style="8" bestFit="1" customWidth="1"/>
    <col min="26" max="26" width="5.6640625" style="8" bestFit="1" customWidth="1"/>
    <col min="27" max="27" width="6.33203125" style="8" bestFit="1" customWidth="1"/>
    <col min="28" max="28" width="2.109375" style="8" bestFit="1" customWidth="1"/>
    <col min="29" max="29" width="2.77734375" style="8" customWidth="1"/>
    <col min="30" max="30" width="3.88671875" style="8" customWidth="1"/>
    <col min="31" max="31" width="8.44140625" style="8" bestFit="1" customWidth="1"/>
    <col min="32" max="16384" width="8.88671875" style="8"/>
  </cols>
  <sheetData>
    <row r="1" spans="1:31" ht="13.5" thickBot="1">
      <c r="A1" s="579"/>
      <c r="B1" s="528" t="s">
        <v>18</v>
      </c>
      <c r="C1" s="527" t="s">
        <v>19</v>
      </c>
      <c r="D1" s="528" t="s">
        <v>20</v>
      </c>
      <c r="E1" s="529" t="s">
        <v>21</v>
      </c>
      <c r="F1" s="528" t="s">
        <v>2</v>
      </c>
      <c r="G1" s="527" t="s">
        <v>22</v>
      </c>
      <c r="H1" s="528" t="s">
        <v>23</v>
      </c>
      <c r="I1" s="529" t="s">
        <v>24</v>
      </c>
      <c r="J1" s="528" t="s">
        <v>25</v>
      </c>
      <c r="K1" s="527" t="s">
        <v>26</v>
      </c>
      <c r="L1" s="528" t="s">
        <v>27</v>
      </c>
      <c r="M1" s="529" t="s">
        <v>28</v>
      </c>
      <c r="N1" s="16" t="s">
        <v>68</v>
      </c>
      <c r="O1" s="35" t="s">
        <v>54</v>
      </c>
      <c r="P1" s="225"/>
      <c r="Q1" s="16" t="s">
        <v>32</v>
      </c>
      <c r="R1" s="35" t="s">
        <v>54</v>
      </c>
      <c r="S1" s="531">
        <v>1</v>
      </c>
      <c r="T1" s="531">
        <v>2</v>
      </c>
      <c r="U1" s="531">
        <v>3</v>
      </c>
      <c r="V1" s="531">
        <v>4</v>
      </c>
      <c r="W1" s="531">
        <v>5</v>
      </c>
      <c r="X1" s="531">
        <v>6</v>
      </c>
      <c r="Y1" s="531">
        <v>7</v>
      </c>
      <c r="Z1" s="531">
        <v>8</v>
      </c>
      <c r="AA1" s="531">
        <v>9</v>
      </c>
      <c r="AB1" s="531">
        <v>10</v>
      </c>
      <c r="AC1" s="531">
        <v>11</v>
      </c>
      <c r="AD1" s="531">
        <v>12</v>
      </c>
    </row>
    <row r="2" spans="1:31">
      <c r="A2" s="15">
        <v>1998</v>
      </c>
      <c r="B2" s="97"/>
      <c r="C2" s="97"/>
      <c r="D2" s="97"/>
      <c r="E2" s="97"/>
      <c r="F2" s="97"/>
      <c r="G2" s="97"/>
      <c r="H2" s="97"/>
      <c r="I2" s="44"/>
      <c r="J2" s="577">
        <v>360.92</v>
      </c>
      <c r="K2" s="576"/>
      <c r="L2" s="576"/>
      <c r="M2" s="576"/>
      <c r="N2" s="39">
        <f t="shared" ref="N2:N6" si="0">SUM(B2:M2)</f>
        <v>360.92</v>
      </c>
      <c r="O2" s="487">
        <f>AE2</f>
        <v>10776</v>
      </c>
      <c r="P2" s="622">
        <v>0.3</v>
      </c>
      <c r="Q2" s="39">
        <f>N2*P2</f>
        <v>108.276</v>
      </c>
      <c r="R2" s="487">
        <f>O2*P2</f>
        <v>3232.7999999999997</v>
      </c>
      <c r="S2" s="237"/>
      <c r="T2" s="237"/>
      <c r="U2" s="237"/>
      <c r="V2" s="237"/>
      <c r="W2" s="237"/>
      <c r="X2" s="237"/>
      <c r="Y2" s="237"/>
      <c r="Z2" s="237"/>
      <c r="AA2" s="237">
        <v>10776</v>
      </c>
      <c r="AB2" s="237"/>
      <c r="AC2" s="237"/>
      <c r="AD2" s="237"/>
      <c r="AE2" s="489">
        <f>SUM(S2:AD2)</f>
        <v>10776</v>
      </c>
    </row>
    <row r="3" spans="1:31">
      <c r="A3" s="7">
        <v>1999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39">
        <f t="shared" si="0"/>
        <v>0</v>
      </c>
      <c r="O3" s="487">
        <f>AE3</f>
        <v>0</v>
      </c>
      <c r="P3" s="622">
        <v>0.4</v>
      </c>
      <c r="Q3" s="39">
        <f t="shared" ref="Q3:Q6" si="1">N3*P3</f>
        <v>0</v>
      </c>
      <c r="R3" s="487">
        <f t="shared" ref="R3:R6" si="2">O3*P3</f>
        <v>0</v>
      </c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489">
        <f t="shared" ref="AE3:AE6" si="3">SUM(S3:AD3)</f>
        <v>0</v>
      </c>
    </row>
    <row r="4" spans="1:31">
      <c r="A4" s="7">
        <v>2000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39">
        <f t="shared" si="0"/>
        <v>0</v>
      </c>
      <c r="O4" s="487">
        <f>AE4</f>
        <v>0</v>
      </c>
      <c r="P4" s="622">
        <v>0.45</v>
      </c>
      <c r="Q4" s="39">
        <f t="shared" si="1"/>
        <v>0</v>
      </c>
      <c r="R4" s="487">
        <f t="shared" si="2"/>
        <v>0</v>
      </c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489">
        <f t="shared" si="3"/>
        <v>0</v>
      </c>
    </row>
    <row r="5" spans="1:31">
      <c r="A5" s="7">
        <v>2001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39">
        <f t="shared" si="0"/>
        <v>0</v>
      </c>
      <c r="O5" s="487">
        <f>AE5</f>
        <v>0</v>
      </c>
      <c r="P5" s="622">
        <v>0.4</v>
      </c>
      <c r="Q5" s="39">
        <f t="shared" si="1"/>
        <v>0</v>
      </c>
      <c r="R5" s="487">
        <f t="shared" si="2"/>
        <v>0</v>
      </c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489">
        <f t="shared" si="3"/>
        <v>0</v>
      </c>
    </row>
    <row r="6" spans="1:31">
      <c r="A6" s="7">
        <v>2002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39">
        <f t="shared" si="0"/>
        <v>0</v>
      </c>
      <c r="O6" s="487">
        <f>AE6</f>
        <v>0</v>
      </c>
      <c r="P6" s="235"/>
      <c r="Q6" s="39">
        <f t="shared" si="1"/>
        <v>0</v>
      </c>
      <c r="R6" s="487">
        <f t="shared" si="2"/>
        <v>0</v>
      </c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489">
        <f t="shared" si="3"/>
        <v>0</v>
      </c>
    </row>
    <row r="7" spans="1:3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1">
        <f>SUM(N2:N6)</f>
        <v>360.92</v>
      </c>
      <c r="O7" s="486">
        <f>SUM(O2:O6)</f>
        <v>10776</v>
      </c>
      <c r="P7" s="245" t="s">
        <v>386</v>
      </c>
      <c r="Q7" s="41">
        <f>SUM(Q2:Q6)</f>
        <v>108.276</v>
      </c>
      <c r="R7" s="486">
        <f>SUM(R2:R6)</f>
        <v>3232.7999999999997</v>
      </c>
    </row>
    <row r="8" spans="1:31">
      <c r="N8" s="42"/>
      <c r="O8" s="624">
        <v>10776</v>
      </c>
      <c r="P8" s="245" t="s">
        <v>389</v>
      </c>
      <c r="Q8" s="787" t="s">
        <v>278</v>
      </c>
      <c r="R8" s="787"/>
    </row>
    <row r="9" spans="1:31">
      <c r="A9" s="137"/>
      <c r="B9" s="137"/>
      <c r="C9" s="137"/>
      <c r="D9" s="137"/>
      <c r="E9" s="137"/>
      <c r="F9" s="137"/>
      <c r="G9" s="137"/>
      <c r="H9" s="137"/>
      <c r="I9" s="137"/>
      <c r="J9" s="137"/>
      <c r="N9" s="506"/>
      <c r="O9" s="42"/>
      <c r="P9" s="111">
        <v>46061</v>
      </c>
    </row>
    <row r="10" spans="1:31">
      <c r="O10" s="42"/>
    </row>
    <row r="12" spans="1:31">
      <c r="A12" s="796" t="s">
        <v>575</v>
      </c>
      <c r="B12" s="796"/>
      <c r="C12" s="796"/>
      <c r="D12" s="796"/>
      <c r="E12" s="796"/>
      <c r="F12" s="796"/>
      <c r="G12" s="796"/>
      <c r="H12" s="796"/>
      <c r="I12" s="796"/>
      <c r="J12" s="796"/>
      <c r="K12" s="796"/>
      <c r="L12" s="796"/>
      <c r="M12" s="796"/>
      <c r="N12" s="796"/>
      <c r="O12" s="796"/>
      <c r="P12" s="796"/>
      <c r="Q12" s="796"/>
      <c r="R12" s="599"/>
    </row>
    <row r="14" spans="1:31">
      <c r="A14" s="796" t="s">
        <v>561</v>
      </c>
      <c r="B14" s="796"/>
      <c r="C14" s="796"/>
      <c r="D14" s="796"/>
      <c r="E14" s="796"/>
      <c r="F14" s="796"/>
      <c r="G14" s="796"/>
      <c r="H14" s="796"/>
      <c r="I14" s="796"/>
      <c r="J14" s="796"/>
      <c r="K14" s="796"/>
      <c r="L14" s="796"/>
      <c r="M14" s="796"/>
      <c r="N14" s="796"/>
      <c r="O14" s="796"/>
      <c r="P14" s="796"/>
      <c r="Q14" s="796"/>
      <c r="R14" s="599"/>
      <c r="Z14" s="8">
        <v>2509</v>
      </c>
      <c r="AA14" s="8">
        <v>3212</v>
      </c>
      <c r="AE14" s="492">
        <f>SUM(Z14:AA14)</f>
        <v>5721</v>
      </c>
    </row>
    <row r="16" spans="1:31">
      <c r="A16" s="541" t="s">
        <v>577</v>
      </c>
      <c r="B16" s="225"/>
      <c r="C16" s="225" t="s">
        <v>286</v>
      </c>
      <c r="D16" s="225" t="s">
        <v>29</v>
      </c>
      <c r="E16" s="225"/>
      <c r="F16" s="225" t="s">
        <v>30</v>
      </c>
      <c r="G16" s="225"/>
      <c r="H16" s="541" t="s">
        <v>576</v>
      </c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</row>
    <row r="17" spans="1:25">
      <c r="A17" s="107">
        <v>1998</v>
      </c>
      <c r="B17" s="539" t="s">
        <v>24</v>
      </c>
      <c r="C17" s="237">
        <v>3</v>
      </c>
      <c r="D17" s="235">
        <v>7.96</v>
      </c>
      <c r="E17" s="540"/>
      <c r="F17" s="95"/>
      <c r="G17" s="578"/>
      <c r="H17" s="235">
        <v>7.96</v>
      </c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</row>
    <row r="18" spans="1:25">
      <c r="A18" s="107"/>
      <c r="B18" s="540"/>
      <c r="C18" s="237">
        <v>5</v>
      </c>
      <c r="D18" s="235">
        <v>9.8699999999999992</v>
      </c>
      <c r="E18" s="225"/>
      <c r="F18" s="235"/>
      <c r="G18" s="235"/>
      <c r="H18" s="235">
        <v>9.8699999999999992</v>
      </c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</row>
    <row r="19" spans="1:25">
      <c r="A19" s="107"/>
      <c r="B19" s="540"/>
      <c r="C19" s="237">
        <v>9</v>
      </c>
      <c r="D19" s="235">
        <v>12.24</v>
      </c>
      <c r="E19" s="225"/>
      <c r="F19" s="235"/>
      <c r="G19" s="235"/>
      <c r="H19" s="235">
        <v>12.24</v>
      </c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</row>
    <row r="20" spans="1:25">
      <c r="A20" s="107"/>
      <c r="B20" s="540"/>
      <c r="C20" s="237">
        <v>12</v>
      </c>
      <c r="D20" s="235">
        <v>23.02</v>
      </c>
      <c r="E20" s="225"/>
      <c r="F20" s="235"/>
      <c r="G20" s="235"/>
      <c r="H20" s="235">
        <v>23.02</v>
      </c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</row>
    <row r="21" spans="1:25">
      <c r="A21" s="107"/>
      <c r="B21" s="540"/>
      <c r="C21" s="237">
        <v>14</v>
      </c>
      <c r="D21" s="235">
        <v>29.36</v>
      </c>
      <c r="E21" s="225"/>
      <c r="F21" s="235"/>
      <c r="G21" s="235"/>
      <c r="H21" s="235">
        <v>29.36</v>
      </c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</row>
    <row r="22" spans="1:25" ht="13.5" thickBot="1">
      <c r="A22" s="107"/>
      <c r="B22" s="553"/>
      <c r="C22" s="554"/>
      <c r="D22" s="555">
        <f>SUM(D17:D21)</f>
        <v>82.45</v>
      </c>
      <c r="E22" s="532" t="s">
        <v>562</v>
      </c>
      <c r="F22" s="268"/>
      <c r="G22" s="268"/>
      <c r="H22" s="556">
        <f>SUM(H17:H21)</f>
        <v>82.45</v>
      </c>
      <c r="I22" s="225"/>
      <c r="J22" s="225">
        <v>2509</v>
      </c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</row>
    <row r="23" spans="1:25">
      <c r="A23" s="107"/>
      <c r="B23" s="530" t="s">
        <v>25</v>
      </c>
      <c r="C23" s="109">
        <v>15</v>
      </c>
      <c r="D23" s="95"/>
      <c r="E23" s="530"/>
      <c r="F23" s="225"/>
      <c r="G23" s="562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</row>
    <row r="24" spans="1:25">
      <c r="A24" s="107"/>
      <c r="B24" s="521"/>
      <c r="C24" s="109">
        <v>17</v>
      </c>
      <c r="D24" s="95"/>
      <c r="E24" s="95"/>
      <c r="F24" s="235"/>
      <c r="G24" s="95"/>
      <c r="H24" s="235">
        <v>16.68</v>
      </c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</row>
    <row r="25" spans="1:25">
      <c r="A25" s="107"/>
      <c r="B25" s="521"/>
      <c r="C25" s="237">
        <v>18</v>
      </c>
      <c r="D25" s="235"/>
      <c r="E25" s="235"/>
      <c r="F25" s="567"/>
      <c r="G25" s="235"/>
      <c r="H25" s="235">
        <v>19.850000000000001</v>
      </c>
      <c r="I25" s="225"/>
      <c r="J25" s="225"/>
      <c r="K25" s="225"/>
      <c r="L25" s="225" t="s">
        <v>566</v>
      </c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</row>
    <row r="26" spans="1:25">
      <c r="A26" s="107"/>
      <c r="B26" s="521"/>
      <c r="C26" s="237">
        <v>19</v>
      </c>
      <c r="D26" s="235"/>
      <c r="E26" s="235"/>
      <c r="F26" s="235">
        <v>5.91</v>
      </c>
      <c r="G26" s="235"/>
      <c r="H26" s="235"/>
      <c r="I26" s="225"/>
      <c r="J26" s="225"/>
      <c r="K26" s="225"/>
      <c r="L26" s="225" t="s">
        <v>566</v>
      </c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</row>
    <row r="27" spans="1:25">
      <c r="A27" s="107"/>
      <c r="B27" s="521"/>
      <c r="C27" s="237">
        <v>20</v>
      </c>
      <c r="D27" s="235"/>
      <c r="E27" s="235"/>
      <c r="F27" s="235"/>
      <c r="G27" s="235"/>
      <c r="H27" s="235">
        <v>4</v>
      </c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</row>
    <row r="28" spans="1:25">
      <c r="A28" s="107"/>
      <c r="B28" s="521"/>
      <c r="C28" s="237">
        <v>22</v>
      </c>
      <c r="D28" s="235"/>
      <c r="E28" s="235"/>
      <c r="F28" s="235">
        <v>10.18</v>
      </c>
      <c r="G28" s="235"/>
      <c r="H28" s="235">
        <v>10.18</v>
      </c>
      <c r="I28" s="225"/>
      <c r="J28" s="225"/>
      <c r="K28" s="225"/>
      <c r="L28" s="225" t="s">
        <v>566</v>
      </c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</row>
    <row r="29" spans="1:25">
      <c r="A29" s="107"/>
      <c r="B29" s="521"/>
      <c r="C29" s="237">
        <v>23</v>
      </c>
      <c r="D29" s="235"/>
      <c r="E29" s="235"/>
      <c r="F29" s="235"/>
      <c r="G29" s="235"/>
      <c r="H29" s="235">
        <v>8.4</v>
      </c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</row>
    <row r="30" spans="1:25">
      <c r="A30" s="107"/>
      <c r="B30" s="521"/>
      <c r="C30" s="237">
        <v>25</v>
      </c>
      <c r="D30" s="235"/>
      <c r="E30" s="235"/>
      <c r="F30" s="235"/>
      <c r="G30" s="235"/>
      <c r="H30" s="23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</row>
    <row r="31" spans="1:25">
      <c r="A31" s="107"/>
      <c r="B31" s="521"/>
      <c r="C31" s="237">
        <v>30</v>
      </c>
      <c r="D31" s="235"/>
      <c r="E31" s="235"/>
      <c r="F31" s="235">
        <v>9.98</v>
      </c>
      <c r="G31" s="235"/>
      <c r="H31" s="23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</row>
    <row r="32" spans="1:25">
      <c r="A32" s="107"/>
      <c r="B32" s="521"/>
      <c r="C32" s="237">
        <v>32</v>
      </c>
      <c r="D32" s="235"/>
      <c r="E32" s="235"/>
      <c r="F32" s="235">
        <v>29.36</v>
      </c>
      <c r="G32" s="235"/>
      <c r="H32" s="23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</row>
    <row r="33" spans="1:25">
      <c r="A33" s="107"/>
      <c r="B33" s="521"/>
      <c r="C33" s="237">
        <v>34</v>
      </c>
      <c r="D33" s="235"/>
      <c r="E33" s="235"/>
      <c r="F33" s="235"/>
      <c r="G33" s="235"/>
      <c r="H33" s="235">
        <v>17.63</v>
      </c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</row>
    <row r="34" spans="1:25">
      <c r="A34" s="107"/>
      <c r="B34" s="521"/>
      <c r="C34" s="237">
        <v>36</v>
      </c>
      <c r="D34" s="235"/>
      <c r="E34" s="235"/>
      <c r="F34" s="567"/>
      <c r="G34" s="235"/>
      <c r="H34" s="235">
        <v>12.24</v>
      </c>
      <c r="I34" s="225"/>
      <c r="J34" s="225"/>
      <c r="K34" s="225"/>
      <c r="L34" s="225" t="s">
        <v>566</v>
      </c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</row>
    <row r="35" spans="1:25">
      <c r="A35" s="107"/>
      <c r="B35" s="521"/>
      <c r="C35" s="237">
        <v>38</v>
      </c>
      <c r="D35" s="235"/>
      <c r="E35" s="235"/>
      <c r="F35" s="567"/>
      <c r="G35" s="235"/>
      <c r="H35" s="235">
        <v>10.43</v>
      </c>
      <c r="I35" s="225"/>
      <c r="J35" s="225"/>
      <c r="K35" s="225"/>
      <c r="L35" s="225" t="s">
        <v>566</v>
      </c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</row>
    <row r="36" spans="1:25">
      <c r="A36" s="107"/>
      <c r="B36" s="521"/>
      <c r="C36" s="237">
        <v>41</v>
      </c>
      <c r="D36" s="235"/>
      <c r="E36" s="235"/>
      <c r="F36" s="235"/>
      <c r="G36" s="235"/>
      <c r="H36" s="235">
        <v>4</v>
      </c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</row>
    <row r="37" spans="1:25">
      <c r="A37" s="107"/>
      <c r="B37" s="521"/>
      <c r="C37" s="237">
        <v>43</v>
      </c>
      <c r="D37" s="235"/>
      <c r="E37" s="235"/>
      <c r="F37" s="235">
        <v>7.65</v>
      </c>
      <c r="G37" s="235"/>
      <c r="H37" s="23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</row>
    <row r="38" spans="1:25">
      <c r="A38" s="107"/>
      <c r="B38" s="521"/>
      <c r="C38" s="237">
        <v>44</v>
      </c>
      <c r="D38" s="235"/>
      <c r="E38" s="235"/>
      <c r="F38" s="235">
        <v>5.38</v>
      </c>
      <c r="G38" s="235"/>
      <c r="H38" s="235"/>
      <c r="I38" s="225"/>
      <c r="J38" s="225"/>
      <c r="K38" s="225"/>
      <c r="L38" s="225" t="s">
        <v>566</v>
      </c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</row>
    <row r="39" spans="1:25">
      <c r="A39" s="107"/>
      <c r="B39" s="521"/>
      <c r="C39" s="237">
        <v>45</v>
      </c>
      <c r="D39" s="235"/>
      <c r="E39" s="235"/>
      <c r="F39" s="567"/>
      <c r="G39" s="235"/>
      <c r="H39" s="235">
        <v>4.08</v>
      </c>
      <c r="I39" s="225"/>
      <c r="J39" s="225"/>
      <c r="K39" s="225"/>
      <c r="L39" s="225" t="s">
        <v>566</v>
      </c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</row>
    <row r="40" spans="1:25">
      <c r="A40" s="107"/>
      <c r="B40" s="521"/>
      <c r="C40" s="237">
        <v>47</v>
      </c>
      <c r="D40" s="235"/>
      <c r="E40" s="235"/>
      <c r="F40" s="235">
        <v>5.43</v>
      </c>
      <c r="G40" s="235"/>
      <c r="H40" s="235"/>
      <c r="I40" s="225"/>
      <c r="J40" s="225"/>
      <c r="K40" s="225"/>
      <c r="L40" s="225" t="s">
        <v>566</v>
      </c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</row>
    <row r="41" spans="1:25">
      <c r="A41" s="107"/>
      <c r="B41" s="521"/>
      <c r="C41" s="237">
        <v>50</v>
      </c>
      <c r="D41" s="235"/>
      <c r="E41" s="235"/>
      <c r="F41" s="235"/>
      <c r="G41" s="235"/>
      <c r="H41" s="235">
        <v>2.93</v>
      </c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</row>
    <row r="42" spans="1:25">
      <c r="A42" s="107"/>
      <c r="B42" s="521"/>
      <c r="C42" s="237">
        <v>51</v>
      </c>
      <c r="D42" s="235"/>
      <c r="E42" s="235"/>
      <c r="F42" s="235"/>
      <c r="G42" s="235"/>
      <c r="H42" s="235">
        <v>8.76</v>
      </c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</row>
    <row r="43" spans="1:25">
      <c r="A43" s="107"/>
      <c r="B43" s="521"/>
      <c r="C43" s="237">
        <v>52</v>
      </c>
      <c r="D43" s="235"/>
      <c r="E43" s="235"/>
      <c r="F43" s="235"/>
      <c r="G43" s="235"/>
      <c r="H43" s="235">
        <v>5.59</v>
      </c>
      <c r="I43" s="225"/>
      <c r="J43" s="225"/>
      <c r="K43" s="225"/>
      <c r="L43" s="225" t="s">
        <v>566</v>
      </c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</row>
    <row r="44" spans="1:25">
      <c r="A44" s="107"/>
      <c r="B44" s="521"/>
      <c r="C44" s="237">
        <v>53</v>
      </c>
      <c r="D44" s="235"/>
      <c r="E44" s="235"/>
      <c r="F44" s="235"/>
      <c r="G44" s="235"/>
      <c r="H44" s="235">
        <v>4.8099999999999996</v>
      </c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</row>
    <row r="45" spans="1:25">
      <c r="A45" s="107"/>
      <c r="B45" s="521"/>
      <c r="C45" s="237">
        <v>54</v>
      </c>
      <c r="D45" s="235"/>
      <c r="E45" s="235"/>
      <c r="F45" s="235"/>
      <c r="G45" s="235"/>
      <c r="H45" s="235">
        <v>46.62</v>
      </c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</row>
    <row r="46" spans="1:25">
      <c r="A46" s="107"/>
      <c r="B46" s="521"/>
      <c r="C46" s="237">
        <v>55</v>
      </c>
      <c r="D46" s="235"/>
      <c r="E46" s="235"/>
      <c r="F46" s="235"/>
      <c r="G46" s="235"/>
      <c r="H46" s="235">
        <v>6.06</v>
      </c>
      <c r="I46" s="225"/>
      <c r="J46" s="225"/>
      <c r="K46" s="225"/>
      <c r="L46" s="225" t="s">
        <v>566</v>
      </c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</row>
    <row r="47" spans="1:25">
      <c r="A47" s="107"/>
      <c r="B47" s="521"/>
      <c r="C47" s="237">
        <v>59</v>
      </c>
      <c r="D47" s="235"/>
      <c r="E47" s="235"/>
      <c r="F47" s="235"/>
      <c r="G47" s="235"/>
      <c r="H47" s="235">
        <v>1.63</v>
      </c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</row>
    <row r="48" spans="1:25">
      <c r="A48" s="107"/>
      <c r="B48" s="521"/>
      <c r="C48" s="237">
        <v>61</v>
      </c>
      <c r="D48" s="235"/>
      <c r="E48" s="235"/>
      <c r="F48" s="235"/>
      <c r="G48" s="235"/>
      <c r="H48" s="235">
        <v>13.51</v>
      </c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</row>
    <row r="49" spans="1:25">
      <c r="A49" s="107"/>
      <c r="B49" s="521"/>
      <c r="C49" s="237">
        <v>64</v>
      </c>
      <c r="D49" s="235"/>
      <c r="E49" s="235"/>
      <c r="F49" s="235"/>
      <c r="G49" s="235"/>
      <c r="H49" s="235">
        <v>2.83</v>
      </c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</row>
    <row r="50" spans="1:25">
      <c r="A50" s="107"/>
      <c r="B50" s="521"/>
      <c r="C50" s="237">
        <v>65</v>
      </c>
      <c r="D50" s="235"/>
      <c r="E50" s="235"/>
      <c r="F50" s="235"/>
      <c r="G50" s="235"/>
      <c r="H50" s="235">
        <v>7.81</v>
      </c>
      <c r="I50" s="225"/>
      <c r="J50" s="225">
        <v>6212</v>
      </c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</row>
    <row r="51" spans="1:25" ht="13.5" thickBot="1">
      <c r="A51" s="570"/>
      <c r="B51" s="314"/>
      <c r="C51" s="563"/>
      <c r="D51" s="314"/>
      <c r="E51" s="533" t="s">
        <v>562</v>
      </c>
      <c r="F51" s="580">
        <v>360.92</v>
      </c>
      <c r="G51" s="564"/>
      <c r="H51" s="565">
        <f>SUM(H23:H50)</f>
        <v>208.04000000000002</v>
      </c>
      <c r="I51" s="521" t="s">
        <v>563</v>
      </c>
      <c r="J51" s="225"/>
      <c r="K51" s="225"/>
      <c r="L51" s="225"/>
      <c r="M51" s="225"/>
      <c r="N51" s="225"/>
      <c r="O51" s="521" t="s">
        <v>565</v>
      </c>
      <c r="P51" s="225"/>
      <c r="Q51" s="225"/>
      <c r="R51" s="225"/>
      <c r="S51" s="225"/>
      <c r="T51" s="225"/>
      <c r="U51" s="225"/>
      <c r="V51" s="225"/>
      <c r="W51" s="225"/>
      <c r="X51" s="225"/>
      <c r="Y51" s="225"/>
    </row>
    <row r="52" spans="1:25">
      <c r="A52" s="225"/>
      <c r="B52" s="225"/>
      <c r="C52" s="225"/>
      <c r="D52" s="225"/>
      <c r="E52" s="225"/>
      <c r="F52" s="225"/>
      <c r="G52" s="225"/>
      <c r="H52" s="225"/>
      <c r="I52" s="625">
        <v>299</v>
      </c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</row>
    <row r="53" spans="1:25">
      <c r="A53" s="225"/>
      <c r="B53" s="225"/>
      <c r="C53" s="225"/>
      <c r="D53" s="225"/>
      <c r="E53" s="225"/>
      <c r="F53" s="225"/>
      <c r="G53" s="225"/>
      <c r="H53" s="228">
        <f>H22+H51</f>
        <v>290.49</v>
      </c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</row>
    <row r="54" spans="1:25">
      <c r="A54" s="225"/>
      <c r="B54" s="225"/>
      <c r="C54" s="225"/>
      <c r="D54" s="225"/>
      <c r="E54" s="225"/>
      <c r="F54" s="225"/>
      <c r="G54" s="225"/>
      <c r="H54" s="225"/>
      <c r="I54" s="228">
        <f>H53*30%</f>
        <v>87.147000000000006</v>
      </c>
      <c r="J54" s="237">
        <f>3609*30%</f>
        <v>1082.7</v>
      </c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</row>
    <row r="55" spans="1:25">
      <c r="A55" s="225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</row>
    <row r="56" spans="1:25">
      <c r="A56" s="225"/>
      <c r="B56" s="225"/>
      <c r="C56" s="225"/>
      <c r="D56" s="225"/>
      <c r="E56" s="225"/>
      <c r="F56" s="228">
        <f>F26+F38+F40</f>
        <v>16.72</v>
      </c>
      <c r="G56" s="721" t="s">
        <v>619</v>
      </c>
      <c r="H56" s="228">
        <f>H28+H43+H46</f>
        <v>21.83</v>
      </c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</row>
    <row r="57" spans="1:25">
      <c r="G57" s="11">
        <f>F56+H56</f>
        <v>38.549999999999997</v>
      </c>
    </row>
    <row r="58" spans="1:25">
      <c r="G58" s="8">
        <v>1155</v>
      </c>
    </row>
  </sheetData>
  <mergeCells count="3">
    <mergeCell ref="A12:Q12"/>
    <mergeCell ref="A14:Q14"/>
    <mergeCell ref="Q8:R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E50"/>
  <sheetViews>
    <sheetView workbookViewId="0">
      <pane ySplit="1" topLeftCell="A2" activePane="bottomLeft" state="frozen"/>
      <selection pane="bottomLeft" activeCell="P40" sqref="P40"/>
    </sheetView>
  </sheetViews>
  <sheetFormatPr defaultRowHeight="11.25"/>
  <cols>
    <col min="1" max="1" width="5" style="225" bestFit="1" customWidth="1"/>
    <col min="2" max="2" width="6.6640625" style="225" bestFit="1" customWidth="1"/>
    <col min="3" max="4" width="7" style="225" bestFit="1" customWidth="1"/>
    <col min="5" max="5" width="6.33203125" style="225" bestFit="1" customWidth="1"/>
    <col min="6" max="6" width="7" style="225" bestFit="1" customWidth="1"/>
    <col min="7" max="7" width="6.33203125" style="225" bestFit="1" customWidth="1"/>
    <col min="8" max="8" width="6.33203125" style="225" customWidth="1"/>
    <col min="9" max="11" width="6.33203125" style="225" bestFit="1" customWidth="1"/>
    <col min="12" max="12" width="4.44140625" style="225" bestFit="1" customWidth="1"/>
    <col min="13" max="13" width="7" style="225" customWidth="1"/>
    <col min="14" max="14" width="7.33203125" style="225" bestFit="1" customWidth="1"/>
    <col min="15" max="15" width="7.33203125" style="225" customWidth="1"/>
    <col min="16" max="16" width="9.88671875" style="225" bestFit="1" customWidth="1"/>
    <col min="17" max="17" width="7.33203125" style="225" bestFit="1" customWidth="1"/>
    <col min="18" max="18" width="5.33203125" style="225" customWidth="1"/>
    <col min="19" max="19" width="6.33203125" style="225" bestFit="1" customWidth="1"/>
    <col min="20" max="21" width="3.33203125" style="225" bestFit="1" customWidth="1"/>
    <col min="22" max="22" width="5.6640625" style="225" bestFit="1" customWidth="1"/>
    <col min="23" max="23" width="3.33203125" style="225" bestFit="1" customWidth="1"/>
    <col min="24" max="24" width="5.6640625" style="225" bestFit="1" customWidth="1"/>
    <col min="25" max="25" width="3.33203125" style="225" bestFit="1" customWidth="1"/>
    <col min="26" max="26" width="4.5546875" style="225" customWidth="1"/>
    <col min="27" max="28" width="5.6640625" style="225" bestFit="1" customWidth="1"/>
    <col min="29" max="29" width="4.6640625" style="225" customWidth="1"/>
    <col min="30" max="30" width="5.21875" style="225" customWidth="1"/>
    <col min="31" max="31" width="6.33203125" style="225" bestFit="1" customWidth="1"/>
    <col min="32" max="16384" width="8.88671875" style="225"/>
  </cols>
  <sheetData>
    <row r="1" spans="1:31" ht="12" thickBot="1">
      <c r="A1" s="259"/>
      <c r="B1" s="49" t="s">
        <v>18</v>
      </c>
      <c r="C1" s="260" t="s">
        <v>19</v>
      </c>
      <c r="D1" s="49" t="s">
        <v>20</v>
      </c>
      <c r="E1" s="20" t="s">
        <v>21</v>
      </c>
      <c r="F1" s="49" t="s">
        <v>2</v>
      </c>
      <c r="G1" s="260" t="s">
        <v>22</v>
      </c>
      <c r="H1" s="49" t="s">
        <v>23</v>
      </c>
      <c r="I1" s="20" t="s">
        <v>24</v>
      </c>
      <c r="J1" s="49" t="s">
        <v>25</v>
      </c>
      <c r="K1" s="260" t="s">
        <v>26</v>
      </c>
      <c r="L1" s="49" t="s">
        <v>27</v>
      </c>
      <c r="M1" s="20" t="s">
        <v>28</v>
      </c>
      <c r="N1" s="261" t="s">
        <v>68</v>
      </c>
      <c r="O1" s="261" t="s">
        <v>54</v>
      </c>
      <c r="P1" s="262" t="s">
        <v>210</v>
      </c>
      <c r="Q1" s="261" t="s">
        <v>54</v>
      </c>
      <c r="S1" s="225">
        <v>1</v>
      </c>
      <c r="T1" s="225">
        <v>2</v>
      </c>
      <c r="U1" s="225">
        <v>3</v>
      </c>
      <c r="V1" s="225">
        <v>4</v>
      </c>
      <c r="W1" s="225">
        <v>5</v>
      </c>
      <c r="X1" s="225">
        <v>6</v>
      </c>
      <c r="Y1" s="225">
        <v>7</v>
      </c>
      <c r="Z1" s="225">
        <v>8</v>
      </c>
      <c r="AA1" s="225">
        <v>9</v>
      </c>
      <c r="AB1" s="225">
        <v>10</v>
      </c>
      <c r="AC1" s="225">
        <v>11</v>
      </c>
      <c r="AD1" s="225">
        <v>12</v>
      </c>
    </row>
    <row r="2" spans="1:31">
      <c r="A2" s="229">
        <v>1998</v>
      </c>
      <c r="B2" s="89"/>
      <c r="C2" s="89"/>
      <c r="D2" s="89"/>
      <c r="E2" s="89"/>
      <c r="F2" s="89"/>
      <c r="G2" s="89"/>
      <c r="H2" s="89"/>
      <c r="I2" s="89"/>
      <c r="J2" s="89"/>
      <c r="K2" s="238">
        <v>124.02</v>
      </c>
      <c r="L2" s="238">
        <v>0</v>
      </c>
      <c r="M2" s="238">
        <v>0</v>
      </c>
      <c r="N2" s="231">
        <f>SUM(B2:M2)</f>
        <v>124.02</v>
      </c>
      <c r="O2" s="243">
        <f>AE2</f>
        <v>3633</v>
      </c>
      <c r="P2" s="231">
        <f>N2*R2</f>
        <v>37.205999999999996</v>
      </c>
      <c r="Q2" s="243">
        <f>O2*R2</f>
        <v>1089.8999999999999</v>
      </c>
      <c r="R2" s="626">
        <v>0.3</v>
      </c>
      <c r="S2" s="237"/>
      <c r="T2" s="237"/>
      <c r="U2" s="237"/>
      <c r="V2" s="237"/>
      <c r="W2" s="237"/>
      <c r="X2" s="237"/>
      <c r="Y2" s="237"/>
      <c r="Z2" s="237"/>
      <c r="AA2" s="237"/>
      <c r="AB2" s="237">
        <v>3633</v>
      </c>
      <c r="AC2" s="237">
        <v>0</v>
      </c>
      <c r="AD2" s="237">
        <v>0</v>
      </c>
      <c r="AE2" s="458">
        <f>SUM(S2:AD2)</f>
        <v>3633</v>
      </c>
    </row>
    <row r="3" spans="1:31">
      <c r="A3" s="226">
        <v>1999</v>
      </c>
      <c r="B3" s="242">
        <v>843.19</v>
      </c>
      <c r="C3" s="4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31">
        <f>SUM(B3:M3)</f>
        <v>843.19</v>
      </c>
      <c r="O3" s="243">
        <f t="shared" ref="O3:O17" si="0">AE3</f>
        <v>23335</v>
      </c>
      <c r="P3" s="231">
        <f t="shared" ref="P3:P17" si="1">N3*R3</f>
        <v>337.27600000000007</v>
      </c>
      <c r="Q3" s="243">
        <f t="shared" ref="Q3:Q17" si="2">O3*R3</f>
        <v>9334</v>
      </c>
      <c r="R3" s="626">
        <v>0.4</v>
      </c>
      <c r="S3" s="237">
        <v>23335</v>
      </c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458">
        <f>SUM(S3:AD3)</f>
        <v>23335</v>
      </c>
    </row>
    <row r="4" spans="1:31">
      <c r="A4" s="226">
        <v>2000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1">
        <f t="shared" ref="N4:N17" si="3">SUM(B4:M4)</f>
        <v>0</v>
      </c>
      <c r="O4" s="243">
        <f t="shared" si="0"/>
        <v>0</v>
      </c>
      <c r="P4" s="231">
        <f t="shared" si="1"/>
        <v>0</v>
      </c>
      <c r="Q4" s="243">
        <f t="shared" si="2"/>
        <v>0</v>
      </c>
      <c r="R4" s="626">
        <v>0.45</v>
      </c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458">
        <f t="shared" ref="AE4:AE17" si="4">SUM(S4:AD4)</f>
        <v>0</v>
      </c>
    </row>
    <row r="5" spans="1:31">
      <c r="A5" s="226">
        <v>2001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1">
        <f t="shared" si="3"/>
        <v>0</v>
      </c>
      <c r="O5" s="243">
        <f t="shared" si="0"/>
        <v>0</v>
      </c>
      <c r="P5" s="231">
        <f t="shared" si="1"/>
        <v>0</v>
      </c>
      <c r="Q5" s="243">
        <f t="shared" si="2"/>
        <v>0</v>
      </c>
      <c r="R5" s="626">
        <v>0.4</v>
      </c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458">
        <f t="shared" si="4"/>
        <v>0</v>
      </c>
    </row>
    <row r="6" spans="1:31">
      <c r="A6" s="226">
        <v>2002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1">
        <f t="shared" si="3"/>
        <v>0</v>
      </c>
      <c r="O6" s="243">
        <f t="shared" si="0"/>
        <v>0</v>
      </c>
      <c r="P6" s="231">
        <f t="shared" si="1"/>
        <v>0</v>
      </c>
      <c r="Q6" s="243">
        <f t="shared" si="2"/>
        <v>0</v>
      </c>
      <c r="R6" s="626">
        <v>0.4</v>
      </c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458">
        <f t="shared" si="4"/>
        <v>0</v>
      </c>
    </row>
    <row r="7" spans="1:31">
      <c r="A7" s="226">
        <v>2003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1">
        <f t="shared" si="3"/>
        <v>0</v>
      </c>
      <c r="O7" s="243">
        <f t="shared" si="0"/>
        <v>0</v>
      </c>
      <c r="P7" s="231">
        <f t="shared" si="1"/>
        <v>0</v>
      </c>
      <c r="Q7" s="243">
        <f t="shared" si="2"/>
        <v>0</v>
      </c>
      <c r="R7" s="626">
        <v>0.4</v>
      </c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458">
        <f t="shared" si="4"/>
        <v>0</v>
      </c>
    </row>
    <row r="8" spans="1:31">
      <c r="A8" s="226">
        <v>2004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1">
        <f t="shared" si="3"/>
        <v>0</v>
      </c>
      <c r="O8" s="243">
        <f t="shared" si="0"/>
        <v>0</v>
      </c>
      <c r="P8" s="231">
        <f t="shared" si="1"/>
        <v>0</v>
      </c>
      <c r="Q8" s="243">
        <f t="shared" si="2"/>
        <v>0</v>
      </c>
      <c r="R8" s="626">
        <v>0.4</v>
      </c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458">
        <f t="shared" si="4"/>
        <v>0</v>
      </c>
    </row>
    <row r="9" spans="1:31">
      <c r="A9" s="226">
        <v>2005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1">
        <f t="shared" si="3"/>
        <v>0</v>
      </c>
      <c r="O9" s="243">
        <f t="shared" si="0"/>
        <v>0</v>
      </c>
      <c r="P9" s="231">
        <f t="shared" si="1"/>
        <v>0</v>
      </c>
      <c r="Q9" s="243">
        <f t="shared" si="2"/>
        <v>0</v>
      </c>
      <c r="R9" s="626">
        <v>0.4</v>
      </c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458">
        <f t="shared" si="4"/>
        <v>0</v>
      </c>
    </row>
    <row r="10" spans="1:31">
      <c r="A10" s="226">
        <v>2006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1">
        <f t="shared" si="3"/>
        <v>0</v>
      </c>
      <c r="O10" s="243">
        <f t="shared" si="0"/>
        <v>0</v>
      </c>
      <c r="P10" s="231">
        <f t="shared" si="1"/>
        <v>0</v>
      </c>
      <c r="Q10" s="243">
        <f t="shared" si="2"/>
        <v>0</v>
      </c>
      <c r="R10" s="626">
        <v>0.4</v>
      </c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458">
        <f t="shared" si="4"/>
        <v>0</v>
      </c>
    </row>
    <row r="11" spans="1:31">
      <c r="A11" s="226">
        <v>2007</v>
      </c>
      <c r="B11" s="232"/>
      <c r="C11" s="232"/>
      <c r="D11" s="232"/>
      <c r="E11" s="232">
        <f>J29</f>
        <v>604.02</v>
      </c>
      <c r="F11" s="232"/>
      <c r="G11" s="232">
        <f>J38</f>
        <v>473.05</v>
      </c>
      <c r="H11" s="227"/>
      <c r="I11" s="227"/>
      <c r="J11" s="227"/>
      <c r="K11" s="227"/>
      <c r="L11" s="227"/>
      <c r="M11" s="227"/>
      <c r="N11" s="231">
        <f t="shared" si="3"/>
        <v>1077.07</v>
      </c>
      <c r="O11" s="243">
        <f t="shared" si="0"/>
        <v>5323</v>
      </c>
      <c r="P11" s="231">
        <f t="shared" si="1"/>
        <v>430.82799999999997</v>
      </c>
      <c r="Q11" s="243">
        <f t="shared" si="2"/>
        <v>2129.2000000000003</v>
      </c>
      <c r="R11" s="626">
        <v>0.4</v>
      </c>
      <c r="S11" s="237"/>
      <c r="T11" s="237"/>
      <c r="U11" s="237"/>
      <c r="V11" s="237">
        <v>3011</v>
      </c>
      <c r="W11" s="237"/>
      <c r="X11" s="237">
        <v>2312</v>
      </c>
      <c r="Y11" s="237"/>
      <c r="Z11" s="237"/>
      <c r="AA11" s="237"/>
      <c r="AB11" s="237"/>
      <c r="AC11" s="237"/>
      <c r="AD11" s="237"/>
      <c r="AE11" s="458">
        <f t="shared" si="4"/>
        <v>5323</v>
      </c>
    </row>
    <row r="12" spans="1:31">
      <c r="A12" s="226">
        <v>2008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31">
        <f t="shared" si="3"/>
        <v>0</v>
      </c>
      <c r="O12" s="243">
        <f t="shared" si="0"/>
        <v>0</v>
      </c>
      <c r="P12" s="231">
        <f t="shared" si="1"/>
        <v>0</v>
      </c>
      <c r="Q12" s="243">
        <f t="shared" si="2"/>
        <v>0</v>
      </c>
      <c r="R12" s="626">
        <v>0.4</v>
      </c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458">
        <f t="shared" si="4"/>
        <v>0</v>
      </c>
    </row>
    <row r="13" spans="1:31">
      <c r="A13" s="226">
        <v>2009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31">
        <f t="shared" si="3"/>
        <v>0</v>
      </c>
      <c r="O13" s="243">
        <f t="shared" si="0"/>
        <v>0</v>
      </c>
      <c r="P13" s="231">
        <f t="shared" si="1"/>
        <v>0</v>
      </c>
      <c r="Q13" s="243">
        <f t="shared" si="2"/>
        <v>0</v>
      </c>
      <c r="R13" s="626">
        <v>0.35</v>
      </c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458">
        <f t="shared" si="4"/>
        <v>0</v>
      </c>
    </row>
    <row r="14" spans="1:31">
      <c r="A14" s="226">
        <v>2010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31">
        <f t="shared" si="3"/>
        <v>0</v>
      </c>
      <c r="O14" s="243">
        <f t="shared" si="0"/>
        <v>0</v>
      </c>
      <c r="P14" s="231">
        <f t="shared" si="1"/>
        <v>0</v>
      </c>
      <c r="Q14" s="243">
        <f t="shared" si="2"/>
        <v>0</v>
      </c>
      <c r="R14" s="626">
        <v>0.45</v>
      </c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458">
        <f t="shared" si="4"/>
        <v>0</v>
      </c>
    </row>
    <row r="15" spans="1:31">
      <c r="A15" s="226">
        <v>2011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31">
        <f t="shared" si="3"/>
        <v>0</v>
      </c>
      <c r="O15" s="243">
        <f t="shared" si="0"/>
        <v>0</v>
      </c>
      <c r="P15" s="231">
        <f t="shared" si="1"/>
        <v>0</v>
      </c>
      <c r="Q15" s="243">
        <f t="shared" si="2"/>
        <v>0</v>
      </c>
      <c r="R15" s="626">
        <v>0.35</v>
      </c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458">
        <f t="shared" si="4"/>
        <v>0</v>
      </c>
    </row>
    <row r="16" spans="1:31">
      <c r="A16" s="226">
        <v>2012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31">
        <f t="shared" si="3"/>
        <v>0</v>
      </c>
      <c r="O16" s="243">
        <f t="shared" si="0"/>
        <v>0</v>
      </c>
      <c r="P16" s="231">
        <f t="shared" si="1"/>
        <v>0</v>
      </c>
      <c r="Q16" s="243">
        <f t="shared" si="2"/>
        <v>0</v>
      </c>
      <c r="R16" s="626">
        <v>0.18</v>
      </c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458">
        <f t="shared" si="4"/>
        <v>0</v>
      </c>
    </row>
    <row r="17" spans="1:31">
      <c r="A17" s="226">
        <v>2013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31">
        <f t="shared" si="3"/>
        <v>0</v>
      </c>
      <c r="O17" s="243">
        <f t="shared" si="0"/>
        <v>0</v>
      </c>
      <c r="P17" s="231">
        <f t="shared" si="1"/>
        <v>0</v>
      </c>
      <c r="Q17" s="243">
        <f t="shared" si="2"/>
        <v>0</v>
      </c>
      <c r="R17" s="626">
        <v>0.26</v>
      </c>
      <c r="S17" s="62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458">
        <f t="shared" si="4"/>
        <v>0</v>
      </c>
    </row>
    <row r="18" spans="1:31"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2">
        <f t="shared" ref="N18:P18" si="5">SUM(N2:N17)</f>
        <v>2044.28</v>
      </c>
      <c r="O18" s="240">
        <f t="shared" si="5"/>
        <v>32291</v>
      </c>
      <c r="P18" s="232">
        <f t="shared" si="5"/>
        <v>805.31000000000006</v>
      </c>
      <c r="Q18" s="240">
        <f>SUM(Q2:Q17)</f>
        <v>12553.1</v>
      </c>
    </row>
    <row r="19" spans="1:31">
      <c r="P19" s="303"/>
    </row>
    <row r="20" spans="1:31">
      <c r="O20" s="245" t="s">
        <v>386</v>
      </c>
      <c r="P20" s="111"/>
      <c r="Q20" s="111">
        <v>46062</v>
      </c>
    </row>
    <row r="21" spans="1:31" ht="15">
      <c r="A21" s="779" t="s">
        <v>559</v>
      </c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</row>
    <row r="22" spans="1:31" ht="12" thickBot="1">
      <c r="C22" s="797" t="s">
        <v>44</v>
      </c>
      <c r="D22" s="797"/>
      <c r="E22" s="797"/>
      <c r="F22" s="798" t="s">
        <v>45</v>
      </c>
      <c r="G22" s="798"/>
      <c r="H22" s="798"/>
    </row>
    <row r="23" spans="1:31">
      <c r="A23" s="603" t="s">
        <v>284</v>
      </c>
      <c r="B23" s="270">
        <v>67</v>
      </c>
      <c r="C23" s="271">
        <v>147380</v>
      </c>
      <c r="D23" s="271">
        <v>26815</v>
      </c>
      <c r="E23" s="272">
        <f t="shared" ref="E23:E26" si="6">D23/340.75</f>
        <v>78.694057226705795</v>
      </c>
      <c r="F23" s="300" t="s">
        <v>301</v>
      </c>
      <c r="G23" s="301"/>
      <c r="H23" s="301">
        <f t="shared" ref="H23" si="7">G23/340.75</f>
        <v>0</v>
      </c>
      <c r="I23" s="302">
        <f t="shared" ref="I23:I26" si="8">E23+H23</f>
        <v>78.694057226705795</v>
      </c>
      <c r="J23" s="264"/>
    </row>
    <row r="24" spans="1:31" ht="12" thickBot="1">
      <c r="A24" s="604"/>
      <c r="B24" s="266">
        <v>71</v>
      </c>
      <c r="C24" s="267">
        <v>147384</v>
      </c>
      <c r="D24" s="267">
        <v>15445</v>
      </c>
      <c r="E24" s="268">
        <f t="shared" si="6"/>
        <v>45.326485693323548</v>
      </c>
      <c r="F24" s="297" t="s">
        <v>301</v>
      </c>
      <c r="G24" s="298"/>
      <c r="H24" s="298">
        <f t="shared" ref="H24" si="9">G24/340.75</f>
        <v>0</v>
      </c>
      <c r="I24" s="299">
        <f t="shared" si="8"/>
        <v>45.326485693323548</v>
      </c>
      <c r="J24" s="269">
        <f>SUM(I23:I24)</f>
        <v>124.02054292002934</v>
      </c>
    </row>
    <row r="25" spans="1:31">
      <c r="A25" s="605" t="s">
        <v>285</v>
      </c>
      <c r="B25" s="270">
        <v>253</v>
      </c>
      <c r="C25" s="271">
        <v>147385</v>
      </c>
      <c r="D25" s="271">
        <v>182000</v>
      </c>
      <c r="E25" s="272">
        <f t="shared" si="6"/>
        <v>534.1159207630227</v>
      </c>
      <c r="F25" s="270"/>
      <c r="G25" s="272"/>
      <c r="H25" s="272">
        <f t="shared" ref="H25:H26" si="10">G25/340.75</f>
        <v>0</v>
      </c>
      <c r="I25" s="497">
        <f t="shared" si="8"/>
        <v>534.1159207630227</v>
      </c>
      <c r="J25" s="270"/>
    </row>
    <row r="26" spans="1:31" ht="12" thickBot="1">
      <c r="A26" s="572"/>
      <c r="B26" s="266">
        <v>254</v>
      </c>
      <c r="C26" s="267">
        <v>147799</v>
      </c>
      <c r="D26" s="267">
        <v>88331</v>
      </c>
      <c r="E26" s="268">
        <f t="shared" si="6"/>
        <v>259.2252384446075</v>
      </c>
      <c r="F26" s="267">
        <v>219196</v>
      </c>
      <c r="G26" s="267">
        <v>16987</v>
      </c>
      <c r="H26" s="268">
        <f t="shared" si="10"/>
        <v>49.851797505502567</v>
      </c>
      <c r="I26" s="498">
        <f t="shared" si="8"/>
        <v>309.07703595011009</v>
      </c>
      <c r="J26" s="269">
        <f>I25+I26</f>
        <v>843.19295671313284</v>
      </c>
    </row>
    <row r="27" spans="1:31">
      <c r="E27" s="235"/>
    </row>
    <row r="28" spans="1:31">
      <c r="A28" s="521" t="s">
        <v>581</v>
      </c>
      <c r="B28" s="284">
        <v>6816</v>
      </c>
      <c r="C28" s="170"/>
      <c r="E28" s="170">
        <v>253.3</v>
      </c>
      <c r="H28" s="170">
        <v>48.71</v>
      </c>
      <c r="I28" s="228">
        <f>E28+H28</f>
        <v>302.01</v>
      </c>
    </row>
    <row r="29" spans="1:31" ht="12" thickBot="1">
      <c r="A29" s="314"/>
      <c r="B29" s="285">
        <v>6817</v>
      </c>
      <c r="C29" s="268"/>
      <c r="D29" s="266"/>
      <c r="E29" s="268">
        <v>253.3</v>
      </c>
      <c r="F29" s="266"/>
      <c r="G29" s="266"/>
      <c r="H29" s="268">
        <v>48.71</v>
      </c>
      <c r="I29" s="299">
        <f t="shared" ref="I29:I36" si="11">E29+H29</f>
        <v>302.01</v>
      </c>
      <c r="J29" s="269">
        <f>I28+I29</f>
        <v>604.02</v>
      </c>
    </row>
    <row r="30" spans="1:31">
      <c r="A30" s="605" t="s">
        <v>582</v>
      </c>
      <c r="B30" s="265">
        <v>7032</v>
      </c>
      <c r="C30" s="170"/>
      <c r="E30" s="378">
        <v>330.04</v>
      </c>
      <c r="H30" s="378">
        <v>63.47</v>
      </c>
      <c r="I30" s="228">
        <f t="shared" si="11"/>
        <v>393.51</v>
      </c>
    </row>
    <row r="31" spans="1:31">
      <c r="A31" s="571"/>
      <c r="B31" s="284">
        <v>7084</v>
      </c>
      <c r="C31" s="170"/>
      <c r="E31" s="378">
        <v>2.39</v>
      </c>
      <c r="H31" s="378">
        <v>0.46</v>
      </c>
      <c r="I31" s="228">
        <f t="shared" si="11"/>
        <v>2.85</v>
      </c>
    </row>
    <row r="32" spans="1:31">
      <c r="A32" s="571"/>
      <c r="B32" s="284">
        <v>7085</v>
      </c>
      <c r="C32" s="717"/>
      <c r="D32" s="94"/>
      <c r="E32" s="291">
        <v>0.96</v>
      </c>
      <c r="F32" s="94"/>
      <c r="G32" s="94"/>
      <c r="H32" s="291">
        <v>0.18</v>
      </c>
      <c r="I32" s="718">
        <f t="shared" si="11"/>
        <v>1.1399999999999999</v>
      </c>
      <c r="J32" s="94"/>
    </row>
    <row r="33" spans="1:15">
      <c r="A33" s="571"/>
      <c r="B33" s="284">
        <v>7093</v>
      </c>
      <c r="C33" s="717"/>
      <c r="D33" s="94"/>
      <c r="E33" s="291">
        <v>43.46</v>
      </c>
      <c r="F33" s="94"/>
      <c r="G33" s="94"/>
      <c r="H33" s="291">
        <v>8.35</v>
      </c>
      <c r="I33" s="718">
        <f t="shared" si="11"/>
        <v>51.81</v>
      </c>
      <c r="J33" s="94"/>
    </row>
    <row r="34" spans="1:15">
      <c r="A34" s="571"/>
      <c r="B34" s="284">
        <v>7095</v>
      </c>
      <c r="C34" s="717"/>
      <c r="D34" s="94"/>
      <c r="E34" s="291">
        <v>7.46</v>
      </c>
      <c r="F34" s="94"/>
      <c r="G34" s="94"/>
      <c r="H34" s="291">
        <v>1.43</v>
      </c>
      <c r="I34" s="718">
        <f t="shared" si="11"/>
        <v>8.89</v>
      </c>
      <c r="J34" s="94"/>
    </row>
    <row r="35" spans="1:15">
      <c r="A35" s="571"/>
      <c r="B35" s="284">
        <v>7096</v>
      </c>
      <c r="C35" s="717"/>
      <c r="D35" s="94"/>
      <c r="E35" s="291">
        <v>11.2</v>
      </c>
      <c r="F35" s="94"/>
      <c r="G35" s="94"/>
      <c r="H35" s="291">
        <v>2.15</v>
      </c>
      <c r="I35" s="718">
        <f t="shared" si="11"/>
        <v>13.35</v>
      </c>
      <c r="J35" s="94"/>
    </row>
    <row r="36" spans="1:15">
      <c r="A36" s="571"/>
      <c r="B36" s="284">
        <v>7097</v>
      </c>
      <c r="C36" s="170"/>
      <c r="E36" s="378">
        <v>0.52</v>
      </c>
      <c r="H36" s="378">
        <v>0.1</v>
      </c>
      <c r="I36" s="228">
        <f t="shared" si="11"/>
        <v>0.62</v>
      </c>
    </row>
    <row r="37" spans="1:15">
      <c r="A37" s="571"/>
      <c r="B37" s="284">
        <v>7098</v>
      </c>
      <c r="C37" s="170"/>
      <c r="D37" s="264"/>
      <c r="E37" s="378">
        <v>0.74</v>
      </c>
      <c r="F37" s="264"/>
      <c r="G37" s="264"/>
      <c r="H37" s="378">
        <v>0.14000000000000001</v>
      </c>
      <c r="I37" s="296">
        <f t="shared" ref="I37" si="12">E37+H37</f>
        <v>0.88</v>
      </c>
    </row>
    <row r="38" spans="1:15" ht="12" thickBot="1">
      <c r="A38" s="571"/>
      <c r="B38" s="285"/>
      <c r="C38" s="268"/>
      <c r="D38" s="266"/>
      <c r="E38" s="374"/>
      <c r="F38" s="266"/>
      <c r="G38" s="266"/>
      <c r="H38" s="374"/>
      <c r="I38" s="299"/>
      <c r="J38" s="269">
        <f>SUM(I30:I38)</f>
        <v>473.05</v>
      </c>
    </row>
    <row r="39" spans="1:15">
      <c r="B39" s="237"/>
      <c r="E39" s="235"/>
    </row>
    <row r="40" spans="1:15">
      <c r="E40" s="235"/>
    </row>
    <row r="41" spans="1:15">
      <c r="E41" s="235"/>
    </row>
    <row r="42" spans="1:15">
      <c r="A42" s="771" t="s">
        <v>36</v>
      </c>
      <c r="B42" s="771"/>
      <c r="C42" s="771"/>
      <c r="D42" s="771"/>
      <c r="E42" s="771"/>
      <c r="F42" s="771"/>
      <c r="G42" s="771"/>
      <c r="H42" s="771"/>
      <c r="I42" s="771"/>
      <c r="J42" s="771"/>
      <c r="K42" s="771"/>
      <c r="L42" s="771"/>
      <c r="M42" s="771"/>
      <c r="N42" s="771"/>
      <c r="O42" s="771"/>
    </row>
    <row r="43" spans="1:15">
      <c r="E43" s="235"/>
    </row>
    <row r="44" spans="1:15">
      <c r="E44" s="235"/>
    </row>
    <row r="45" spans="1:15">
      <c r="E45" s="235"/>
    </row>
    <row r="46" spans="1:15">
      <c r="E46" s="235"/>
    </row>
    <row r="47" spans="1:15">
      <c r="E47" s="235"/>
    </row>
    <row r="48" spans="1:15">
      <c r="E48" s="235"/>
    </row>
    <row r="49" spans="5:5">
      <c r="E49" s="235"/>
    </row>
    <row r="50" spans="5:5">
      <c r="E50" s="235"/>
    </row>
  </sheetData>
  <mergeCells count="4">
    <mergeCell ref="A21:Q21"/>
    <mergeCell ref="C22:E22"/>
    <mergeCell ref="F22:H22"/>
    <mergeCell ref="A42:O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δολοςΤΑΝ</vt:lpstr>
      <vt:lpstr>281α1-2</vt:lpstr>
      <vt:lpstr>281α3-4</vt:lpstr>
      <vt:lpstr>281β1-2</vt:lpstr>
      <vt:lpstr>281γ1-2</vt:lpstr>
      <vt:lpstr>281δ1</vt:lpstr>
      <vt:lpstr>281δ2</vt:lpstr>
      <vt:lpstr>281δ3-4</vt:lpstr>
      <vt:lpstr>281ε1</vt:lpstr>
      <vt:lpstr>281ε2</vt:lpstr>
      <vt:lpstr>281-ε3</vt:lpstr>
      <vt:lpstr>281-ε4</vt:lpstr>
      <vt:lpstr>281ζ</vt:lpstr>
      <vt:lpstr>281η</vt:lpstr>
      <vt:lpstr>281θ</vt:lpstr>
      <vt:lpstr>281ι1α</vt:lpstr>
      <vt:lpstr>281ι1β</vt:lpstr>
      <vt:lpstr>281ι2</vt:lpstr>
      <vt:lpstr>281κ</vt:lpstr>
      <vt:lpstr>281λ-μ</vt:lpstr>
      <vt:lpstr>281ν</vt:lpstr>
      <vt:lpstr>281ξ(1-2)</vt:lpstr>
      <vt:lpstr>281ξ3</vt:lpstr>
      <vt:lpstr>281ο</vt:lpstr>
      <vt:lpstr>281ρ1</vt:lpstr>
      <vt:lpstr>281ρ2</vt:lpstr>
      <vt:lpstr>281ρ3</vt:lpstr>
      <vt:lpstr>281υ1</vt:lpstr>
      <vt:lpstr>281υ2</vt:lpstr>
      <vt:lpstr>281φ1</vt:lpstr>
      <vt:lpstr>281φ2</vt:lpstr>
      <vt:lpstr>281ω3α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2022-05-25T08:36:57Z</cp:lastPrinted>
  <dcterms:created xsi:type="dcterms:W3CDTF">2019-08-29T15:23:37Z</dcterms:created>
  <dcterms:modified xsi:type="dcterms:W3CDTF">2026-02-12T19:15:08Z</dcterms:modified>
</cp:coreProperties>
</file>