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tabRatio="966" activeTab="21"/>
  </bookViews>
  <sheets>
    <sheet name="δολοςΤΑΝ" sheetId="4" r:id="rId1"/>
    <sheet name="281α" sheetId="11" r:id="rId2"/>
    <sheet name="281β" sheetId="12" r:id="rId3"/>
    <sheet name="281γ" sheetId="13" r:id="rId4"/>
    <sheet name="281-δ1" sheetId="50" r:id="rId5"/>
    <sheet name="281δ2" sheetId="40" r:id="rId6"/>
    <sheet name="281ε1" sheetId="15" r:id="rId7"/>
    <sheet name="281ε2" sheetId="30" r:id="rId8"/>
    <sheet name="281ζ" sheetId="16" r:id="rId9"/>
    <sheet name="281η" sheetId="17" r:id="rId10"/>
    <sheet name="281θ" sheetId="18" r:id="rId11"/>
    <sheet name="281ι1" sheetId="19" r:id="rId12"/>
    <sheet name="281ι1β" sheetId="43" r:id="rId13"/>
    <sheet name="281ι2" sheetId="21" r:id="rId14"/>
    <sheet name="281κ" sheetId="22" r:id="rId15"/>
    <sheet name="281ξ(1-2)" sheetId="41" r:id="rId16"/>
    <sheet name="281ξ3" sheetId="51" r:id="rId17"/>
    <sheet name="281ο" sheetId="36" r:id="rId18"/>
    <sheet name="281ρ1" sheetId="37" r:id="rId19"/>
    <sheet name="281ρ2" sheetId="42" r:id="rId20"/>
    <sheet name="281ρ3" sheetId="52" r:id="rId21"/>
    <sheet name="281υ1" sheetId="49" r:id="rId22"/>
    <sheet name="281υ2" sheetId="48" r:id="rId23"/>
    <sheet name="281φ1" sheetId="47" r:id="rId24"/>
    <sheet name="281φ2" sheetId="46" r:id="rId25"/>
    <sheet name="281ω3α" sheetId="45" r:id="rId26"/>
  </sheets>
  <externalReferences>
    <externalReference r:id="rId27"/>
  </externalReferences>
  <calcPr calcId="125725"/>
</workbook>
</file>

<file path=xl/calcChain.xml><?xml version="1.0" encoding="utf-8"?>
<calcChain xmlns="http://schemas.openxmlformats.org/spreadsheetml/2006/main">
  <c r="AE3" i="49"/>
  <c r="O3" s="1"/>
  <c r="AE4"/>
  <c r="O4" s="1"/>
  <c r="AE2"/>
  <c r="O2" s="1"/>
  <c r="O3" i="42"/>
  <c r="O3" i="50"/>
  <c r="O2"/>
  <c r="O3" i="22"/>
  <c r="O4"/>
  <c r="O5"/>
  <c r="O6"/>
  <c r="O8" s="1"/>
  <c r="O7"/>
  <c r="O2"/>
  <c r="AC4"/>
  <c r="AC5"/>
  <c r="AC6"/>
  <c r="AC7"/>
  <c r="AC2"/>
  <c r="AC3"/>
  <c r="O6" i="21" l="1"/>
  <c r="O7"/>
  <c r="O8"/>
  <c r="O9"/>
  <c r="O10"/>
  <c r="O11"/>
  <c r="O18" i="50" l="1"/>
  <c r="AB18" i="21"/>
  <c r="O18" s="1"/>
  <c r="AB17"/>
  <c r="O17" s="1"/>
  <c r="AB16"/>
  <c r="O16" s="1"/>
  <c r="AB15"/>
  <c r="O15" s="1"/>
  <c r="AB14"/>
  <c r="O14" s="1"/>
  <c r="AB13"/>
  <c r="O13" s="1"/>
  <c r="AB12"/>
  <c r="O12" s="1"/>
  <c r="AB11"/>
  <c r="AB10"/>
  <c r="AB9"/>
  <c r="AB8"/>
  <c r="AB7"/>
  <c r="AB6"/>
  <c r="AB5"/>
  <c r="O5" s="1"/>
  <c r="AB4"/>
  <c r="O4" s="1"/>
  <c r="AB3"/>
  <c r="O3" s="1"/>
  <c r="AB3" i="19"/>
  <c r="O3" s="1"/>
  <c r="AB4"/>
  <c r="O4" s="1"/>
  <c r="AB5"/>
  <c r="O5" s="1"/>
  <c r="AB6"/>
  <c r="O6" s="1"/>
  <c r="AB7"/>
  <c r="O7" s="1"/>
  <c r="AB8"/>
  <c r="O8" s="1"/>
  <c r="AB9"/>
  <c r="O9" s="1"/>
  <c r="AB10"/>
  <c r="O10" s="1"/>
  <c r="AB11"/>
  <c r="O11" s="1"/>
  <c r="AB12"/>
  <c r="O12" s="1"/>
  <c r="AB13"/>
  <c r="O13" s="1"/>
  <c r="AB14"/>
  <c r="O14" s="1"/>
  <c r="AB15"/>
  <c r="O15" s="1"/>
  <c r="AB16"/>
  <c r="O16" s="1"/>
  <c r="AB17"/>
  <c r="O17" s="1"/>
  <c r="AB2"/>
  <c r="O2" s="1"/>
  <c r="Z3" i="52"/>
  <c r="O3" s="1"/>
  <c r="W4" i="4"/>
  <c r="W5"/>
  <c r="W6"/>
  <c r="W7"/>
  <c r="W8"/>
  <c r="W9"/>
  <c r="W10"/>
  <c r="W11"/>
  <c r="W12"/>
  <c r="W13"/>
  <c r="W14"/>
  <c r="W15"/>
  <c r="W16"/>
  <c r="W17"/>
  <c r="W18"/>
  <c r="W3"/>
  <c r="D49" i="19" l="1"/>
  <c r="D47"/>
  <c r="D33" i="49"/>
  <c r="D34"/>
  <c r="D35"/>
  <c r="D36"/>
  <c r="D27"/>
  <c r="D28"/>
  <c r="D29"/>
  <c r="E30" s="1"/>
  <c r="D30"/>
  <c r="D31"/>
  <c r="D32"/>
  <c r="D23"/>
  <c r="D24"/>
  <c r="D25"/>
  <c r="D26"/>
  <c r="E27" s="1"/>
  <c r="D37"/>
  <c r="D22"/>
  <c r="G34" i="21"/>
  <c r="F34"/>
  <c r="D33" i="19"/>
  <c r="E33" i="52"/>
  <c r="E32"/>
  <c r="E31"/>
  <c r="E30"/>
  <c r="E29"/>
  <c r="E29" i="42"/>
  <c r="E28"/>
  <c r="E27"/>
  <c r="E26"/>
  <c r="E30" i="37"/>
  <c r="E29"/>
  <c r="E28"/>
  <c r="E27"/>
  <c r="E26"/>
  <c r="E25"/>
  <c r="E24"/>
  <c r="E23"/>
  <c r="E25" i="42"/>
  <c r="E24"/>
  <c r="E35" i="52"/>
  <c r="E34"/>
  <c r="E28"/>
  <c r="E27"/>
  <c r="E26"/>
  <c r="E25"/>
  <c r="E24"/>
  <c r="E23"/>
  <c r="O18"/>
  <c r="N17"/>
  <c r="X18" i="4" s="1"/>
  <c r="N16" i="52"/>
  <c r="X17" i="4" s="1"/>
  <c r="N15" i="52"/>
  <c r="X16" i="4" s="1"/>
  <c r="N14" i="52"/>
  <c r="X15" i="4" s="1"/>
  <c r="N13" i="52"/>
  <c r="X14" i="4" s="1"/>
  <c r="N12" i="52"/>
  <c r="X13" i="4" s="1"/>
  <c r="N11" i="52"/>
  <c r="X12" i="4" s="1"/>
  <c r="N10" i="52"/>
  <c r="X11" i="4" s="1"/>
  <c r="N9" i="52"/>
  <c r="X10" i="4" s="1"/>
  <c r="N8" i="52"/>
  <c r="X9" i="4" s="1"/>
  <c r="N7" i="52"/>
  <c r="X8" i="4" s="1"/>
  <c r="N6" i="52"/>
  <c r="X7" i="4" s="1"/>
  <c r="N5" i="52"/>
  <c r="X6" i="4" s="1"/>
  <c r="N4" i="52"/>
  <c r="X5" i="4" s="1"/>
  <c r="Q3" i="52"/>
  <c r="N3"/>
  <c r="Q2"/>
  <c r="N2"/>
  <c r="D44" i="19"/>
  <c r="F32" i="21"/>
  <c r="D37" i="19"/>
  <c r="F31" i="21"/>
  <c r="F33"/>
  <c r="E32" i="49" l="1"/>
  <c r="G32" i="21"/>
  <c r="P3" i="52"/>
  <c r="P18" s="1"/>
  <c r="X4" i="4"/>
  <c r="P2" i="52"/>
  <c r="X3" i="4"/>
  <c r="F32" i="52"/>
  <c r="F29" i="42"/>
  <c r="F29" i="37"/>
  <c r="F26"/>
  <c r="F27" i="52"/>
  <c r="Q18"/>
  <c r="N18"/>
  <c r="AB4" i="4"/>
  <c r="AB5"/>
  <c r="AB6"/>
  <c r="AB7"/>
  <c r="AB8"/>
  <c r="AB9"/>
  <c r="AB10"/>
  <c r="AB11"/>
  <c r="AB12"/>
  <c r="AB13"/>
  <c r="AB14"/>
  <c r="AB15"/>
  <c r="AB16"/>
  <c r="AB17"/>
  <c r="AB18"/>
  <c r="AB3"/>
  <c r="AA4"/>
  <c r="AA5"/>
  <c r="AA6"/>
  <c r="AA7"/>
  <c r="AA8"/>
  <c r="AA9"/>
  <c r="AA10"/>
  <c r="AA11"/>
  <c r="AA12"/>
  <c r="AA13"/>
  <c r="AA14"/>
  <c r="AA15"/>
  <c r="AA16"/>
  <c r="AA17"/>
  <c r="AA18"/>
  <c r="AA3"/>
  <c r="Z7"/>
  <c r="Z8"/>
  <c r="Z9"/>
  <c r="Z10"/>
  <c r="Z11"/>
  <c r="Z12"/>
  <c r="Z13"/>
  <c r="Z14"/>
  <c r="Z15"/>
  <c r="Z16"/>
  <c r="Z17"/>
  <c r="Z18"/>
  <c r="Y6"/>
  <c r="Y7"/>
  <c r="Y8"/>
  <c r="Y9"/>
  <c r="Y10"/>
  <c r="Y11"/>
  <c r="Y12"/>
  <c r="Y13"/>
  <c r="Y14"/>
  <c r="Y15"/>
  <c r="Y16"/>
  <c r="Y17"/>
  <c r="Y18"/>
  <c r="AA19" l="1"/>
  <c r="D3"/>
  <c r="D4"/>
  <c r="D5"/>
  <c r="D6"/>
  <c r="D7"/>
  <c r="D8"/>
  <c r="D9"/>
  <c r="D10"/>
  <c r="T4"/>
  <c r="T5"/>
  <c r="T6"/>
  <c r="T7"/>
  <c r="T8"/>
  <c r="T9"/>
  <c r="T10"/>
  <c r="T11"/>
  <c r="T12"/>
  <c r="T13"/>
  <c r="T14"/>
  <c r="T15"/>
  <c r="T16"/>
  <c r="T17"/>
  <c r="T18"/>
  <c r="T3"/>
  <c r="S5"/>
  <c r="S6"/>
  <c r="S7"/>
  <c r="S8"/>
  <c r="S9"/>
  <c r="S10"/>
  <c r="S11"/>
  <c r="S12"/>
  <c r="S13"/>
  <c r="S14"/>
  <c r="S15"/>
  <c r="S16"/>
  <c r="S17"/>
  <c r="S18"/>
  <c r="S3"/>
  <c r="C13"/>
  <c r="C14"/>
  <c r="C15"/>
  <c r="C16"/>
  <c r="C17"/>
  <c r="C18"/>
  <c r="G6"/>
  <c r="G7"/>
  <c r="G8"/>
  <c r="G9"/>
  <c r="G5"/>
  <c r="G4"/>
  <c r="G3"/>
  <c r="F25" i="21"/>
  <c r="I23" i="15"/>
  <c r="H23"/>
  <c r="E23"/>
  <c r="Z3" i="13"/>
  <c r="Z4"/>
  <c r="Z5"/>
  <c r="Z6"/>
  <c r="Z7"/>
  <c r="Z8"/>
  <c r="Z9"/>
  <c r="Z10"/>
  <c r="Z11"/>
  <c r="AA3"/>
  <c r="AA4"/>
  <c r="AA5"/>
  <c r="AA6"/>
  <c r="AA7"/>
  <c r="AA8"/>
  <c r="AA9"/>
  <c r="AA10"/>
  <c r="AA11"/>
  <c r="H30"/>
  <c r="G27"/>
  <c r="G28"/>
  <c r="G29"/>
  <c r="G30"/>
  <c r="G31"/>
  <c r="G32"/>
  <c r="F24" i="21"/>
  <c r="F23"/>
  <c r="E101" i="40"/>
  <c r="E93"/>
  <c r="Q3" i="30"/>
  <c r="AE3"/>
  <c r="O3" s="1"/>
  <c r="AE2"/>
  <c r="O2" s="1"/>
  <c r="Q2" s="1"/>
  <c r="P18"/>
  <c r="P3"/>
  <c r="P2"/>
  <c r="J80"/>
  <c r="E68"/>
  <c r="E67"/>
  <c r="I66"/>
  <c r="I67"/>
  <c r="I68"/>
  <c r="H66"/>
  <c r="H67"/>
  <c r="H68"/>
  <c r="E66"/>
  <c r="I59"/>
  <c r="H59"/>
  <c r="E59"/>
  <c r="E30"/>
  <c r="Q18" l="1"/>
  <c r="H27"/>
  <c r="H80"/>
  <c r="H79"/>
  <c r="H78"/>
  <c r="H77"/>
  <c r="H76"/>
  <c r="H75"/>
  <c r="H74"/>
  <c r="H73"/>
  <c r="H72"/>
  <c r="H71"/>
  <c r="H70"/>
  <c r="H69"/>
  <c r="H65"/>
  <c r="H64"/>
  <c r="H63"/>
  <c r="H62"/>
  <c r="H61"/>
  <c r="H60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E27"/>
  <c r="E28"/>
  <c r="E29"/>
  <c r="I29" s="1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60"/>
  <c r="E61"/>
  <c r="E62"/>
  <c r="E63"/>
  <c r="E64"/>
  <c r="E65"/>
  <c r="E69"/>
  <c r="E70"/>
  <c r="E71"/>
  <c r="E72"/>
  <c r="E73"/>
  <c r="E74"/>
  <c r="E75"/>
  <c r="E76"/>
  <c r="E77"/>
  <c r="E78"/>
  <c r="E79"/>
  <c r="E80"/>
  <c r="H26"/>
  <c r="E26"/>
  <c r="AE2" i="15"/>
  <c r="O2" s="1"/>
  <c r="AE3"/>
  <c r="O3" s="1"/>
  <c r="Q3" s="1"/>
  <c r="H24"/>
  <c r="H25"/>
  <c r="H26"/>
  <c r="E24"/>
  <c r="I24" s="1"/>
  <c r="E25"/>
  <c r="E26"/>
  <c r="I26" s="1"/>
  <c r="Q2" l="1"/>
  <c r="O18"/>
  <c r="I78" i="30"/>
  <c r="I74"/>
  <c r="I72"/>
  <c r="I65"/>
  <c r="I62"/>
  <c r="I60"/>
  <c r="I55"/>
  <c r="I47"/>
  <c r="I43"/>
  <c r="I39"/>
  <c r="I35"/>
  <c r="I31"/>
  <c r="I76"/>
  <c r="I70"/>
  <c r="I64"/>
  <c r="I57"/>
  <c r="I53"/>
  <c r="I80"/>
  <c r="I49"/>
  <c r="I45"/>
  <c r="I28"/>
  <c r="I77"/>
  <c r="I71"/>
  <c r="I58"/>
  <c r="I54"/>
  <c r="I52"/>
  <c r="I50"/>
  <c r="I46"/>
  <c r="I42"/>
  <c r="I38"/>
  <c r="I34"/>
  <c r="I79"/>
  <c r="I75"/>
  <c r="I73"/>
  <c r="I69"/>
  <c r="I63"/>
  <c r="I61"/>
  <c r="I56"/>
  <c r="I51"/>
  <c r="I48"/>
  <c r="I44"/>
  <c r="I40"/>
  <c r="I36"/>
  <c r="I32"/>
  <c r="I27"/>
  <c r="I41"/>
  <c r="I26"/>
  <c r="I37"/>
  <c r="I33"/>
  <c r="I30"/>
  <c r="I25" i="15"/>
  <c r="J25" s="1"/>
  <c r="N3"/>
  <c r="N2"/>
  <c r="AE4" i="40"/>
  <c r="O4" s="1"/>
  <c r="AE3"/>
  <c r="O3" s="1"/>
  <c r="E116"/>
  <c r="E117"/>
  <c r="E118"/>
  <c r="E119"/>
  <c r="E120"/>
  <c r="E121"/>
  <c r="E122"/>
  <c r="E123"/>
  <c r="E124"/>
  <c r="E125"/>
  <c r="E126"/>
  <c r="E127"/>
  <c r="E128"/>
  <c r="E115"/>
  <c r="E114"/>
  <c r="E113"/>
  <c r="E112"/>
  <c r="E111"/>
  <c r="E110"/>
  <c r="E90"/>
  <c r="E91"/>
  <c r="E92"/>
  <c r="E94"/>
  <c r="E95"/>
  <c r="E96"/>
  <c r="E97"/>
  <c r="E98"/>
  <c r="E99"/>
  <c r="E100"/>
  <c r="E102"/>
  <c r="E103"/>
  <c r="E104"/>
  <c r="E105"/>
  <c r="E106"/>
  <c r="E107"/>
  <c r="E108"/>
  <c r="E109"/>
  <c r="E84"/>
  <c r="E85"/>
  <c r="E86"/>
  <c r="E87"/>
  <c r="E88"/>
  <c r="E89"/>
  <c r="E68"/>
  <c r="E69"/>
  <c r="E70"/>
  <c r="E71"/>
  <c r="E72"/>
  <c r="E73"/>
  <c r="E74"/>
  <c r="E75"/>
  <c r="E76"/>
  <c r="E77"/>
  <c r="F114" s="1"/>
  <c r="E78"/>
  <c r="E79"/>
  <c r="E80"/>
  <c r="E81"/>
  <c r="E82"/>
  <c r="E83"/>
  <c r="F122" l="1"/>
  <c r="J76" i="30"/>
  <c r="J52"/>
  <c r="J28"/>
  <c r="J44"/>
  <c r="J33"/>
  <c r="E54" i="40"/>
  <c r="E55"/>
  <c r="E56"/>
  <c r="E57"/>
  <c r="E58"/>
  <c r="E59"/>
  <c r="E60"/>
  <c r="E61"/>
  <c r="E62"/>
  <c r="E63"/>
  <c r="E64"/>
  <c r="E65"/>
  <c r="E66"/>
  <c r="E67"/>
  <c r="F75" l="1"/>
  <c r="E4" i="4"/>
  <c r="E5"/>
  <c r="E6"/>
  <c r="E7"/>
  <c r="E8"/>
  <c r="E9"/>
  <c r="E3"/>
  <c r="E25" i="40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24"/>
  <c r="Q3" i="50"/>
  <c r="Q4"/>
  <c r="Q5"/>
  <c r="Q6"/>
  <c r="Q7"/>
  <c r="Q8"/>
  <c r="Q9"/>
  <c r="Q10"/>
  <c r="Q11"/>
  <c r="Q12"/>
  <c r="Q13"/>
  <c r="Q14"/>
  <c r="Q15"/>
  <c r="Q16"/>
  <c r="Q17"/>
  <c r="Q2"/>
  <c r="P3"/>
  <c r="P4"/>
  <c r="P5"/>
  <c r="P6"/>
  <c r="P7"/>
  <c r="P8"/>
  <c r="P9"/>
  <c r="P10"/>
  <c r="P11"/>
  <c r="P12"/>
  <c r="P13"/>
  <c r="P14"/>
  <c r="P15"/>
  <c r="P16"/>
  <c r="P17"/>
  <c r="P2"/>
  <c r="AE1"/>
  <c r="AE2"/>
  <c r="AE3"/>
  <c r="N3"/>
  <c r="N2"/>
  <c r="G40"/>
  <c r="G39"/>
  <c r="G34"/>
  <c r="T32" i="51"/>
  <c r="X23"/>
  <c r="AE19"/>
  <c r="AC18"/>
  <c r="AC17"/>
  <c r="AC16"/>
  <c r="AC19" s="1"/>
  <c r="AB16"/>
  <c r="M15"/>
  <c r="K15"/>
  <c r="I15"/>
  <c r="G15"/>
  <c r="E15"/>
  <c r="AA15" s="1"/>
  <c r="AB15" s="1"/>
  <c r="C15"/>
  <c r="Y14"/>
  <c r="W14"/>
  <c r="U14"/>
  <c r="S14"/>
  <c r="Q14"/>
  <c r="O14"/>
  <c r="M14"/>
  <c r="K14"/>
  <c r="I14"/>
  <c r="G14"/>
  <c r="E14"/>
  <c r="C14"/>
  <c r="AA14" s="1"/>
  <c r="AB14" s="1"/>
  <c r="AB13"/>
  <c r="AA13"/>
  <c r="AA12"/>
  <c r="AB12" s="1"/>
  <c r="AB11"/>
  <c r="AA11"/>
  <c r="Y11"/>
  <c r="AA10"/>
  <c r="AB10" s="1"/>
  <c r="Y10"/>
  <c r="Y9"/>
  <c r="AA9" s="1"/>
  <c r="AB9" s="1"/>
  <c r="Y8"/>
  <c r="AA8" s="1"/>
  <c r="AB8" s="1"/>
  <c r="Y7"/>
  <c r="W7"/>
  <c r="U7"/>
  <c r="S7"/>
  <c r="Q7"/>
  <c r="O7"/>
  <c r="M7"/>
  <c r="G7"/>
  <c r="E7"/>
  <c r="C7"/>
  <c r="AA7" s="1"/>
  <c r="AB7" s="1"/>
  <c r="Y6"/>
  <c r="W6"/>
  <c r="U6"/>
  <c r="S6"/>
  <c r="Q6"/>
  <c r="O6"/>
  <c r="M6"/>
  <c r="K6"/>
  <c r="I6"/>
  <c r="G6"/>
  <c r="E6"/>
  <c r="C6"/>
  <c r="Z6" s="1"/>
  <c r="AA6" s="1"/>
  <c r="AB6" s="1"/>
  <c r="Y5"/>
  <c r="W5"/>
  <c r="U5"/>
  <c r="S5"/>
  <c r="Z5" s="1"/>
  <c r="AA5" s="1"/>
  <c r="AB5" s="1"/>
  <c r="Q5"/>
  <c r="AA4"/>
  <c r="AB4" s="1"/>
  <c r="Z4"/>
  <c r="Z3"/>
  <c r="AA3" s="1"/>
  <c r="F63" i="40" l="1"/>
  <c r="F28"/>
  <c r="F42"/>
  <c r="AB3" i="51"/>
  <c r="AB19" s="1"/>
  <c r="AA19"/>
  <c r="Q4" i="40" l="1"/>
  <c r="Q3"/>
  <c r="Q17" i="15"/>
  <c r="Q16"/>
  <c r="Q15"/>
  <c r="Q14"/>
  <c r="Q13"/>
  <c r="Q12"/>
  <c r="Q11"/>
  <c r="Q10"/>
  <c r="Q9"/>
  <c r="Q8"/>
  <c r="Q7"/>
  <c r="Q6"/>
  <c r="Q5"/>
  <c r="P2"/>
  <c r="Q18" l="1"/>
  <c r="Q19" i="40"/>
  <c r="P3" i="15"/>
  <c r="P18" s="1"/>
  <c r="N18"/>
  <c r="Z6" i="4" l="1"/>
  <c r="J4" i="48"/>
  <c r="K4"/>
  <c r="L4"/>
  <c r="M4"/>
  <c r="O4"/>
  <c r="J3"/>
  <c r="K3"/>
  <c r="L3"/>
  <c r="M3"/>
  <c r="O3"/>
  <c r="B4"/>
  <c r="C4"/>
  <c r="D4"/>
  <c r="E4"/>
  <c r="F4"/>
  <c r="G4"/>
  <c r="H4"/>
  <c r="B3"/>
  <c r="C3"/>
  <c r="D3"/>
  <c r="E3"/>
  <c r="F3"/>
  <c r="G3"/>
  <c r="H3"/>
  <c r="I3"/>
  <c r="I4"/>
  <c r="J2"/>
  <c r="K2"/>
  <c r="L2"/>
  <c r="M2"/>
  <c r="O2"/>
  <c r="I2"/>
  <c r="O18" i="49"/>
  <c r="Q17"/>
  <c r="Q16"/>
  <c r="Q15"/>
  <c r="Q14"/>
  <c r="Q13"/>
  <c r="Q12"/>
  <c r="Q11"/>
  <c r="Q10"/>
  <c r="Q9"/>
  <c r="Q8"/>
  <c r="Q7"/>
  <c r="Q6"/>
  <c r="Q5"/>
  <c r="Q4"/>
  <c r="Q4" i="48" s="1"/>
  <c r="N4" i="49"/>
  <c r="Y5" i="4" s="1"/>
  <c r="Q3" i="49"/>
  <c r="Q3" i="48" s="1"/>
  <c r="N3" i="49"/>
  <c r="Y4" i="4" s="1"/>
  <c r="Q2" i="49"/>
  <c r="N2"/>
  <c r="Y3" i="4" s="1"/>
  <c r="Y19" l="1"/>
  <c r="N2" i="48"/>
  <c r="Z3" i="4" s="1"/>
  <c r="Q18" i="49"/>
  <c r="P2"/>
  <c r="P2" i="48" s="1"/>
  <c r="P3" i="49"/>
  <c r="P3" i="48" s="1"/>
  <c r="P4" i="49"/>
  <c r="P4" i="48" s="1"/>
  <c r="N18" i="49"/>
  <c r="Q2" i="48"/>
  <c r="Q5" s="1"/>
  <c r="N3"/>
  <c r="Z4" i="4" s="1"/>
  <c r="N4" i="48"/>
  <c r="Z5" i="4" s="1"/>
  <c r="O5" i="48"/>
  <c r="Z19" i="4" l="1"/>
  <c r="P5" i="48"/>
  <c r="P18" i="49"/>
  <c r="N5" i="48"/>
  <c r="AF135" i="47"/>
  <c r="AE135"/>
  <c r="AF134"/>
  <c r="AE134"/>
  <c r="AD104"/>
  <c r="AD119" s="1"/>
  <c r="R52"/>
  <c r="R50"/>
  <c r="P50"/>
  <c r="P51" s="1"/>
  <c r="P52" s="1"/>
  <c r="AM43"/>
  <c r="AP42"/>
  <c r="AP43" s="1"/>
  <c r="AP41"/>
  <c r="AO41"/>
  <c r="AO42" s="1"/>
  <c r="AO43" s="1"/>
  <c r="Q12"/>
  <c r="P12"/>
  <c r="Q11"/>
  <c r="P11"/>
  <c r="Q10"/>
  <c r="P10"/>
  <c r="S9"/>
  <c r="T9" s="1"/>
  <c r="Q9"/>
  <c r="P9"/>
  <c r="S8"/>
  <c r="Q8"/>
  <c r="P8"/>
  <c r="N8"/>
  <c r="P7"/>
  <c r="Q7"/>
  <c r="N7"/>
  <c r="Q6"/>
  <c r="P6"/>
  <c r="N6"/>
  <c r="Q5"/>
  <c r="N5"/>
  <c r="P5" s="1"/>
  <c r="N4"/>
  <c r="P4" s="1"/>
  <c r="Q3"/>
  <c r="N3"/>
  <c r="P3" s="1"/>
  <c r="Q2"/>
  <c r="P2"/>
  <c r="P18" s="1"/>
  <c r="N2"/>
  <c r="Q12" i="46"/>
  <c r="P12"/>
  <c r="O12"/>
  <c r="N12"/>
  <c r="M12"/>
  <c r="L12"/>
  <c r="K12"/>
  <c r="J12"/>
  <c r="I12"/>
  <c r="H12"/>
  <c r="G12"/>
  <c r="F12"/>
  <c r="E12"/>
  <c r="D12"/>
  <c r="C12"/>
  <c r="B12"/>
  <c r="Q11"/>
  <c r="P11"/>
  <c r="O11"/>
  <c r="N11"/>
  <c r="M11"/>
  <c r="L11"/>
  <c r="K11"/>
  <c r="J11"/>
  <c r="I11"/>
  <c r="H11"/>
  <c r="G11"/>
  <c r="F11"/>
  <c r="E11"/>
  <c r="D11"/>
  <c r="C11"/>
  <c r="B11"/>
  <c r="Q10"/>
  <c r="P10"/>
  <c r="O10"/>
  <c r="N10"/>
  <c r="M10"/>
  <c r="L10"/>
  <c r="K10"/>
  <c r="J10"/>
  <c r="I10"/>
  <c r="H10"/>
  <c r="G10"/>
  <c r="F10"/>
  <c r="E10"/>
  <c r="D10"/>
  <c r="C10"/>
  <c r="B10"/>
  <c r="Q9"/>
  <c r="P9"/>
  <c r="O9"/>
  <c r="N9"/>
  <c r="M9"/>
  <c r="L9"/>
  <c r="K9"/>
  <c r="J9"/>
  <c r="I9"/>
  <c r="H9"/>
  <c r="G9"/>
  <c r="F9"/>
  <c r="E9"/>
  <c r="D9"/>
  <c r="C9"/>
  <c r="B9"/>
  <c r="Q8"/>
  <c r="P8"/>
  <c r="O8"/>
  <c r="N8"/>
  <c r="M8"/>
  <c r="L8"/>
  <c r="K8"/>
  <c r="J8"/>
  <c r="I8"/>
  <c r="H8"/>
  <c r="G8"/>
  <c r="F8"/>
  <c r="E8"/>
  <c r="D8"/>
  <c r="C8"/>
  <c r="B8"/>
  <c r="Q7"/>
  <c r="P7"/>
  <c r="O7"/>
  <c r="N7"/>
  <c r="M7"/>
  <c r="L7"/>
  <c r="K7"/>
  <c r="J7"/>
  <c r="I7"/>
  <c r="H7"/>
  <c r="G7"/>
  <c r="F7"/>
  <c r="E7"/>
  <c r="D7"/>
  <c r="C7"/>
  <c r="B7"/>
  <c r="Q6"/>
  <c r="P6"/>
  <c r="O6"/>
  <c r="N6"/>
  <c r="M6"/>
  <c r="L6"/>
  <c r="K6"/>
  <c r="J6"/>
  <c r="I6"/>
  <c r="H6"/>
  <c r="G6"/>
  <c r="F6"/>
  <c r="E6"/>
  <c r="D6"/>
  <c r="C6"/>
  <c r="B6"/>
  <c r="Q5"/>
  <c r="P5"/>
  <c r="O5"/>
  <c r="N5"/>
  <c r="M5"/>
  <c r="L5"/>
  <c r="K5"/>
  <c r="J5"/>
  <c r="I5"/>
  <c r="H5"/>
  <c r="G5"/>
  <c r="F5"/>
  <c r="E5"/>
  <c r="D5"/>
  <c r="C5"/>
  <c r="B5"/>
  <c r="Q4"/>
  <c r="P4"/>
  <c r="O4"/>
  <c r="N4"/>
  <c r="M4"/>
  <c r="L4"/>
  <c r="K4"/>
  <c r="J4"/>
  <c r="I4"/>
  <c r="H4"/>
  <c r="G4"/>
  <c r="F4"/>
  <c r="E4"/>
  <c r="D4"/>
  <c r="C4"/>
  <c r="B4"/>
  <c r="Q3"/>
  <c r="P3"/>
  <c r="O3"/>
  <c r="N3"/>
  <c r="M3"/>
  <c r="L3"/>
  <c r="K3"/>
  <c r="J3"/>
  <c r="I3"/>
  <c r="H3"/>
  <c r="G3"/>
  <c r="F3"/>
  <c r="E3"/>
  <c r="D3"/>
  <c r="C3"/>
  <c r="B3"/>
  <c r="Q2"/>
  <c r="Q18" s="1"/>
  <c r="P2"/>
  <c r="P18" s="1"/>
  <c r="O2"/>
  <c r="O18" s="1"/>
  <c r="N2"/>
  <c r="N18" s="1"/>
  <c r="M2"/>
  <c r="L2"/>
  <c r="K2"/>
  <c r="J2"/>
  <c r="I2"/>
  <c r="AD120" i="47" l="1"/>
  <c r="AD134"/>
  <c r="AD135" s="1"/>
  <c r="N18"/>
  <c r="AE104"/>
  <c r="O18" l="1"/>
  <c r="Q4"/>
  <c r="Q18" s="1"/>
  <c r="R3" i="45" l="1"/>
  <c r="R4"/>
  <c r="R5"/>
  <c r="R6"/>
  <c r="R7"/>
  <c r="R2"/>
  <c r="P8"/>
  <c r="Q7"/>
  <c r="O7"/>
  <c r="O6"/>
  <c r="Q6" s="1"/>
  <c r="Q5"/>
  <c r="O5"/>
  <c r="N5"/>
  <c r="Q4"/>
  <c r="O4"/>
  <c r="N4"/>
  <c r="O3"/>
  <c r="Q3" s="1"/>
  <c r="N3"/>
  <c r="N2"/>
  <c r="O2" s="1"/>
  <c r="W3" i="42"/>
  <c r="Q3"/>
  <c r="Q2"/>
  <c r="O18"/>
  <c r="R8" i="45" l="1"/>
  <c r="O8"/>
  <c r="Q2"/>
  <c r="Q8" s="1"/>
  <c r="N8"/>
  <c r="Q18" i="42"/>
  <c r="D104" i="19" l="1"/>
  <c r="D87"/>
  <c r="D84"/>
  <c r="D81"/>
  <c r="D73"/>
  <c r="AA13" i="13"/>
  <c r="AA14"/>
  <c r="AA15"/>
  <c r="AA16"/>
  <c r="AA17"/>
  <c r="AA18"/>
  <c r="AA12"/>
  <c r="F48" i="21"/>
  <c r="F51"/>
  <c r="F53"/>
  <c r="F52"/>
  <c r="F55"/>
  <c r="F54"/>
  <c r="F50"/>
  <c r="F58"/>
  <c r="F57"/>
  <c r="E30" i="18"/>
  <c r="F59" i="21"/>
  <c r="F60"/>
  <c r="F61"/>
  <c r="F62"/>
  <c r="F64"/>
  <c r="E31" i="18"/>
  <c r="E32"/>
  <c r="F73" i="21"/>
  <c r="F74"/>
  <c r="G61" l="1"/>
  <c r="G53"/>
  <c r="G74"/>
  <c r="F76"/>
  <c r="F78"/>
  <c r="D67" i="19"/>
  <c r="F82" i="21"/>
  <c r="F83"/>
  <c r="F81"/>
  <c r="F88" l="1"/>
  <c r="F84"/>
  <c r="F85"/>
  <c r="F86"/>
  <c r="F89"/>
  <c r="D99" i="19"/>
  <c r="F47" i="21"/>
  <c r="G86" l="1"/>
  <c r="D96" i="19"/>
  <c r="G68" i="13"/>
  <c r="G67"/>
  <c r="G62"/>
  <c r="G61"/>
  <c r="G60"/>
  <c r="G55"/>
  <c r="G56"/>
  <c r="G57"/>
  <c r="G52"/>
  <c r="G53"/>
  <c r="G54"/>
  <c r="G50"/>
  <c r="G48"/>
  <c r="G49"/>
  <c r="G43"/>
  <c r="G44"/>
  <c r="G45"/>
  <c r="G46"/>
  <c r="G47"/>
  <c r="G51"/>
  <c r="G36"/>
  <c r="G37"/>
  <c r="G38"/>
  <c r="G39"/>
  <c r="G40"/>
  <c r="F65" i="21"/>
  <c r="F63"/>
  <c r="G64" s="1"/>
  <c r="H56" i="13" l="1"/>
  <c r="H49"/>
  <c r="H51"/>
  <c r="G58"/>
  <c r="H60" s="1"/>
  <c r="G63" l="1"/>
  <c r="H66" s="1"/>
  <c r="G42" l="1"/>
  <c r="F49" i="21"/>
  <c r="G51" s="1"/>
  <c r="F56"/>
  <c r="G56" s="1"/>
  <c r="F46"/>
  <c r="G48" s="1"/>
  <c r="G35" i="13"/>
  <c r="H40" s="1"/>
  <c r="G41"/>
  <c r="G34"/>
  <c r="G33"/>
  <c r="F45" i="21"/>
  <c r="F44"/>
  <c r="F36"/>
  <c r="F35"/>
  <c r="F28"/>
  <c r="G25"/>
  <c r="F26"/>
  <c r="H46" i="13" l="1"/>
  <c r="G45" i="21"/>
  <c r="H34" i="13"/>
  <c r="D90" i="19"/>
  <c r="D75"/>
  <c r="F75" i="21"/>
  <c r="F77"/>
  <c r="F79"/>
  <c r="F80"/>
  <c r="G81" s="1"/>
  <c r="F87"/>
  <c r="F90"/>
  <c r="F91"/>
  <c r="F92"/>
  <c r="F93"/>
  <c r="F72"/>
  <c r="F71"/>
  <c r="F70"/>
  <c r="F69"/>
  <c r="F68"/>
  <c r="F67"/>
  <c r="F66"/>
  <c r="G66" s="1"/>
  <c r="F30"/>
  <c r="F27"/>
  <c r="F29"/>
  <c r="G79" l="1"/>
  <c r="G30"/>
  <c r="O18" i="18" l="1"/>
  <c r="C18" i="43" l="1"/>
  <c r="D18"/>
  <c r="E18"/>
  <c r="F18"/>
  <c r="C17"/>
  <c r="D17"/>
  <c r="E17"/>
  <c r="F17"/>
  <c r="G17"/>
  <c r="H17"/>
  <c r="I17"/>
  <c r="J17"/>
  <c r="K17"/>
  <c r="L17"/>
  <c r="M17"/>
  <c r="C16"/>
  <c r="D16"/>
  <c r="E16"/>
  <c r="F16"/>
  <c r="G16"/>
  <c r="H16"/>
  <c r="I16"/>
  <c r="J16"/>
  <c r="K16"/>
  <c r="L16"/>
  <c r="M16"/>
  <c r="B16"/>
  <c r="C15"/>
  <c r="D15"/>
  <c r="E15"/>
  <c r="F15"/>
  <c r="G15"/>
  <c r="H15"/>
  <c r="I15"/>
  <c r="J15"/>
  <c r="K15"/>
  <c r="L15"/>
  <c r="M15"/>
  <c r="C14"/>
  <c r="D14"/>
  <c r="E14"/>
  <c r="F14"/>
  <c r="G14"/>
  <c r="H14"/>
  <c r="I14"/>
  <c r="J14"/>
  <c r="K14"/>
  <c r="L14"/>
  <c r="M14"/>
  <c r="C13"/>
  <c r="D13"/>
  <c r="E13"/>
  <c r="F13"/>
  <c r="G13"/>
  <c r="H13"/>
  <c r="I13"/>
  <c r="J13"/>
  <c r="K13"/>
  <c r="L13"/>
  <c r="M13"/>
  <c r="C12"/>
  <c r="D12"/>
  <c r="E12"/>
  <c r="F12"/>
  <c r="G12"/>
  <c r="H12"/>
  <c r="I12"/>
  <c r="J12"/>
  <c r="K12"/>
  <c r="L12"/>
  <c r="M12"/>
  <c r="C11"/>
  <c r="D11"/>
  <c r="E11"/>
  <c r="F11"/>
  <c r="G11"/>
  <c r="H11"/>
  <c r="I11"/>
  <c r="J11"/>
  <c r="K11"/>
  <c r="L11"/>
  <c r="M11"/>
  <c r="C10"/>
  <c r="D10"/>
  <c r="E10"/>
  <c r="F10"/>
  <c r="G10"/>
  <c r="H10"/>
  <c r="I10"/>
  <c r="J10"/>
  <c r="K10"/>
  <c r="L10"/>
  <c r="M10"/>
  <c r="M9"/>
  <c r="C9"/>
  <c r="D9"/>
  <c r="E9"/>
  <c r="F9"/>
  <c r="G9"/>
  <c r="H9"/>
  <c r="I9"/>
  <c r="J9"/>
  <c r="K9"/>
  <c r="L9"/>
  <c r="C8"/>
  <c r="D8"/>
  <c r="E8"/>
  <c r="F8"/>
  <c r="G8"/>
  <c r="H8"/>
  <c r="I8"/>
  <c r="J8"/>
  <c r="K8"/>
  <c r="L8"/>
  <c r="M8"/>
  <c r="C7"/>
  <c r="D7"/>
  <c r="E7"/>
  <c r="F7"/>
  <c r="G7"/>
  <c r="H7"/>
  <c r="I7"/>
  <c r="J7"/>
  <c r="K7"/>
  <c r="L7"/>
  <c r="M7"/>
  <c r="C6"/>
  <c r="D6"/>
  <c r="E6"/>
  <c r="F6"/>
  <c r="G6"/>
  <c r="H6"/>
  <c r="I6"/>
  <c r="J6"/>
  <c r="K6"/>
  <c r="L6"/>
  <c r="M6"/>
  <c r="B6"/>
  <c r="B7"/>
  <c r="B8"/>
  <c r="B9"/>
  <c r="B10"/>
  <c r="B11"/>
  <c r="B12"/>
  <c r="B13"/>
  <c r="B14"/>
  <c r="B15"/>
  <c r="B17"/>
  <c r="B18"/>
  <c r="N14" l="1"/>
  <c r="M14" i="4" s="1"/>
  <c r="N10" i="43"/>
  <c r="M10" i="4" s="1"/>
  <c r="N6" i="43"/>
  <c r="M6" i="4" s="1"/>
  <c r="N11" i="43"/>
  <c r="M11" i="4" s="1"/>
  <c r="N18" i="43"/>
  <c r="M18" i="4" s="1"/>
  <c r="N13" i="43"/>
  <c r="M13" i="4" s="1"/>
  <c r="N9" i="43"/>
  <c r="M9" i="4" s="1"/>
  <c r="N15" i="43"/>
  <c r="M15" i="4" s="1"/>
  <c r="N7" i="43"/>
  <c r="M7" i="4" s="1"/>
  <c r="N16" i="43"/>
  <c r="M16" i="4" s="1"/>
  <c r="N17" i="43"/>
  <c r="M17" i="4" s="1"/>
  <c r="N12" i="43"/>
  <c r="M12" i="4" s="1"/>
  <c r="N8" i="43"/>
  <c r="M8" i="4" s="1"/>
  <c r="N5" i="19"/>
  <c r="L6" i="4" s="1"/>
  <c r="N6" i="19"/>
  <c r="L7" i="4" s="1"/>
  <c r="N7" i="19"/>
  <c r="L8" i="4" s="1"/>
  <c r="N8" i="19"/>
  <c r="L9" i="4" s="1"/>
  <c r="N9" i="19"/>
  <c r="L10" i="4" s="1"/>
  <c r="N10" i="19"/>
  <c r="L11" i="4" s="1"/>
  <c r="N11" i="19"/>
  <c r="L12" i="4" s="1"/>
  <c r="N12" i="19"/>
  <c r="L13" i="4" s="1"/>
  <c r="N13" i="19"/>
  <c r="L14" i="4" s="1"/>
  <c r="N14" i="19"/>
  <c r="L15" i="4" s="1"/>
  <c r="N15" i="19"/>
  <c r="L16" i="4" s="1"/>
  <c r="N16" i="19"/>
  <c r="L17" i="4" s="1"/>
  <c r="N17" i="19"/>
  <c r="L18" i="4" s="1"/>
  <c r="N4" i="19"/>
  <c r="L5" i="4" s="1"/>
  <c r="D28" i="19"/>
  <c r="D26"/>
  <c r="Y40" i="41"/>
  <c r="R4" i="4"/>
  <c r="R5"/>
  <c r="R6"/>
  <c r="R7"/>
  <c r="R8"/>
  <c r="R9"/>
  <c r="R10"/>
  <c r="R11"/>
  <c r="R12"/>
  <c r="R13"/>
  <c r="R14"/>
  <c r="R15"/>
  <c r="R16"/>
  <c r="R17"/>
  <c r="R18"/>
  <c r="R3"/>
  <c r="M5" i="43"/>
  <c r="C5"/>
  <c r="D5"/>
  <c r="E5"/>
  <c r="F5"/>
  <c r="G5"/>
  <c r="H5"/>
  <c r="I5"/>
  <c r="J5"/>
  <c r="K5"/>
  <c r="L5"/>
  <c r="B5"/>
  <c r="O4"/>
  <c r="O5"/>
  <c r="O6"/>
  <c r="O7"/>
  <c r="O8"/>
  <c r="O9"/>
  <c r="O10"/>
  <c r="O11"/>
  <c r="O12"/>
  <c r="O13"/>
  <c r="O14"/>
  <c r="O15"/>
  <c r="O16"/>
  <c r="O17"/>
  <c r="O18"/>
  <c r="D4"/>
  <c r="E4"/>
  <c r="F4"/>
  <c r="G4"/>
  <c r="H4"/>
  <c r="I4"/>
  <c r="J4"/>
  <c r="K4"/>
  <c r="L4"/>
  <c r="M4"/>
  <c r="C4"/>
  <c r="B4"/>
  <c r="O3"/>
  <c r="K3"/>
  <c r="L3"/>
  <c r="M3"/>
  <c r="J3"/>
  <c r="N5" l="1"/>
  <c r="M5" i="4" s="1"/>
  <c r="O19" i="43"/>
  <c r="O20" s="1"/>
  <c r="N4"/>
  <c r="M4" i="4" s="1"/>
  <c r="O19" i="21" l="1"/>
  <c r="O20" s="1"/>
  <c r="O18" i="19"/>
  <c r="O19" s="1"/>
  <c r="O18" i="30"/>
  <c r="O19" i="40"/>
  <c r="AB15" i="11" l="1"/>
  <c r="AB12"/>
  <c r="AB7"/>
  <c r="AB6"/>
  <c r="AB5"/>
  <c r="AB4"/>
  <c r="AB19" s="1"/>
  <c r="AC7" i="12"/>
  <c r="AB6"/>
  <c r="AA6"/>
  <c r="AC6" s="1"/>
  <c r="AA14" i="11"/>
  <c r="AA4"/>
  <c r="AA5"/>
  <c r="AA6"/>
  <c r="AA7"/>
  <c r="AA8"/>
  <c r="AA9"/>
  <c r="AA10"/>
  <c r="AA11"/>
  <c r="AA12"/>
  <c r="AA13"/>
  <c r="AA15"/>
  <c r="AA16"/>
  <c r="AA17"/>
  <c r="AA18"/>
  <c r="AA3"/>
  <c r="N4" i="22"/>
  <c r="N5"/>
  <c r="N6"/>
  <c r="N7"/>
  <c r="N2"/>
  <c r="N17" i="42" l="1"/>
  <c r="N16"/>
  <c r="N15"/>
  <c r="N14"/>
  <c r="N13"/>
  <c r="N12"/>
  <c r="N11"/>
  <c r="N10"/>
  <c r="N9"/>
  <c r="N8"/>
  <c r="N7"/>
  <c r="N6"/>
  <c r="N5"/>
  <c r="N4"/>
  <c r="N3"/>
  <c r="N2"/>
  <c r="P2" l="1"/>
  <c r="P3"/>
  <c r="N18"/>
  <c r="AH19" i="41"/>
  <c r="AH4"/>
  <c r="AH5"/>
  <c r="AH6"/>
  <c r="AH7"/>
  <c r="AH8"/>
  <c r="AH9"/>
  <c r="AH10"/>
  <c r="AH11"/>
  <c r="AH12"/>
  <c r="AH13"/>
  <c r="AH14"/>
  <c r="AH15"/>
  <c r="AH16"/>
  <c r="AH17"/>
  <c r="AH18"/>
  <c r="AH3"/>
  <c r="AE5"/>
  <c r="AE6"/>
  <c r="AE7"/>
  <c r="AE8"/>
  <c r="AE9"/>
  <c r="AE10"/>
  <c r="AE11"/>
  <c r="AE12"/>
  <c r="AE13"/>
  <c r="AE14"/>
  <c r="AE15"/>
  <c r="AE16"/>
  <c r="AE17"/>
  <c r="AE18"/>
  <c r="AE3"/>
  <c r="AF19"/>
  <c r="P18" i="42" l="1"/>
  <c r="X19" i="4"/>
  <c r="P30" i="41"/>
  <c r="N27"/>
  <c r="AI19"/>
  <c r="AF25" s="1"/>
  <c r="AG17"/>
  <c r="AD17"/>
  <c r="AG16"/>
  <c r="AD16"/>
  <c r="AG15"/>
  <c r="AD15"/>
  <c r="AG14"/>
  <c r="AD14"/>
  <c r="AG13"/>
  <c r="AD13"/>
  <c r="AG12"/>
  <c r="AD12"/>
  <c r="AG11"/>
  <c r="AD11"/>
  <c r="AG10"/>
  <c r="AD10"/>
  <c r="AG9"/>
  <c r="AD9"/>
  <c r="AG8"/>
  <c r="AD8"/>
  <c r="AG7"/>
  <c r="AD7"/>
  <c r="AG6"/>
  <c r="AD6"/>
  <c r="AG5"/>
  <c r="AD5"/>
  <c r="AG4"/>
  <c r="AG19" s="1"/>
  <c r="AD4"/>
  <c r="AE4" s="1"/>
  <c r="AG3"/>
  <c r="AD3"/>
  <c r="N5" i="40"/>
  <c r="P5" s="1"/>
  <c r="N6"/>
  <c r="P6" s="1"/>
  <c r="N7"/>
  <c r="P7" s="1"/>
  <c r="N8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4"/>
  <c r="P4" s="1"/>
  <c r="N3"/>
  <c r="P3" s="1"/>
  <c r="S4" i="4" l="1"/>
  <c r="AE19" i="41"/>
  <c r="F4" i="4"/>
  <c r="F3"/>
  <c r="P19" i="40"/>
  <c r="AI20" i="41"/>
  <c r="AD19"/>
  <c r="T19" i="4"/>
  <c r="N19" i="40"/>
  <c r="AE25" i="41" l="1"/>
  <c r="AH20"/>
  <c r="F19" i="4"/>
  <c r="AB19" l="1"/>
  <c r="N2" i="37" l="1"/>
  <c r="V3" i="4" s="1"/>
  <c r="U5"/>
  <c r="U6"/>
  <c r="U7"/>
  <c r="U8"/>
  <c r="U9"/>
  <c r="U10"/>
  <c r="U11"/>
  <c r="U12"/>
  <c r="U13"/>
  <c r="U14"/>
  <c r="U15"/>
  <c r="U16"/>
  <c r="U17"/>
  <c r="U18"/>
  <c r="U4"/>
  <c r="U3"/>
  <c r="N3" i="36"/>
  <c r="N4"/>
  <c r="N5"/>
  <c r="N6"/>
  <c r="N7"/>
  <c r="N13"/>
  <c r="N14"/>
  <c r="N15"/>
  <c r="N16"/>
  <c r="N17"/>
  <c r="N2"/>
  <c r="T2" s="1"/>
  <c r="T3" s="1"/>
  <c r="T14"/>
  <c r="O14"/>
  <c r="O10"/>
  <c r="S17"/>
  <c r="S16"/>
  <c r="S15"/>
  <c r="S14"/>
  <c r="S13"/>
  <c r="S12"/>
  <c r="T11"/>
  <c r="S11"/>
  <c r="T10"/>
  <c r="S10"/>
  <c r="S9"/>
  <c r="S8"/>
  <c r="S7"/>
  <c r="S6"/>
  <c r="S5"/>
  <c r="S4"/>
  <c r="S3"/>
  <c r="U19" i="4" l="1"/>
  <c r="N6" i="37"/>
  <c r="V7" i="4" s="1"/>
  <c r="N11" i="37"/>
  <c r="V12" i="4" s="1"/>
  <c r="N4" i="37"/>
  <c r="V5" i="4" s="1"/>
  <c r="N17" i="37"/>
  <c r="V18" i="4" s="1"/>
  <c r="Q2" i="36"/>
  <c r="Q17" s="1"/>
  <c r="N13" i="37" l="1"/>
  <c r="V14" i="4" s="1"/>
  <c r="N12" i="37"/>
  <c r="V13" i="4" s="1"/>
  <c r="N16" i="37"/>
  <c r="V17" i="4" s="1"/>
  <c r="N15" i="37"/>
  <c r="V16" i="4" s="1"/>
  <c r="N8" i="37"/>
  <c r="V9" i="4" s="1"/>
  <c r="N10" i="37"/>
  <c r="V11" i="4" s="1"/>
  <c r="N9" i="37"/>
  <c r="V10" i="4" s="1"/>
  <c r="N7" i="37"/>
  <c r="V8" i="4" s="1"/>
  <c r="N3" i="37"/>
  <c r="V4" i="4" s="1"/>
  <c r="N5" i="37"/>
  <c r="V6" i="4" s="1"/>
  <c r="N14" i="37"/>
  <c r="V15" i="4" s="1"/>
  <c r="P17" i="36"/>
  <c r="M17" s="1"/>
  <c r="Q10"/>
  <c r="Q8"/>
  <c r="M8" s="1"/>
  <c r="N8" s="1"/>
  <c r="Q14"/>
  <c r="Q12"/>
  <c r="Q9"/>
  <c r="M9" s="1"/>
  <c r="N9" s="1"/>
  <c r="Q5"/>
  <c r="M5" s="1"/>
  <c r="Q15"/>
  <c r="Q7"/>
  <c r="M7" s="1"/>
  <c r="Q4"/>
  <c r="M4" s="1"/>
  <c r="Q13"/>
  <c r="Q6"/>
  <c r="M6" s="1"/>
  <c r="Q3"/>
  <c r="M3" s="1"/>
  <c r="Q16"/>
  <c r="Q11"/>
  <c r="V19" i="4" l="1"/>
  <c r="N18" i="37"/>
  <c r="P12" i="36"/>
  <c r="M12" s="1"/>
  <c r="N12" s="1"/>
  <c r="M16"/>
  <c r="P16"/>
  <c r="P10"/>
  <c r="M10" s="1"/>
  <c r="N10" s="1"/>
  <c r="P11"/>
  <c r="M11" s="1"/>
  <c r="N11" s="1"/>
  <c r="P13"/>
  <c r="M13" s="1"/>
  <c r="M15"/>
  <c r="P15"/>
  <c r="P14"/>
  <c r="M14" s="1"/>
  <c r="N18" l="1"/>
  <c r="N3" i="22" l="1"/>
  <c r="K8" i="4"/>
  <c r="K13"/>
  <c r="N14" i="18"/>
  <c r="K15" i="4" s="1"/>
  <c r="N15" i="18"/>
  <c r="K16" i="4" s="1"/>
  <c r="N16" i="18"/>
  <c r="K17" i="4" s="1"/>
  <c r="N17" i="18"/>
  <c r="K18" i="4" s="1"/>
  <c r="N13" i="18"/>
  <c r="K14" i="4" s="1"/>
  <c r="N3" i="18"/>
  <c r="K4" i="4" s="1"/>
  <c r="N4" i="18"/>
  <c r="K5" i="4" s="1"/>
  <c r="N5" i="18"/>
  <c r="K6" i="4" s="1"/>
  <c r="N6" i="18"/>
  <c r="K7" i="4" s="1"/>
  <c r="N7" i="18"/>
  <c r="N8"/>
  <c r="K9" i="4" s="1"/>
  <c r="N9" i="18"/>
  <c r="K10" i="4" s="1"/>
  <c r="N10" i="18"/>
  <c r="K11" i="4" s="1"/>
  <c r="N11" i="18"/>
  <c r="K12" i="4" s="1"/>
  <c r="N2" i="18"/>
  <c r="K3" i="4" s="1"/>
  <c r="J4"/>
  <c r="J5"/>
  <c r="J6"/>
  <c r="J7"/>
  <c r="J8"/>
  <c r="J9"/>
  <c r="J10"/>
  <c r="J11"/>
  <c r="J12"/>
  <c r="J13"/>
  <c r="J14"/>
  <c r="J15"/>
  <c r="J16"/>
  <c r="J17"/>
  <c r="J18"/>
  <c r="J3"/>
  <c r="N3" i="17"/>
  <c r="N4"/>
  <c r="N5"/>
  <c r="N2"/>
  <c r="AB3" i="12"/>
  <c r="N3" i="30"/>
  <c r="N4"/>
  <c r="N5"/>
  <c r="N6"/>
  <c r="N7"/>
  <c r="N8"/>
  <c r="N9"/>
  <c r="N10"/>
  <c r="N11"/>
  <c r="N12"/>
  <c r="N13"/>
  <c r="N14"/>
  <c r="N15"/>
  <c r="N16"/>
  <c r="N17"/>
  <c r="N2"/>
  <c r="AB4" i="12"/>
  <c r="C4" i="4" s="1"/>
  <c r="AB5" i="12"/>
  <c r="AB7"/>
  <c r="AB8"/>
  <c r="AB9"/>
  <c r="AB10"/>
  <c r="AB11"/>
  <c r="AB12"/>
  <c r="D11" i="4" l="1"/>
  <c r="D12"/>
  <c r="D13"/>
  <c r="D14"/>
  <c r="D15"/>
  <c r="D16"/>
  <c r="D17"/>
  <c r="D18"/>
  <c r="O14" i="16"/>
  <c r="O15"/>
  <c r="O16"/>
  <c r="O17"/>
  <c r="O18"/>
  <c r="O12"/>
  <c r="O13"/>
  <c r="N4" i="21"/>
  <c r="N4" i="4" s="1"/>
  <c r="N5" i="21"/>
  <c r="N5" i="4" s="1"/>
  <c r="N6" i="21"/>
  <c r="N6" i="4" s="1"/>
  <c r="N7" i="21"/>
  <c r="N7" i="4" s="1"/>
  <c r="N8" i="21"/>
  <c r="N8" i="4" s="1"/>
  <c r="N9" i="21"/>
  <c r="N9" i="4" s="1"/>
  <c r="N10" i="21"/>
  <c r="N10" i="4" s="1"/>
  <c r="N11" i="21"/>
  <c r="N11" i="4" s="1"/>
  <c r="N12" i="21"/>
  <c r="N12" i="4" s="1"/>
  <c r="N13" i="21"/>
  <c r="N13" i="4" s="1"/>
  <c r="N14" i="21"/>
  <c r="N14" i="4" s="1"/>
  <c r="N15" i="21"/>
  <c r="N15" i="4" s="1"/>
  <c r="N16" i="21"/>
  <c r="N16" i="4" s="1"/>
  <c r="N17" i="21"/>
  <c r="N17" i="4" s="1"/>
  <c r="N18" i="21"/>
  <c r="N18" i="4" s="1"/>
  <c r="N3" i="21"/>
  <c r="N2" i="19"/>
  <c r="N3" i="43" s="1"/>
  <c r="N3" i="19"/>
  <c r="L4" i="4" s="1"/>
  <c r="Z4" i="11"/>
  <c r="N19" i="43" l="1"/>
  <c r="N20" s="1"/>
  <c r="M3" i="4"/>
  <c r="M19" s="1"/>
  <c r="AA19" i="13"/>
  <c r="C5" i="4" l="1"/>
  <c r="C6"/>
  <c r="C7"/>
  <c r="C8"/>
  <c r="C9"/>
  <c r="C10"/>
  <c r="C11"/>
  <c r="C12"/>
  <c r="H9"/>
  <c r="H8"/>
  <c r="H7"/>
  <c r="H6"/>
  <c r="H5"/>
  <c r="H4"/>
  <c r="H3"/>
  <c r="I18"/>
  <c r="H19" l="1"/>
  <c r="N18" i="30"/>
  <c r="O4" i="4"/>
  <c r="AC4" s="1"/>
  <c r="N17" i="17"/>
  <c r="N16"/>
  <c r="N15"/>
  <c r="N14"/>
  <c r="N13"/>
  <c r="N12"/>
  <c r="N11"/>
  <c r="N10"/>
  <c r="N9"/>
  <c r="N8"/>
  <c r="N7"/>
  <c r="N6"/>
  <c r="I17" i="4"/>
  <c r="I16"/>
  <c r="AC16" s="1"/>
  <c r="I15"/>
  <c r="I14"/>
  <c r="AC14" s="1"/>
  <c r="I12"/>
  <c r="B4"/>
  <c r="B5"/>
  <c r="B7"/>
  <c r="B8"/>
  <c r="B11"/>
  <c r="AC11" s="1"/>
  <c r="B15"/>
  <c r="B18"/>
  <c r="AC18" s="1"/>
  <c r="Z18" i="13"/>
  <c r="Z17"/>
  <c r="Z16"/>
  <c r="Z15"/>
  <c r="Z14"/>
  <c r="Z13"/>
  <c r="Z12"/>
  <c r="AA12" i="12"/>
  <c r="AA11"/>
  <c r="AA10"/>
  <c r="AA9"/>
  <c r="AA8"/>
  <c r="AA7"/>
  <c r="AA5"/>
  <c r="AC5" s="1"/>
  <c r="AC19" s="1"/>
  <c r="AA4"/>
  <c r="AA3"/>
  <c r="B6" i="4"/>
  <c r="B9"/>
  <c r="AC9" s="1"/>
  <c r="B10"/>
  <c r="AC10" s="1"/>
  <c r="B12"/>
  <c r="B13"/>
  <c r="B14"/>
  <c r="B16"/>
  <c r="B17"/>
  <c r="B3"/>
  <c r="Z5" i="11"/>
  <c r="Z6"/>
  <c r="Z7"/>
  <c r="Z8"/>
  <c r="Z9"/>
  <c r="Z10"/>
  <c r="Z11"/>
  <c r="Z12"/>
  <c r="Z13"/>
  <c r="Z14"/>
  <c r="Z15"/>
  <c r="Z16"/>
  <c r="Z17"/>
  <c r="Z18"/>
  <c r="Z3"/>
  <c r="AC12" i="4" l="1"/>
  <c r="AC17"/>
  <c r="AC15"/>
  <c r="O3"/>
  <c r="I13"/>
  <c r="AC13" s="1"/>
  <c r="AA19" i="12"/>
  <c r="N18" i="18"/>
  <c r="O19" i="16"/>
  <c r="L3" i="4"/>
  <c r="N18" i="19"/>
  <c r="N19" s="1"/>
  <c r="N18" i="17"/>
  <c r="Z19" i="13"/>
  <c r="AA23" s="1"/>
  <c r="AA19" i="11"/>
  <c r="Z19"/>
  <c r="O8" i="4" l="1"/>
  <c r="AC8" s="1"/>
  <c r="O7"/>
  <c r="AC7" s="1"/>
  <c r="O6"/>
  <c r="AC6" s="1"/>
  <c r="N3"/>
  <c r="N19" i="21"/>
  <c r="N20" s="1"/>
  <c r="C3" i="4"/>
  <c r="AB19" i="12"/>
  <c r="S19" i="4"/>
  <c r="P19"/>
  <c r="I19"/>
  <c r="O5" l="1"/>
  <c r="AC5" s="1"/>
  <c r="N8" i="22"/>
  <c r="AC3" i="4"/>
  <c r="N19"/>
  <c r="B19"/>
  <c r="C19"/>
  <c r="D19"/>
  <c r="E19"/>
  <c r="G19"/>
  <c r="J19"/>
  <c r="K19"/>
  <c r="L19"/>
  <c r="O19" l="1"/>
  <c r="AC19" l="1"/>
</calcChain>
</file>

<file path=xl/sharedStrings.xml><?xml version="1.0" encoding="utf-8"?>
<sst xmlns="http://schemas.openxmlformats.org/spreadsheetml/2006/main" count="1200" uniqueCount="472">
  <si>
    <t>ετος</t>
  </si>
  <si>
    <t>έως</t>
  </si>
  <si>
    <t>5ος</t>
  </si>
  <si>
    <t>281α</t>
  </si>
  <si>
    <t>281β</t>
  </si>
  <si>
    <t>281γ</t>
  </si>
  <si>
    <t>281δ</t>
  </si>
  <si>
    <t>281ε</t>
  </si>
  <si>
    <t>281ζ</t>
  </si>
  <si>
    <t>281η</t>
  </si>
  <si>
    <t>281θ</t>
  </si>
  <si>
    <t>281ι1</t>
  </si>
  <si>
    <t>281ι2</t>
  </si>
  <si>
    <t>281κ</t>
  </si>
  <si>
    <t>281λ</t>
  </si>
  <si>
    <t>281μ</t>
  </si>
  <si>
    <t>ΣΥΝΟΛΑ</t>
  </si>
  <si>
    <t>281ξ</t>
  </si>
  <si>
    <t>1ος</t>
  </si>
  <si>
    <t>2ος</t>
  </si>
  <si>
    <t>3ος</t>
  </si>
  <si>
    <t>4ος</t>
  </si>
  <si>
    <t>6ος</t>
  </si>
  <si>
    <t>7ος</t>
  </si>
  <si>
    <t>8ος</t>
  </si>
  <si>
    <t>9ος</t>
  </si>
  <si>
    <t>10ος</t>
  </si>
  <si>
    <t>11ος</t>
  </si>
  <si>
    <t>12ος</t>
  </si>
  <si>
    <t>έλεγχος</t>
  </si>
  <si>
    <t>πληρωμή</t>
  </si>
  <si>
    <t>ελέγχου</t>
  </si>
  <si>
    <t>πληρωμών</t>
  </si>
  <si>
    <t>αιωρούμενα</t>
  </si>
  <si>
    <t>αιω ρούμενα</t>
  </si>
  <si>
    <t>από ΖΗΛ-200 = 2019/12/29 = πληρωμή στα ΕΛΤΑ με επιταγή = 609,40€ = ΔΕΝ γνωρίζω ακόμα ΑΝ είναι κ-18 ή κ-15-17 μηνός ή πολίτη ( ή ακόμα και αν το ζητάει )  [[[ και μάλιστα ΑΝΑΛΟΓΑ σε ποιόν κωδικό θα πάνε , με ΖΗΛ-π.χ.-1 = 6.753,76</t>
  </si>
  <si>
    <t>σύνολα</t>
  </si>
  <si>
    <t>3/4/2007 [[[ ?? = 23/06/2007 = ????]]] = οι πολίτες στην τράπεζα ΚΑΙ συννημμένο προς υποθυκοφυλακείο</t>
  </si>
  <si>
    <t>281ι</t>
  </si>
  <si>
    <t>σε €</t>
  </si>
  <si>
    <t>281ε1</t>
  </si>
  <si>
    <t>281ε2</t>
  </si>
  <si>
    <t xml:space="preserve">ΔΕΝ έχει ολοκληρωθεί η αναζήτηση = καταγραφή </t>
  </si>
  <si>
    <t>ελέγχου σε €</t>
  </si>
  <si>
    <t xml:space="preserve">281α = κακώς ζητούμενο κ-18 … υπάρχει κατάσταση &amp; πληρωμή {{{ ΦΥΣΙΚΑ και υπήρχε στην Αθήνα }}} ... </t>
  </si>
  <si>
    <t>ΤΑΝ</t>
  </si>
  <si>
    <t>κ-15</t>
  </si>
  <si>
    <t>κ-17</t>
  </si>
  <si>
    <t>έως 5ος</t>
  </si>
  <si>
    <t>Μ.0 αριθμός συμβολαίων</t>
  </si>
  <si>
    <t>πλήθος</t>
  </si>
  <si>
    <t>Μ.Ο. μηνιαία έσοδα</t>
  </si>
  <si>
    <t>281ο</t>
  </si>
  <si>
    <t>281ο = ΤΑΝ παγίου αναλογικής 5% &amp; ΟΧΙ 9%</t>
  </si>
  <si>
    <t>χαριζω το υπόλοιπο 2005</t>
  </si>
  <si>
    <t>χαριζω το υπόλοιπο 2009</t>
  </si>
  <si>
    <t>ΧΩΡΙΣ να βάλω ΖΗΛ-π.χ.-1</t>
  </si>
  <si>
    <t>έτος</t>
  </si>
  <si>
    <t>μήνας</t>
  </si>
  <si>
    <t>συμβολαίου</t>
  </si>
  <si>
    <t>μεταγραφή</t>
  </si>
  <si>
    <t>τοπογραφικού</t>
  </si>
  <si>
    <t>τίτλο</t>
  </si>
  <si>
    <t>.οΤ.</t>
  </si>
  <si>
    <t>οικΑδεια</t>
  </si>
  <si>
    <t>διαθήκης</t>
  </si>
  <si>
    <t>1996 = 1000δρχ = 2,93</t>
  </si>
  <si>
    <t>2005-5ος = 12€</t>
  </si>
  <si>
    <t>2009-8ος = 20€</t>
  </si>
  <si>
    <t>281ρ</t>
  </si>
  <si>
    <t>281φ</t>
  </si>
  <si>
    <t>281δ1</t>
  </si>
  <si>
    <t>281δ2</t>
  </si>
  <si>
    <t>ΤΑΣ</t>
  </si>
  <si>
    <t>zηλ-π.χ.-1</t>
  </si>
  <si>
    <t>από XLs εθνικης</t>
  </si>
  <si>
    <t>ρυθμιση</t>
  </si>
  <si>
    <t>ρύθμιση</t>
  </si>
  <si>
    <t>11ος = 1.09,18</t>
  </si>
  <si>
    <t>μειον6.903,87</t>
  </si>
  <si>
    <t>21.946,87 για 2013</t>
  </si>
  <si>
    <t>κυβερνητική υπαιτιότητα</t>
  </si>
  <si>
    <t>φόρος {πάει στο Ε3) =*30%</t>
  </si>
  <si>
    <t>ποσό</t>
  </si>
  <si>
    <t>φόρος</t>
  </si>
  <si>
    <t>281ο = ΛΑΘΟΣ ΑΓΑΠΕ = ΤΑΝ παγίου αναλογικής 5% &amp; ΟΧΙ 9%</t>
  </si>
  <si>
    <t xml:space="preserve">281ρ1 = πόρος 1,3% ΚΑΚΩΣ απαιτητός ΚΑΘΩΣ πληρωμή στην  Δ.Ο.Υ. </t>
  </si>
  <si>
    <t>από 299πίνακας στοιχείο 283σ11δ-12δ</t>
  </si>
  <si>
    <t>86 = από XLs-εθνικης</t>
  </si>
  <si>
    <t>459 = από XLs-εθνικης</t>
  </si>
  <si>
    <t>137,78 = από XLs-εθνικης</t>
  </si>
  <si>
    <t>ζητάει αυτά που ΔΕΝ ήταν στην κατάσταση {ΔΕΝ έβαλε τα υπόλοιπα η ΑΓΑΠΕ γιατί είχαν πληρωθεί κατά μόνας</t>
  </si>
  <si>
    <t>αναζήτηση</t>
  </si>
  <si>
    <t>367,12 = από XLs-εθνικης</t>
  </si>
  <si>
    <t>281α1 = κακώς ζητούμενο κ-18 (1998 έως 2013) … υπάρχει κατάσταση &amp; πληρωμή {{{ ΦΥΣΙΚΑ και υπήρχε στην Αθήνα }}}</t>
  </si>
  <si>
    <t>281α2 = κακώς ζητούμενο κ-18 μηνιαίο (1998 έως 2013/5ος) … υπάρχει κατάσταση &amp; πληρωμή (υπό αναζήτηση) {{{ ΦΥΣΙΚΑ υπήρχε στην Αθήνα</t>
  </si>
  <si>
    <t>281β1 = κακώς ζητούμενο κ-15-17 μηνιαίο (1998 έως 2007/6ος) … υπάρχει κατάσταση &amp; πληρωμή {{{ ΦΥΣΙΚΑ και υπήρχε στην Αθήνα }}}</t>
  </si>
  <si>
    <t>281β2 =  κακώς ζητούμενο κ-15-17 μηνιαίο (1998  έως 2007/6ος) … υπάρχει κατάσταση &amp; πληρωμή (υπό αναζήτηση)  {{{ ΦΥΣΙΚΑ υπήρχε στην Αθήνα</t>
  </si>
  <si>
    <t xml:space="preserve"> πληρωμή στα ΕΛΤΑ με επιταγή = ΔΕΝ γνωρίζω ακόμα ΑΝ είναι κ-18 ή κ-15-17 μηνός ή πολίτη ( ή ακόμα και αν το ζητάει )  </t>
  </si>
  <si>
    <t>281γ1 = κακώς ζητούμενο κ-15-17 (2007/6ος έως 2013/5ος) {{{ανά συμβόλαιο , από πολίτη}}}  … υπάρχει η πληρωμή</t>
  </si>
  <si>
    <t>281γ2 = κακώς ζητούμενο κ-15-17 (2007/6ος έως 2013/5ος) {{{ανά συμβόλαιο , από πολίτη}}}  … υπάρχει η πληρωμή (υπό αναζήτηση)</t>
  </si>
  <si>
    <t>281ι1β = περί ΤΑΣ = πλήρωσε παραπάνω {= 281Ια*6/9}</t>
  </si>
  <si>
    <t>281μ2</t>
  </si>
  <si>
    <t xml:space="preserve">281ξ1 = ΌΧΙ βεβαίωση από ΤΑΝ (ΑΜΕΣΑ μειωτικά στο εκκαθαριστικό) = φόρος που ΔΕΝ θα αποδίδονταν </t>
  </si>
  <si>
    <t xml:space="preserve">281ξ2 = ΌΧΙ βεβαίωση από ΤΑΣ (ΑΜΕΣΑ μειωτικά στο εκκαθαριστικό) = φόρος που ΔΕΝ θα αποδίδονταν </t>
  </si>
  <si>
    <t>281μ2 = υπερΠληρωμή ΤΑΣ με κωδικό **15**</t>
  </si>
  <si>
    <t>υΤ</t>
  </si>
  <si>
    <t>σύνολο</t>
  </si>
  <si>
    <t>9ος-***1</t>
  </si>
  <si>
    <t>9ος-****1</t>
  </si>
  <si>
    <t>9ος-14</t>
  </si>
  <si>
    <t>10ος***1</t>
  </si>
  <si>
    <t>86-17/10</t>
  </si>
  <si>
    <t>*14 +*1 +****1</t>
  </si>
  <si>
    <t>4ος-***1</t>
  </si>
  <si>
    <t>5ος-****1</t>
  </si>
  <si>
    <t>388-6/5</t>
  </si>
  <si>
    <t>990-2/5</t>
  </si>
  <si>
    <t>*1 + ζητάει παραπάνω 109,36 + γνωρίζει πως ήδη πλήρωσε 77,59 παραπάνω</t>
  </si>
  <si>
    <t>7093-28/6</t>
  </si>
  <si>
    <t>υπάρχειΦύλλοΥπολογισμού /// μεταγραφή 9/8/2007 = ΔΕΝ θα μεταγράφονταν</t>
  </si>
  <si>
    <t>7032--6/6</t>
  </si>
  <si>
    <t>7122--10/7</t>
  </si>
  <si>
    <t>8246--7/10</t>
  </si>
  <si>
    <t>159-3/12</t>
  </si>
  <si>
    <t>*14 = στην κατάσταση προς ΤΑΝ χρέωσε 2.823δρχ αντί 281 =[ αφαίρεση κ17 =8,55</t>
  </si>
  <si>
    <t>223-30/12</t>
  </si>
  <si>
    <t>235-31/12</t>
  </si>
  <si>
    <t>*14 = καταχώρηση ως 2.850.000δρχ =8.363,9€ =[αφαίρεση κ18 =8,13 &amp; κ15 =48,65 &amp; κ17 =9,35</t>
  </si>
  <si>
    <t>προσύμφ αγοραπ - αρραβών =300.000δρχ</t>
  </si>
  <si>
    <t>407-8/5</t>
  </si>
  <si>
    <t xml:space="preserve">281η = κωδικός ''δίκη'' - *225* = κακώς ζητούμενο προς απόδοση  κ-18 = ενώ ζητάει όλο το κ18 στο …… λέει στο πόρισμα πως αποδόθηκε  </t>
  </si>
  <si>
    <t>7759..10/4</t>
  </si>
  <si>
    <t>8228..7/10</t>
  </si>
  <si>
    <t>7951..10/7</t>
  </si>
  <si>
    <t>8246-16/10</t>
  </si>
  <si>
    <t>8133..6/9</t>
  </si>
  <si>
    <t>8265..5/11</t>
  </si>
  <si>
    <t>8301..14/11</t>
  </si>
  <si>
    <t>8351..3/12</t>
  </si>
  <si>
    <t xml:space="preserve">226 = χρέωση 20 αντί 12 σε 6 πάγιες [6*8 =48 =9% = </t>
  </si>
  <si>
    <t>9197..24/12</t>
  </si>
  <si>
    <t>9021..14/10</t>
  </si>
  <si>
    <t>9414..30/4</t>
  </si>
  <si>
    <t>9424..4/5</t>
  </si>
  <si>
    <t>9742..4/10</t>
  </si>
  <si>
    <t>205 = για κάπιο λόγο φορτώνει τους πολίτες</t>
  </si>
  <si>
    <t>9743..4/10</t>
  </si>
  <si>
    <t>9807..9/11</t>
  </si>
  <si>
    <t>9945..7/2</t>
  </si>
  <si>
    <t>10114..17/5</t>
  </si>
  <si>
    <t xml:space="preserve">5ος </t>
  </si>
  <si>
    <t>10104..12/5</t>
  </si>
  <si>
    <t>10288..19/8</t>
  </si>
  <si>
    <t>10363..20/9</t>
  </si>
  <si>
    <t>10601..24/5</t>
  </si>
  <si>
    <t>10697..7/8</t>
  </si>
  <si>
    <t>10855..16/11</t>
  </si>
  <si>
    <t>10856..16/11</t>
  </si>
  <si>
    <t>10857..16/11</t>
  </si>
  <si>
    <t>11075..8/4</t>
  </si>
  <si>
    <t>8514..11/4</t>
  </si>
  <si>
    <t>εκθ δημ δικαστ πληστηρ [βάσει 40330 υπ.Αποφ 2005 είναι από 11 έως 77€</t>
  </si>
  <si>
    <t>64..18-9</t>
  </si>
  <si>
    <t>211-29/12</t>
  </si>
  <si>
    <t xml:space="preserve">*14 = είναι ''προσύμφωνο αγοραπωλησίας'' - 1,5εκ δρχ =4.548,79€ με κ18 =5,75 =[αφαίρεση κ15 =25,18 &amp; κ17 =4,84 </t>
  </si>
  <si>
    <t>1265-24/10</t>
  </si>
  <si>
    <t>6816..3/4</t>
  </si>
  <si>
    <t>6817..3/4</t>
  </si>
  <si>
    <t>7032..6/6</t>
  </si>
  <si>
    <t>7114..6/7</t>
  </si>
  <si>
    <t>7115..6/7</t>
  </si>
  <si>
    <t>6851-27/5</t>
  </si>
  <si>
    <t>9934..28/1</t>
  </si>
  <si>
    <t>10441..24/11</t>
  </si>
  <si>
    <t>10442..24/11</t>
  </si>
  <si>
    <t>10443..24/11</t>
  </si>
  <si>
    <t>10444..24/11</t>
  </si>
  <si>
    <t>ΑΝΑΖΗΤΗΣΗ γραμμάτιαΕθνικης πίσωΜπρος από 3753554-5</t>
  </si>
  <si>
    <t>ελεγκτης 1] ΔΕΝ είχε κατάσταση , 2] ΔΕΝ έβρισκε τα συμβόλαια , 3] χρησιμοποίησε το βιβλίο συμβολαίων {χα , χα} //// σωστό ποσό =96.956,37 (όχι 74.262,59) με πόρους 630,22 &amp; 121,20 [πληρώθηκαν με γραμμάτια εθνικης 4956361 &amp; 9163314]</t>
  </si>
  <si>
    <t xml:space="preserve">ελεγκτης 1] ΔΕΝ είχε κατάσταση , 2] ΔΕΝ έβρισκε τα συμβόλαια , 3] χρησιμοποίησε το βιβλίο συμβολαίων {χα , χα} </t>
  </si>
  <si>
    <t>σωστό ποσό = 77.250,32 (όχι 81.883,79) με πόρους 502,13 &amp; 96,56 [πληρώθηκαν με γραμμάτια εθνικης 9757955 &amp; 9757955 (έχουν τον ίδιο αριθμό επειδή ΔΕΝ είχε γραμμάτια η εθνική ΚΑΙ έβγαλα φωτοτυπίες)]</t>
  </si>
  <si>
    <t>πλήρωσε 302,12(20/12/10) + 827,95(10/01/2011) + 367,12(10/12/2012) /// σωστή άρθροιση = 1.089,97</t>
  </si>
  <si>
    <t>κ-17[30/10/2007=76,16} /// κ-15[30-10-2007=396,04]</t>
  </si>
  <si>
    <t>7952..10/7</t>
  </si>
  <si>
    <t>8246..16/10</t>
  </si>
  <si>
    <t>αποδέχεται ΟΣΑ η κατάσταση μηνός από ΑΓΑΠΕ = …. χα , χα ….</t>
  </si>
  <si>
    <t>7084..6/6</t>
  </si>
  <si>
    <t>7085..6/6</t>
  </si>
  <si>
    <t>7093..6/6</t>
  </si>
  <si>
    <t>7095..6/6</t>
  </si>
  <si>
    <t>7097..6/6</t>
  </si>
  <si>
    <t>7098..6/6</t>
  </si>
  <si>
    <t>7121..7/7</t>
  </si>
  <si>
    <t>7122..7/7</t>
  </si>
  <si>
    <t>7123..7/7</t>
  </si>
  <si>
    <t>7146..7/7</t>
  </si>
  <si>
    <t>7759..4/4</t>
  </si>
  <si>
    <t>8228..10/10</t>
  </si>
  <si>
    <t>9563..6/6</t>
  </si>
  <si>
    <t>9600..7/7 =96,9=ΜΠΑΖΑ</t>
  </si>
  <si>
    <t>9742..10/10</t>
  </si>
  <si>
    <t>9743..10/10</t>
  </si>
  <si>
    <t>συμβόλαιο = γραμμάτια εθνικης = 9164223-4 [130,64 &amp; 25,12</t>
  </si>
  <si>
    <t>206 = για κάπιο λόγο φορτώνει τους πολίτες</t>
  </si>
  <si>
    <t>9902..30/12</t>
  </si>
  <si>
    <t>9876..12/12</t>
  </si>
  <si>
    <t>9877..12/12</t>
  </si>
  <si>
    <t>10061..4/4</t>
  </si>
  <si>
    <t>18/8/09 [κ-15=326,66] + ??=61,56] , [18/8/09=63,82+??=16,16]</t>
  </si>
  <si>
    <t>ΑΝΑΖΗΤΗΣΗ = συμβόλαιο = γραμμάτιαΕθνικης 3753554-5</t>
  </si>
  <si>
    <t>11136..5/5</t>
  </si>
  <si>
    <t>281ζ = κωδικός ''δίκη'' - *54* = κακώς ζητούμενο προς απόδοση = κ-15-17 ( επί συμβολαίου ) = έχουν σίγουρα πληρωθεί ΑΛΛΙΩΣ ΔΕΝ ΘΑ ΜΕΤΑΓΡΑΦΟΝΤΑΝ από το υποθυκοφυλακείο</t>
  </si>
  <si>
    <t>8285..5/11</t>
  </si>
  <si>
    <t>10051..14/4</t>
  </si>
  <si>
    <t>212 = στην κατάσταση πληρώνει 4,18 ,ΕΝΏ στο συμβόλαιο ΚΑΙ στο βιβλίο συμβολαίων καταχωρεί πάγια -κ18=1</t>
  </si>
  <si>
    <t>ΑΝΑΖΗΤΗΣΗ γραμμάτιαΕθνικης συμβόλαιο = 602628-9 [49,51 &amp; 9,52</t>
  </si>
  <si>
    <t>11136..12/5</t>
  </si>
  <si>
    <t>10757..9/9</t>
  </si>
  <si>
    <t>10576..30/4</t>
  </si>
  <si>
    <t>10374..23/9</t>
  </si>
  <si>
    <t>10372..23/9</t>
  </si>
  <si>
    <t>10345..9/9</t>
  </si>
  <si>
    <t>10728..8/8</t>
  </si>
  <si>
    <t>9982..2/2</t>
  </si>
  <si>
    <t>9953..2/2</t>
  </si>
  <si>
    <t>10007..3/3</t>
  </si>
  <si>
    <t>λόγω λάθους ποσού πράξης ΑΓΑΠΕ</t>
  </si>
  <si>
    <t>85,42 &amp; 16,45 στις 29/12/2011</t>
  </si>
  <si>
    <t>11127..5/5</t>
  </si>
  <si>
    <t>διαμαρτυρικό - κατάσταση κ-18 = 21,56</t>
  </si>
  <si>
    <t>9842..12/12</t>
  </si>
  <si>
    <t>9901..12/12</t>
  </si>
  <si>
    <t>9894..12/12</t>
  </si>
  <si>
    <t>9848..12/12</t>
  </si>
  <si>
    <t>9770..10/10</t>
  </si>
  <si>
    <t>ΑΝΑΖΗΤΗΣΗ /// συμβόλαιο = 9164253-5 γραμμάτια Εθνικής /// μεταγραφή 2011-1ος</t>
  </si>
  <si>
    <t>9772..10/10</t>
  </si>
  <si>
    <t>9676..8/8</t>
  </si>
  <si>
    <t>9446..5/5</t>
  </si>
  <si>
    <t>9377..4/4</t>
  </si>
  <si>
    <t>9263..2/2</t>
  </si>
  <si>
    <t>αποδέχεται τις πληρωμές από ΑΓΑΠΕ = …. χα , χα ….</t>
  </si>
  <si>
    <t>8112..9/9</t>
  </si>
  <si>
    <t>8004..7/7</t>
  </si>
  <si>
    <t>7957..7/7</t>
  </si>
  <si>
    <t>7956..7/7</t>
  </si>
  <si>
    <t>7746..4/4</t>
  </si>
  <si>
    <t>7755..4/4</t>
  </si>
  <si>
    <t>7394..10/10</t>
  </si>
  <si>
    <t>7359..10/10</t>
  </si>
  <si>
    <t>7360..10/10</t>
  </si>
  <si>
    <t>7223..8/8</t>
  </si>
  <si>
    <t>7255..8/8</t>
  </si>
  <si>
    <t>7096..6/6</t>
  </si>
  <si>
    <t>8197..9/9</t>
  </si>
  <si>
    <t>2023/8ο = ΛΕΙΠΕΙ</t>
  </si>
  <si>
    <t>1998-8 σε κ-15 γραμμ = 8554812 /// κ-18 &amp; κ-17 = πίσωΜπρος</t>
  </si>
  <si>
    <t>ποσό φόρου</t>
  </si>
  <si>
    <t>για 299</t>
  </si>
  <si>
    <t>δρχ</t>
  </si>
  <si>
    <t>σε€</t>
  </si>
  <si>
    <t>1998-10ος = 75 = είχε πληρωθεί από παππού = 5.685</t>
  </si>
  <si>
    <t>299-ποσόΦόρου</t>
  </si>
  <si>
    <t>281φ2 = διπλοπληρωμή ΤΑΣ -6% σε προσύμφωνα  του παππού</t>
  </si>
  <si>
    <t>ευρω</t>
  </si>
  <si>
    <t>281φ1 = διπλοπληρωμή ΤΑΝ -9% σε προσύμφωνα  του παππού</t>
  </si>
  <si>
    <t>κατασταση</t>
  </si>
  <si>
    <t>πληρΑναΣυμβ</t>
  </si>
  <si>
    <t>σφραγιδα</t>
  </si>
  <si>
    <t>δικαιωμ</t>
  </si>
  <si>
    <t>υπολΑρ</t>
  </si>
  <si>
    <t>αρραβων</t>
  </si>
  <si>
    <t>πληρωμη</t>
  </si>
  <si>
    <t>Δ.Ο.Υ.</t>
  </si>
  <si>
    <t>4.985[αντι5.270</t>
  </si>
  <si>
    <t>47.083[αντι58.552</t>
  </si>
  <si>
    <t>ναι</t>
  </si>
  <si>
    <t>11.085[αντι9.700</t>
  </si>
  <si>
    <t>123.160[αντι107.560</t>
  </si>
  <si>
    <t>ΌΧΙ</t>
  </si>
  <si>
    <t>15.356/1990καπολα</t>
  </si>
  <si>
    <t>5685 [τοΞαναζηταειΟελεγχος</t>
  </si>
  <si>
    <t xml:space="preserve">αγοραπωλησία ΒΑΣΕΙ  προσυμφ 28.837/2001καπολα  τίμ 8.804,11 αρρ   Δ.Ο.Υ. </t>
  </si>
  <si>
    <t>έλεγχος -1.000.000=4€</t>
  </si>
  <si>
    <t>παγια</t>
  </si>
  <si>
    <t>ΔΕΝγραφει</t>
  </si>
  <si>
    <t>28615/2001καπολα</t>
  </si>
  <si>
    <t>21980σουμα</t>
  </si>
  <si>
    <t>ΚΑΜΙΑ αναφορα</t>
  </si>
  <si>
    <t>933[τοΞαναζηταειΟελεγχος</t>
  </si>
  <si>
    <t xml:space="preserve">αγοραπωλησία ΒΑΣΕΙ  προσυμφ 27084/2000καπολα  τίμ 8.917,92 αρρ   Δ.Ο.Υ. </t>
  </si>
  <si>
    <t>έλεγχος -800.000=3,37€</t>
  </si>
  <si>
    <t>πληρωθηκεΦοροςΔΟΥ</t>
  </si>
  <si>
    <t>26635/1999καπολα</t>
  </si>
  <si>
    <t>ΔΕΝ έχωΤιποτα</t>
  </si>
  <si>
    <t>64.162σουμα</t>
  </si>
  <si>
    <t>26634/1999καπολα</t>
  </si>
  <si>
    <t>281,38σουμα[217</t>
  </si>
  <si>
    <t>156564/1967καπολα</t>
  </si>
  <si>
    <t>15.000δρχ</t>
  </si>
  <si>
    <t>540δρχ</t>
  </si>
  <si>
    <t>έλεγχος -7.336,76=8,75€</t>
  </si>
  <si>
    <t>208,6σουμα[144,46</t>
  </si>
  <si>
    <t>15950/1967καπολα</t>
  </si>
  <si>
    <t>5.000δρχ</t>
  </si>
  <si>
    <t>έλεγχοςΔενΥπολογιζει =1€παραπανω</t>
  </si>
  <si>
    <t>27319/2000καπολα</t>
  </si>
  <si>
    <t>71.544σουμα</t>
  </si>
  <si>
    <t>27318/2000καπολα</t>
  </si>
  <si>
    <t>41.868σουμα</t>
  </si>
  <si>
    <t>10375/1992γερασιμιδου</t>
  </si>
  <si>
    <t>έλεγχοςΔενΥπολογιζει =36,19€παραπανω</t>
  </si>
  <si>
    <t>892,81σουμα</t>
  </si>
  <si>
    <t>1,3%=76,3</t>
  </si>
  <si>
    <t>ΛΥΣΗ</t>
  </si>
  <si>
    <t>25083καπολα</t>
  </si>
  <si>
    <t>38.424σουμα</t>
  </si>
  <si>
    <t>ΛΥΣΗ 24910καπολα</t>
  </si>
  <si>
    <t>έλεγχοςΔενΥπολογιζει =2,5€παραπανω</t>
  </si>
  <si>
    <t>ΤΑΝδενΧρεωνει1,3%</t>
  </si>
  <si>
    <t>αναζήτηση ΑΝΑ συμβόλαιο = 2004-12ο</t>
  </si>
  <si>
    <t>αναζήτηση από βιβλίο συμβολαίων έως 2011-12-31</t>
  </si>
  <si>
    <t>δωρεα</t>
  </si>
  <si>
    <t>ΟΛΟ</t>
  </si>
  <si>
    <t>ΛΥΣΗ 7961 2εκ -αρρ=10.000 [ΤΑΝ=1.881</t>
  </si>
  <si>
    <t>Δ.Ο.Υ.=πληρωμες = 10.500 + 2.100</t>
  </si>
  <si>
    <t>Δ.Ο.Υ.-1</t>
  </si>
  <si>
    <t>Δ.Ο.Υ.-2</t>
  </si>
  <si>
    <t>ποσόΦόρου</t>
  </si>
  <si>
    <t>281υ2 = διπλοπληρωμή σε αγοραπωλησίες ΒΑΣΕΙ προσυμφώνου {{{ = ΌΧΙ υπολογισμός αρραβώνα ( ΤΑΣ ) }}}</t>
  </si>
  <si>
    <t>281υ = διπλοπληρωμή σε αγοραπωλησίες ΒΑΣΕΙ προσυμφώνου {{{ = ΌΧΙ υπολογισμός αρραβώνα ( ΤΑΝ ) }}}</t>
  </si>
  <si>
    <t>299-ποσό φόρου</t>
  </si>
  <si>
    <t>αποΕλεγχοΤΑΝ</t>
  </si>
  <si>
    <t>στατιστικη από ΤΑΝ στα 3/5</t>
  </si>
  <si>
    <t>281ξ3 = ταμεία ΌΧΙ καταχώρηση ως ΕΣΟΔΟ στα βιβλία εσόδων</t>
  </si>
  <si>
    <t>281κ =ΔΟΛΟΣ = κακώς ζητούμενο κ-18 {ενώ βλέπει στα συμβόλαια τα χαρτόσημα του ΤΑΝ για το 5%}</t>
  </si>
  <si>
    <t>281δ1 = κ-18 διπλοΠληρωμή &amp; με μηνιαία κατάσταση &amp; εθνική ανά συμβόλαιο {= κωδικός ''δίκη'' - *7*</t>
  </si>
  <si>
    <t>1998-9</t>
  </si>
  <si>
    <t>1998-10</t>
  </si>
  <si>
    <t>1999-1</t>
  </si>
  <si>
    <t>συμβόλαιο</t>
  </si>
  <si>
    <t>ΙΔΕ 287ε2-ε2α-ε2β</t>
  </si>
  <si>
    <t>1998-8</t>
  </si>
  <si>
    <t>γραμμάτιο</t>
  </si>
  <si>
    <t>281ε1  = κ-15-17  διπλοΠληρωμή &amp; με μηνιαία κατάσταση &amp; εθνική ανά συμβόλαιο= κωδικός ''δίκη'' - *7*</t>
  </si>
  <si>
    <t>19=2.600</t>
  </si>
  <si>
    <t>20=1.365</t>
  </si>
  <si>
    <t>22=4.714</t>
  </si>
  <si>
    <t>25=1.202</t>
  </si>
  <si>
    <t>30=2.607</t>
  </si>
  <si>
    <t>32=10.005</t>
  </si>
  <si>
    <t>34=6.008</t>
  </si>
  <si>
    <t>43=2.007</t>
  </si>
  <si>
    <t>44=1.739</t>
  </si>
  <si>
    <t>47=1.813</t>
  </si>
  <si>
    <t>50=1.000</t>
  </si>
  <si>
    <t>66=1.000</t>
  </si>
  <si>
    <t>67=4.375</t>
  </si>
  <si>
    <t>69=3.525</t>
  </si>
  <si>
    <t>70=5.706</t>
  </si>
  <si>
    <t>71=2.500</t>
  </si>
  <si>
    <t>1998-11</t>
  </si>
  <si>
    <t>????</t>
  </si>
  <si>
    <t>1998-12</t>
  </si>
  <si>
    <t>???</t>
  </si>
  <si>
    <t>253=6.750</t>
  </si>
  <si>
    <t>μαζί</t>
  </si>
  <si>
    <t>22=22.645</t>
  </si>
  <si>
    <t>19=12.413</t>
  </si>
  <si>
    <t>44=12.817</t>
  </si>
  <si>
    <t>47=11.276</t>
  </si>
  <si>
    <t>67=26.815</t>
  </si>
  <si>
    <t>71=15.445</t>
  </si>
  <si>
    <t>179???</t>
  </si>
  <si>
    <t>144=Δ.Ο.Υ. = 1.080</t>
  </si>
  <si>
    <t>253=182.000</t>
  </si>
  <si>
    <t>1999-2</t>
  </si>
  <si>
    <t>1999-3</t>
  </si>
  <si>
    <t>281ι1 = περί κ-18 = υπερΠληρωμή {{{ κωδικός ''δίκη'' - *4*</t>
  </si>
  <si>
    <t>19..2/9</t>
  </si>
  <si>
    <t>281δ2 = κ-18 = διπλοΠληρωμή {&amp; μηνιαία κατάσταση &amp; εθνική ανά συμβόλαιο} {{{υπό αναζήτηση}}} κωδικός ''δίκη'' - *7*</t>
  </si>
  <si>
    <t>281ε2 = κ-15-17 - διπλοΠληρωμή {&amp; με μηνιαία κατάσταση &amp; εθνική ανά συμβόλαιο} ( οίο = υπό αναζήτηση ) [καταγραφή από σφραγίδες τελευταίας σελίδας ] κωδικός ''δίκη'' - *7*</t>
  </si>
  <si>
    <t xml:space="preserve">281θ = περί κ-15-17 = κακώς ζητούμενο προς απόδοση {πληρώθηκαν ποσά σε άλλο κωδικό} , {κωδικός ''δίκη'' - *6* </t>
  </si>
  <si>
    <t xml:space="preserve">281ι2 = περί κ-15-17 = υπερΠληρωμή {κωδικός ''δίκη'' - *4* = </t>
  </si>
  <si>
    <t>22..2/9</t>
  </si>
  <si>
    <t>30..7/9</t>
  </si>
  <si>
    <t>ΔΕΝ τις έβαλε στην κατάσταση ΕΠΕΙΔΗ είχαν πληρωθεί στην τράπεζα ανά συμβόλαιο ΌΠΩΣ 19-22-44-47</t>
  </si>
  <si>
    <t>ΔΕΝ τις έβαλε στην κατάσταση ΕΠΕΙΔΗ είχαν πληρωθεί στην τράπεζα ανά συμβόλαιο ΌΠΩΣ 19-22-44-48</t>
  </si>
  <si>
    <t>ΔΕΝ τις έβαλε στην κατάσταση ΕΠΕΙΔΗ είχαν πληρωθεί στην τράπεζα ανά συμβόλαιο ΌΠΩΣ 19-22-44-49</t>
  </si>
  <si>
    <t>ΔΕΝ τις έβαλε στην κατάσταση ΕΠΕΙΔΗ είχαν πληρωθεί στην τράπεζα ανά συμβόλαιο ΌΠΩΣ 19-22-44-50</t>
  </si>
  <si>
    <t>ΔΕΝ τις έβαλε στην κατάσταση ΕΠΕΙΔΗ είχαν πληρωθεί στην τράπεζα ανά συμβόλαιο ΌΠΩΣ 19-22-44-51</t>
  </si>
  <si>
    <t>32=κατάσταση</t>
  </si>
  <si>
    <t>21..2/9</t>
  </si>
  <si>
    <t>44..13/9</t>
  </si>
  <si>
    <t>47..14/9</t>
  </si>
  <si>
    <t>64-65=κατάσταση</t>
  </si>
  <si>
    <t>54=κατάσταση</t>
  </si>
  <si>
    <t>281ι1β</t>
  </si>
  <si>
    <t>281λ = μη καταγραφή πληρωμών Κ-29 ( 2013 έως 5ο )</t>
  </si>
  <si>
    <t>281ξ2-φόρος</t>
  </si>
  <si>
    <t>281ξ1-φόρος</t>
  </si>
  <si>
    <t>281β = κακώς ζητούμενο κ-15-17 …. σε μηνιαία κατάσταση … υπάρχει κατάσταση &amp; πληρωμή {{{ ΦΥΣΙΚΑ και υπήρχε στην Αθήνα }}}</t>
  </si>
  <si>
    <t>281γ = κακώς ζητούμενο κ-15-17 …. με πληρωμή από πολίτη … υπάρχει πληρωμή ….  {{{ ΦΥΣΙΚΑ και υπήρχε στην Αθήνα }}}</t>
  </si>
  <si>
    <t xml:space="preserve">281η = κακώς ζητούμενο κ-18 = ενώ ζητάει όλο το κ18 στο …… λέει στο πόρισμα πως αποδόθηκε {κωδικός ''δίκη'' - *225* = </t>
  </si>
  <si>
    <t>281ζ = κακώς ζητούμενο κ-15-17 ( επί συμβολαίου ) = έχουν σίγουρα πληρωθεί ΑΛΛΙΩΣ ΔΕΝ ΘΑ ΜΕΤΑΓΡΑΦΟΝΤΑΝ από το υποθυκοφυλακείο {{ κωδικός ''δίκη'' - *54*</t>
  </si>
  <si>
    <t xml:space="preserve">281θ = κακώς ζητούμενο κ-15-17 = πληρώθηκαν ποσά σε άλλο κωδικό {κωδικός ''δίκη'' - *6* </t>
  </si>
  <si>
    <t>281κ = κακώς ζητούμενο κ-18 {ενώ βλέπει στα συμβόλαια τα χαρτόσημα του ΤΑΝ για το 5%}</t>
  </si>
  <si>
    <t>281ρ1</t>
  </si>
  <si>
    <t>281ρ2</t>
  </si>
  <si>
    <t>281δ1 =  κ-18  διπλοΠληρωμή [&amp; με μηνιαία κατάσταση &amp; εθνική ανά συμβόλαιο {κωδικός ''δίκη'' - *7*</t>
  </si>
  <si>
    <t>281δ2 =  κ-18  διπλοΠληρωμή [&amp; με μηνιαία κατάσταση &amp; εθνική ανά συμβόλαιο {υτπό αναζήτηση} (κωδικός ''δίκη'' - *7*</t>
  </si>
  <si>
    <t>281ι1 = περί κ-18 = υπερΠληρωμή { κωδικός ''δίκη'' - *4*</t>
  </si>
  <si>
    <t>281ι2 = περί κ-15-17 = υπερΠληρωμή { κωδικός ''δίκη'' - *4*</t>
  </si>
  <si>
    <t>281ρ2 = κ-15 (1,3%) διπλοΠληρωμή ΚΑΙ στην Δ.Ο.Υ.</t>
  </si>
  <si>
    <t>281υ1 = κ-18 = διπλοπληρωμή σε αγοραπωλησίες ΒΑΣΕΙ προσυμφώνου { = ΌΧΙ υπολογισμός αρραβώνα}</t>
  </si>
  <si>
    <t>281υ2 = ΤΑΣ = διπλοπληρωμή σε αγοραπωλησίες ΒΑΣΕΙ προσυμφώνου { = ΌΧΙ υπολογισμός αρραβώνα}</t>
  </si>
  <si>
    <t>281μ1 = υπερΠληρωμή κ-18 με κωδικό **15**</t>
  </si>
  <si>
    <t>281μ1</t>
  </si>
  <si>
    <t>281υ</t>
  </si>
  <si>
    <t>281υ1</t>
  </si>
  <si>
    <t>281υ2</t>
  </si>
  <si>
    <t>281φ2</t>
  </si>
  <si>
    <t>281φ1</t>
  </si>
  <si>
    <t>281ω3α = διπλοπληρωμές κ-18-15-17 σε πράξεις (= εκτέλεση - ΒΑΣΕΙ προσυμφώνου ή  προτάσεων )</t>
  </si>
  <si>
    <t>ΔΕΝ τις έβαλε στην κατάσταση ΕΠΕΙΔΗ είχαν πληρωθεί στην τράπεζα ανά συμβόλαιο ΌΠΩΣ 253</t>
  </si>
  <si>
    <t>263-2/2</t>
  </si>
  <si>
    <t>268-2/2</t>
  </si>
  <si>
    <t>270-2/2</t>
  </si>
  <si>
    <t>αντί 390 έβαλε 3.900 στην κατάσταση</t>
  </si>
  <si>
    <t>αποδέχεται την κατάσταση</t>
  </si>
  <si>
    <t>340-4/4</t>
  </si>
  <si>
    <t>341-4/4</t>
  </si>
  <si>
    <t>367-4/4</t>
  </si>
  <si>
    <t>368-4/4</t>
  </si>
  <si>
    <t>344-4/4</t>
  </si>
  <si>
    <t>…5/5</t>
  </si>
  <si>
    <t>…1/1</t>
  </si>
  <si>
    <t>..3/3</t>
  </si>
  <si>
    <t>…3/3</t>
  </si>
  <si>
    <t>281ρ3 = 1,3% πληρωμή στην Δ.Ο.Υ. (ως έξοδο = ΠΟΡΟΙ - 281ρ3</t>
  </si>
  <si>
    <t>…4/4</t>
  </si>
  <si>
    <t>…6/6</t>
  </si>
  <si>
    <t>…8/8</t>
  </si>
  <si>
    <t>…9/9</t>
  </si>
  <si>
    <t>281ρ2 = 1,3% διπλοΠληρωμή ΚΑΙ στην Δ.Ο.Υ. [= ΠΟΡΟΙ - 281ρ2</t>
  </si>
  <si>
    <t>…11/11</t>
  </si>
  <si>
    <t>381-5/5</t>
  </si>
  <si>
    <t>401-5/5</t>
  </si>
  <si>
    <t>..18-9/9</t>
  </si>
  <si>
    <t>..75-11/11</t>
  </si>
  <si>
    <t>..415-5/5</t>
  </si>
  <si>
    <t>…425-6/6</t>
  </si>
  <si>
    <t>…441-6/6</t>
  </si>
  <si>
    <t>…449-6/6</t>
  </si>
  <si>
    <t>…466-7/7</t>
  </si>
  <si>
    <t>…474-8/8</t>
  </si>
  <si>
    <t>…502-8/8</t>
  </si>
  <si>
    <t>…527-12/12</t>
  </si>
  <si>
    <t>…597-12/12</t>
  </si>
  <si>
    <t>…893-3/3</t>
  </si>
  <si>
    <t>…1105-8/8</t>
  </si>
  <si>
    <t>…1382-12/12</t>
  </si>
  <si>
    <t>το είχα σκαναρισμένο ΑΛΛΑ λείπει από φάκελο στις 9/9/2023</t>
  </si>
  <si>
    <t>695-10/10</t>
  </si>
  <si>
    <t>729-10/10</t>
  </si>
  <si>
    <t>281ρ3</t>
  </si>
  <si>
    <t>921-3/3</t>
  </si>
  <si>
    <t>είναι συμβόλαιο του 4ου</t>
  </si>
  <si>
    <t>…1285-11/11</t>
  </si>
  <si>
    <t>βάσει rochild</t>
  </si>
  <si>
    <t>ΜΠΑΙΝΟΥΝ στο 282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</si>
</sst>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d/m;@"/>
  </numFmts>
  <fonts count="32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9"/>
      <color theme="1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2"/>
      <color rgb="FF0070C0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name val="Arial"/>
      <family val="2"/>
      <charset val="161"/>
    </font>
    <font>
      <sz val="14"/>
      <color rgb="FFFF0000"/>
      <name val="Arial"/>
      <family val="2"/>
      <charset val="161"/>
    </font>
    <font>
      <sz val="1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8"/>
      <color rgb="FF0070C0"/>
      <name val="Arial"/>
      <family val="2"/>
      <charset val="161"/>
    </font>
    <font>
      <sz val="8"/>
      <color rgb="FF00B050"/>
      <name val="Arial"/>
      <family val="2"/>
      <charset val="161"/>
    </font>
    <font>
      <b/>
      <sz val="8"/>
      <color rgb="FF00B0F0"/>
      <name val="Arial"/>
      <family val="2"/>
      <charset val="161"/>
    </font>
    <font>
      <b/>
      <sz val="8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70C0"/>
      <name val="Arial"/>
      <family val="2"/>
      <charset val="161"/>
    </font>
    <font>
      <b/>
      <sz val="11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b/>
      <sz val="11"/>
      <color rgb="FF0070C0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1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43" fontId="3" fillId="0" borderId="1" xfId="1" applyFont="1" applyBorder="1"/>
    <xf numFmtId="43" fontId="2" fillId="2" borderId="1" xfId="1" applyFont="1" applyFill="1" applyBorder="1"/>
    <xf numFmtId="43" fontId="2" fillId="0" borderId="0" xfId="0" applyNumberFormat="1" applyFont="1"/>
    <xf numFmtId="43" fontId="3" fillId="3" borderId="1" xfId="1" applyFont="1" applyFill="1" applyBorder="1"/>
    <xf numFmtId="0" fontId="4" fillId="0" borderId="1" xfId="0" applyFont="1" applyBorder="1"/>
    <xf numFmtId="0" fontId="4" fillId="0" borderId="0" xfId="0" applyFont="1"/>
    <xf numFmtId="43" fontId="4" fillId="0" borderId="1" xfId="1" applyFont="1" applyFill="1" applyBorder="1"/>
    <xf numFmtId="43" fontId="4" fillId="0" borderId="1" xfId="1" applyFont="1" applyBorder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43" fontId="4" fillId="0" borderId="0" xfId="1" applyFont="1"/>
    <xf numFmtId="0" fontId="4" fillId="0" borderId="5" xfId="0" applyFont="1" applyBorder="1"/>
    <xf numFmtId="0" fontId="2" fillId="0" borderId="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0" fillId="0" borderId="0" xfId="0" applyFont="1"/>
    <xf numFmtId="0" fontId="2" fillId="0" borderId="5" xfId="0" applyFont="1" applyBorder="1"/>
    <xf numFmtId="0" fontId="7" fillId="0" borderId="0" xfId="0" applyFont="1" applyAlignment="1"/>
    <xf numFmtId="0" fontId="0" fillId="0" borderId="5" xfId="0" applyFont="1" applyBorder="1"/>
    <xf numFmtId="43" fontId="0" fillId="7" borderId="5" xfId="1" applyFont="1" applyFill="1" applyBorder="1"/>
    <xf numFmtId="43" fontId="0" fillId="0" borderId="5" xfId="1" applyFont="1" applyFill="1" applyBorder="1"/>
    <xf numFmtId="0" fontId="0" fillId="0" borderId="1" xfId="0" applyFont="1" applyBorder="1"/>
    <xf numFmtId="43" fontId="0" fillId="7" borderId="1" xfId="1" applyFont="1" applyFill="1" applyBorder="1"/>
    <xf numFmtId="0" fontId="7" fillId="0" borderId="0" xfId="0" applyFont="1"/>
    <xf numFmtId="43" fontId="0" fillId="0" borderId="0" xfId="1" applyFont="1"/>
    <xf numFmtId="43" fontId="0" fillId="7" borderId="1" xfId="1" applyFont="1" applyFill="1" applyBorder="1" applyAlignment="1">
      <alignment horizontal="center"/>
    </xf>
    <xf numFmtId="43" fontId="0" fillId="5" borderId="1" xfId="1" applyFont="1" applyFill="1" applyBorder="1"/>
    <xf numFmtId="43" fontId="0" fillId="5" borderId="1" xfId="1" applyFont="1" applyFill="1" applyBorder="1" applyAlignment="1">
      <alignment horizontal="center"/>
    </xf>
    <xf numFmtId="43" fontId="0" fillId="5" borderId="5" xfId="1" applyFont="1" applyFill="1" applyBorder="1"/>
    <xf numFmtId="164" fontId="0" fillId="0" borderId="5" xfId="1" applyNumberFormat="1" applyFont="1" applyFill="1" applyBorder="1"/>
    <xf numFmtId="43" fontId="1" fillId="0" borderId="7" xfId="1" applyFont="1" applyBorder="1"/>
    <xf numFmtId="43" fontId="0" fillId="5" borderId="1" xfId="0" applyNumberFormat="1" applyFont="1" applyFill="1" applyBorder="1"/>
    <xf numFmtId="164" fontId="0" fillId="7" borderId="1" xfId="1" applyNumberFormat="1" applyFont="1" applyFill="1" applyBorder="1"/>
    <xf numFmtId="0" fontId="2" fillId="0" borderId="7" xfId="0" applyFont="1" applyBorder="1"/>
    <xf numFmtId="43" fontId="2" fillId="7" borderId="5" xfId="1" applyFont="1" applyFill="1" applyBorder="1"/>
    <xf numFmtId="43" fontId="2" fillId="0" borderId="5" xfId="1" applyFont="1" applyFill="1" applyBorder="1"/>
    <xf numFmtId="43" fontId="2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8" fillId="0" borderId="5" xfId="1" applyFont="1" applyFill="1" applyBorder="1"/>
    <xf numFmtId="43" fontId="8" fillId="0" borderId="1" xfId="1" applyFont="1" applyFill="1" applyBorder="1"/>
    <xf numFmtId="43" fontId="8" fillId="3" borderId="1" xfId="1" applyFont="1" applyFill="1" applyBorder="1"/>
    <xf numFmtId="0" fontId="8" fillId="0" borderId="0" xfId="0" applyFont="1"/>
    <xf numFmtId="43" fontId="8" fillId="5" borderId="1" xfId="1" applyFont="1" applyFill="1" applyBorder="1"/>
    <xf numFmtId="43" fontId="8" fillId="5" borderId="5" xfId="1" applyFont="1" applyFill="1" applyBorder="1"/>
    <xf numFmtId="43" fontId="0" fillId="7" borderId="1" xfId="0" applyNumberFormat="1" applyFont="1" applyFill="1" applyBorder="1"/>
    <xf numFmtId="43" fontId="2" fillId="5" borderId="5" xfId="1" applyFont="1" applyFill="1" applyBorder="1"/>
    <xf numFmtId="43" fontId="2" fillId="2" borderId="5" xfId="1" applyFont="1" applyFill="1" applyBorder="1"/>
    <xf numFmtId="43" fontId="2" fillId="5" borderId="1" xfId="1" applyFont="1" applyFill="1" applyBorder="1"/>
    <xf numFmtId="43" fontId="3" fillId="0" borderId="1" xfId="1" applyFont="1" applyFill="1" applyBorder="1"/>
    <xf numFmtId="0" fontId="2" fillId="3" borderId="7" xfId="0" applyFont="1" applyFill="1" applyBorder="1" applyAlignment="1">
      <alignment horizontal="center" wrapText="1"/>
    </xf>
    <xf numFmtId="43" fontId="0" fillId="0" borderId="0" xfId="0" applyNumberFormat="1" applyFont="1"/>
    <xf numFmtId="43" fontId="2" fillId="0" borderId="0" xfId="1" applyFont="1"/>
    <xf numFmtId="0" fontId="2" fillId="5" borderId="5" xfId="0" applyFont="1" applyFill="1" applyBorder="1"/>
    <xf numFmtId="0" fontId="2" fillId="5" borderId="1" xfId="0" applyFont="1" applyFill="1" applyBorder="1"/>
    <xf numFmtId="43" fontId="0" fillId="0" borderId="1" xfId="0" applyNumberFormat="1" applyFont="1" applyFill="1" applyBorder="1"/>
    <xf numFmtId="43" fontId="2" fillId="7" borderId="1" xfId="1" applyFont="1" applyFill="1" applyBorder="1"/>
    <xf numFmtId="43" fontId="2" fillId="7" borderId="1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164" fontId="4" fillId="0" borderId="0" xfId="1" applyNumberFormat="1" applyFont="1"/>
    <xf numFmtId="164" fontId="0" fillId="0" borderId="0" xfId="1" applyNumberFormat="1" applyFont="1"/>
    <xf numFmtId="43" fontId="0" fillId="0" borderId="1" xfId="1" applyFont="1" applyFill="1" applyBorder="1"/>
    <xf numFmtId="0" fontId="10" fillId="0" borderId="0" xfId="0" applyFont="1"/>
    <xf numFmtId="164" fontId="2" fillId="0" borderId="0" xfId="1" applyNumberFormat="1" applyFont="1"/>
    <xf numFmtId="164" fontId="2" fillId="0" borderId="0" xfId="0" applyNumberFormat="1" applyFont="1"/>
    <xf numFmtId="43" fontId="0" fillId="3" borderId="1" xfId="1" applyFont="1" applyFill="1" applyBorder="1"/>
    <xf numFmtId="0" fontId="2" fillId="0" borderId="0" xfId="0" applyFont="1" applyAlignment="1"/>
    <xf numFmtId="0" fontId="0" fillId="0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8" borderId="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43" fontId="4" fillId="2" borderId="1" xfId="1" applyFont="1" applyFill="1" applyBorder="1"/>
    <xf numFmtId="43" fontId="0" fillId="2" borderId="5" xfId="1" applyFont="1" applyFill="1" applyBorder="1"/>
    <xf numFmtId="0" fontId="0" fillId="0" borderId="4" xfId="0" applyFont="1" applyFill="1" applyBorder="1" applyAlignment="1">
      <alignment horizontal="center"/>
    </xf>
    <xf numFmtId="43" fontId="8" fillId="7" borderId="1" xfId="1" applyFont="1" applyFill="1" applyBorder="1"/>
    <xf numFmtId="0" fontId="1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0" fontId="0" fillId="3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4" fillId="0" borderId="0" xfId="0" applyFont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/>
    <xf numFmtId="10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/>
    <xf numFmtId="165" fontId="0" fillId="0" borderId="1" xfId="1" applyNumberFormat="1" applyFont="1" applyBorder="1"/>
    <xf numFmtId="164" fontId="0" fillId="0" borderId="1" xfId="1" applyNumberFormat="1" applyFont="1" applyBorder="1" applyAlignment="1"/>
    <xf numFmtId="43" fontId="0" fillId="0" borderId="3" xfId="1" applyFont="1" applyBorder="1" applyAlignment="1"/>
    <xf numFmtId="43" fontId="2" fillId="0" borderId="1" xfId="1" applyFont="1" applyBorder="1" applyAlignment="1">
      <alignment horizontal="center"/>
    </xf>
    <xf numFmtId="43" fontId="0" fillId="0" borderId="1" xfId="1" applyFont="1" applyBorder="1"/>
    <xf numFmtId="0" fontId="0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10" borderId="0" xfId="1" applyNumberFormat="1" applyFont="1" applyFill="1"/>
    <xf numFmtId="0" fontId="0" fillId="6" borderId="0" xfId="0" applyFill="1"/>
    <xf numFmtId="164" fontId="0" fillId="0" borderId="1" xfId="1" applyNumberFormat="1" applyFont="1" applyFill="1" applyBorder="1" applyAlignment="1"/>
    <xf numFmtId="43" fontId="0" fillId="0" borderId="1" xfId="1" applyFont="1" applyFill="1" applyBorder="1" applyAlignment="1"/>
    <xf numFmtId="43" fontId="2" fillId="12" borderId="1" xfId="1" applyFont="1" applyFill="1" applyBorder="1"/>
    <xf numFmtId="43" fontId="15" fillId="0" borderId="5" xfId="1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0" fontId="2" fillId="11" borderId="0" xfId="0" applyFont="1" applyFill="1"/>
    <xf numFmtId="43" fontId="2" fillId="11" borderId="1" xfId="1" applyFont="1" applyFill="1" applyBorder="1"/>
    <xf numFmtId="43" fontId="2" fillId="8" borderId="5" xfId="1" applyFont="1" applyFill="1" applyBorder="1"/>
    <xf numFmtId="43" fontId="2" fillId="8" borderId="0" xfId="1" applyFont="1" applyFill="1"/>
    <xf numFmtId="0" fontId="16" fillId="8" borderId="0" xfId="0" applyFont="1" applyFill="1"/>
    <xf numFmtId="0" fontId="2" fillId="8" borderId="0" xfId="0" applyFont="1" applyFill="1"/>
    <xf numFmtId="0" fontId="9" fillId="8" borderId="0" xfId="0" applyFont="1" applyFill="1"/>
    <xf numFmtId="43" fontId="2" fillId="0" borderId="0" xfId="0" applyNumberFormat="1" applyFont="1" applyAlignment="1"/>
    <xf numFmtId="0" fontId="2" fillId="0" borderId="0" xfId="0" applyFont="1" applyFill="1"/>
    <xf numFmtId="43" fontId="2" fillId="0" borderId="0" xfId="1" applyFont="1" applyFill="1"/>
    <xf numFmtId="43" fontId="8" fillId="2" borderId="1" xfId="1" applyFont="1" applyFill="1" applyBorder="1"/>
    <xf numFmtId="43" fontId="8" fillId="4" borderId="1" xfId="1" applyFont="1" applyFill="1" applyBorder="1"/>
    <xf numFmtId="43" fontId="8" fillId="14" borderId="5" xfId="1" applyFont="1" applyFill="1" applyBorder="1"/>
    <xf numFmtId="43" fontId="4" fillId="14" borderId="1" xfId="1" applyFont="1" applyFill="1" applyBorder="1"/>
    <xf numFmtId="43" fontId="8" fillId="0" borderId="1" xfId="1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0" fontId="4" fillId="4" borderId="0" xfId="0" applyFont="1" applyFill="1"/>
    <xf numFmtId="43" fontId="8" fillId="7" borderId="5" xfId="1" applyFont="1" applyFill="1" applyBorder="1" applyAlignment="1">
      <alignment horizontal="center"/>
    </xf>
    <xf numFmtId="43" fontId="2" fillId="15" borderId="1" xfId="1" applyFont="1" applyFill="1" applyBorder="1"/>
    <xf numFmtId="43" fontId="2" fillId="15" borderId="5" xfId="1" applyFont="1" applyFill="1" applyBorder="1"/>
    <xf numFmtId="164" fontId="2" fillId="2" borderId="5" xfId="1" applyNumberFormat="1" applyFont="1" applyFill="1" applyBorder="1"/>
    <xf numFmtId="164" fontId="2" fillId="15" borderId="5" xfId="1" applyNumberFormat="1" applyFont="1" applyFill="1" applyBorder="1"/>
    <xf numFmtId="43" fontId="2" fillId="15" borderId="1" xfId="1" applyFont="1" applyFill="1" applyBorder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164" fontId="2" fillId="7" borderId="5" xfId="1" applyNumberFormat="1" applyFont="1" applyFill="1" applyBorder="1"/>
    <xf numFmtId="164" fontId="2" fillId="0" borderId="0" xfId="1" applyNumberFormat="1" applyFont="1" applyFill="1"/>
    <xf numFmtId="0" fontId="0" fillId="0" borderId="7" xfId="0" applyBorder="1"/>
    <xf numFmtId="0" fontId="0" fillId="0" borderId="0" xfId="0" applyFont="1" applyFill="1" applyBorder="1" applyAlignment="1">
      <alignment horizontal="center" wrapText="1"/>
    </xf>
    <xf numFmtId="14" fontId="9" fillId="0" borderId="0" xfId="0" applyNumberFormat="1" applyFont="1"/>
    <xf numFmtId="0" fontId="4" fillId="0" borderId="4" xfId="0" applyFont="1" applyFill="1" applyBorder="1" applyAlignment="1">
      <alignment horizontal="center"/>
    </xf>
    <xf numFmtId="43" fontId="10" fillId="0" borderId="0" xfId="1" applyFont="1"/>
    <xf numFmtId="43" fontId="10" fillId="0" borderId="0" xfId="1" applyFont="1" applyFill="1"/>
    <xf numFmtId="164" fontId="9" fillId="0" borderId="0" xfId="1" applyNumberFormat="1" applyFont="1"/>
    <xf numFmtId="164" fontId="9" fillId="0" borderId="0" xfId="1" applyNumberFormat="1" applyFont="1" applyFill="1"/>
    <xf numFmtId="43" fontId="4" fillId="7" borderId="5" xfId="1" applyFont="1" applyFill="1" applyBorder="1"/>
    <xf numFmtId="43" fontId="4" fillId="0" borderId="5" xfId="1" applyFont="1" applyFill="1" applyBorder="1"/>
    <xf numFmtId="43" fontId="4" fillId="0" borderId="1" xfId="0" applyNumberFormat="1" applyFont="1" applyFill="1" applyBorder="1"/>
    <xf numFmtId="43" fontId="4" fillId="7" borderId="1" xfId="1" applyFont="1" applyFill="1" applyBorder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4" borderId="0" xfId="0" applyFont="1" applyFill="1" applyAlignment="1"/>
    <xf numFmtId="43" fontId="4" fillId="0" borderId="5" xfId="0" applyNumberFormat="1" applyFont="1" applyFill="1" applyBorder="1"/>
    <xf numFmtId="0" fontId="4" fillId="3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3" borderId="0" xfId="0" applyFont="1" applyFill="1"/>
    <xf numFmtId="43" fontId="4" fillId="0" borderId="1" xfId="1" applyFont="1" applyFill="1" applyBorder="1" applyAlignment="1">
      <alignment horizontal="center"/>
    </xf>
    <xf numFmtId="0" fontId="4" fillId="3" borderId="0" xfId="0" applyFont="1" applyFill="1" applyAlignment="1"/>
    <xf numFmtId="14" fontId="4" fillId="0" borderId="0" xfId="0" applyNumberFormat="1" applyFont="1"/>
    <xf numFmtId="164" fontId="4" fillId="0" borderId="0" xfId="0" applyNumberFormat="1" applyFont="1"/>
    <xf numFmtId="164" fontId="17" fillId="0" borderId="0" xfId="1" applyNumberFormat="1" applyFont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3" fontId="4" fillId="5" borderId="1" xfId="1" applyFont="1" applyFill="1" applyBorder="1"/>
    <xf numFmtId="0" fontId="5" fillId="0" borderId="0" xfId="0" applyFont="1" applyAlignment="1"/>
    <xf numFmtId="43" fontId="4" fillId="0" borderId="14" xfId="1" applyFont="1" applyFill="1" applyBorder="1"/>
    <xf numFmtId="43" fontId="4" fillId="0" borderId="2" xfId="1" applyFont="1" applyFill="1" applyBorder="1"/>
    <xf numFmtId="0" fontId="4" fillId="0" borderId="7" xfId="0" applyFont="1" applyBorder="1"/>
    <xf numFmtId="43" fontId="10" fillId="0" borderId="0" xfId="0" applyNumberFormat="1" applyFo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43" fontId="4" fillId="10" borderId="5" xfId="1" applyFont="1" applyFill="1" applyBorder="1"/>
    <xf numFmtId="0" fontId="19" fillId="0" borderId="0" xfId="0" applyFont="1"/>
    <xf numFmtId="43" fontId="4" fillId="2" borderId="5" xfId="1" applyFont="1" applyFill="1" applyBorder="1"/>
    <xf numFmtId="43" fontId="4" fillId="0" borderId="7" xfId="1" applyFont="1" applyBorder="1"/>
    <xf numFmtId="164" fontId="4" fillId="0" borderId="0" xfId="1" applyNumberFormat="1" applyFont="1" applyFill="1"/>
    <xf numFmtId="43" fontId="5" fillId="0" borderId="0" xfId="0" applyNumberFormat="1" applyFont="1"/>
    <xf numFmtId="43" fontId="5" fillId="0" borderId="0" xfId="1" applyFont="1"/>
    <xf numFmtId="43" fontId="4" fillId="0" borderId="0" xfId="1" applyFont="1" applyAlignment="1"/>
    <xf numFmtId="43" fontId="5" fillId="0" borderId="0" xfId="1" applyFont="1" applyAlignment="1"/>
    <xf numFmtId="43" fontId="4" fillId="0" borderId="0" xfId="1" applyFont="1" applyFill="1"/>
    <xf numFmtId="43" fontId="17" fillId="0" borderId="0" xfId="1" applyFont="1"/>
    <xf numFmtId="43" fontId="17" fillId="0" borderId="0" xfId="1" applyFont="1" applyAlignment="1"/>
    <xf numFmtId="43" fontId="15" fillId="0" borderId="0" xfId="1" applyFont="1"/>
    <xf numFmtId="14" fontId="4" fillId="10" borderId="0" xfId="0" applyNumberFormat="1" applyFont="1" applyFill="1"/>
    <xf numFmtId="164" fontId="2" fillId="0" borderId="0" xfId="1" applyNumberFormat="1" applyFont="1" applyAlignment="1"/>
    <xf numFmtId="43" fontId="2" fillId="4" borderId="0" xfId="1" applyFont="1" applyFill="1"/>
    <xf numFmtId="0" fontId="4" fillId="4" borderId="1" xfId="0" applyFont="1" applyFill="1" applyBorder="1"/>
    <xf numFmtId="43" fontId="8" fillId="4" borderId="5" xfId="1" applyFont="1" applyFill="1" applyBorder="1"/>
    <xf numFmtId="164" fontId="2" fillId="0" borderId="0" xfId="1" applyNumberFormat="1" applyFont="1" applyFill="1" applyAlignment="1"/>
    <xf numFmtId="43" fontId="15" fillId="8" borderId="0" xfId="1" applyFont="1" applyFill="1"/>
    <xf numFmtId="43" fontId="2" fillId="12" borderId="0" xfId="1" applyFont="1" applyFill="1"/>
    <xf numFmtId="43" fontId="15" fillId="12" borderId="0" xfId="1" applyFont="1" applyFill="1"/>
    <xf numFmtId="164" fontId="15" fillId="0" borderId="0" xfId="1" applyNumberFormat="1" applyFont="1" applyFill="1"/>
    <xf numFmtId="164" fontId="10" fillId="8" borderId="0" xfId="1" applyNumberFormat="1" applyFont="1" applyFill="1"/>
    <xf numFmtId="43" fontId="17" fillId="0" borderId="0" xfId="1" applyFont="1" applyFill="1"/>
    <xf numFmtId="14" fontId="4" fillId="0" borderId="0" xfId="0" applyNumberFormat="1" applyFont="1" applyFill="1"/>
    <xf numFmtId="0" fontId="4" fillId="0" borderId="0" xfId="0" applyFont="1" applyFill="1"/>
    <xf numFmtId="43" fontId="5" fillId="0" borderId="0" xfId="1" applyFont="1" applyFill="1"/>
    <xf numFmtId="0" fontId="4" fillId="3" borderId="0" xfId="0" applyFont="1" applyFill="1" applyAlignment="1">
      <alignment horizontal="center"/>
    </xf>
    <xf numFmtId="0" fontId="17" fillId="0" borderId="0" xfId="0" applyFont="1" applyFill="1"/>
    <xf numFmtId="0" fontId="2" fillId="0" borderId="9" xfId="0" applyFont="1" applyFill="1" applyBorder="1" applyAlignment="1">
      <alignment horizontal="center" wrapText="1"/>
    </xf>
    <xf numFmtId="0" fontId="2" fillId="12" borderId="0" xfId="0" applyFont="1" applyFill="1"/>
    <xf numFmtId="164" fontId="4" fillId="0" borderId="0" xfId="0" applyNumberFormat="1" applyFont="1" applyFill="1"/>
    <xf numFmtId="164" fontId="17" fillId="0" borderId="0" xfId="0" applyNumberFormat="1" applyFont="1"/>
    <xf numFmtId="164" fontId="4" fillId="0" borderId="5" xfId="1" applyNumberFormat="1" applyFont="1" applyFill="1" applyBorder="1"/>
    <xf numFmtId="164" fontId="4" fillId="0" borderId="1" xfId="1" applyNumberFormat="1" applyFont="1" applyFill="1" applyBorder="1"/>
    <xf numFmtId="0" fontId="0" fillId="3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43" fontId="2" fillId="0" borderId="0" xfId="1" applyFont="1" applyBorder="1"/>
    <xf numFmtId="0" fontId="0" fillId="0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7" borderId="5" xfId="1" applyNumberFormat="1" applyFont="1" applyFill="1" applyBorder="1"/>
    <xf numFmtId="0" fontId="13" fillId="0" borderId="7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4" fontId="0" fillId="4" borderId="0" xfId="1" applyNumberFormat="1" applyFont="1" applyFill="1"/>
    <xf numFmtId="164" fontId="0" fillId="0" borderId="0" xfId="1" applyNumberFormat="1" applyFont="1" applyFill="1"/>
    <xf numFmtId="43" fontId="0" fillId="0" borderId="1" xfId="1" applyFont="1" applyFill="1" applyBorder="1" applyAlignment="1">
      <alignment horizontal="center"/>
    </xf>
    <xf numFmtId="164" fontId="0" fillId="6" borderId="0" xfId="1" applyNumberFormat="1" applyFont="1" applyFill="1"/>
    <xf numFmtId="164" fontId="2" fillId="0" borderId="4" xfId="1" applyNumberFormat="1" applyFont="1" applyBorder="1" applyAlignment="1">
      <alignment horizontal="center"/>
    </xf>
    <xf numFmtId="164" fontId="2" fillId="0" borderId="2" xfId="1" applyNumberFormat="1" applyFont="1" applyFill="1" applyBorder="1" applyAlignment="1"/>
    <xf numFmtId="164" fontId="2" fillId="0" borderId="1" xfId="1" applyNumberFormat="1" applyFont="1" applyFill="1" applyBorder="1" applyAlignment="1"/>
    <xf numFmtId="164" fontId="2" fillId="0" borderId="1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/>
    <xf numFmtId="164" fontId="0" fillId="12" borderId="0" xfId="1" applyNumberFormat="1" applyFont="1" applyFill="1"/>
    <xf numFmtId="0" fontId="0" fillId="12" borderId="0" xfId="0" applyFont="1" applyFill="1"/>
    <xf numFmtId="0" fontId="0" fillId="8" borderId="0" xfId="0" applyFill="1"/>
    <xf numFmtId="164" fontId="0" fillId="8" borderId="0" xfId="1" applyNumberFormat="1" applyFont="1" applyFill="1"/>
    <xf numFmtId="164" fontId="0" fillId="2" borderId="0" xfId="1" applyNumberFormat="1" applyFont="1" applyFill="1"/>
    <xf numFmtId="0" fontId="0" fillId="6" borderId="0" xfId="0" applyFont="1" applyFill="1"/>
    <xf numFmtId="164" fontId="0" fillId="16" borderId="0" xfId="1" applyNumberFormat="1" applyFont="1" applyFill="1"/>
    <xf numFmtId="164" fontId="0" fillId="4" borderId="1" xfId="1" applyNumberFormat="1" applyFont="1" applyFill="1" applyBorder="1"/>
    <xf numFmtId="164" fontId="0" fillId="3" borderId="1" xfId="1" applyNumberFormat="1" applyFont="1" applyFill="1" applyBorder="1" applyAlignment="1"/>
    <xf numFmtId="164" fontId="0" fillId="0" borderId="3" xfId="1" applyNumberFormat="1" applyFont="1" applyBorder="1" applyAlignment="1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14" fillId="0" borderId="0" xfId="1" applyNumberFormat="1" applyFont="1"/>
    <xf numFmtId="43" fontId="0" fillId="3" borderId="1" xfId="1" applyFont="1" applyFill="1" applyBorder="1" applyAlignment="1"/>
    <xf numFmtId="164" fontId="0" fillId="10" borderId="1" xfId="1" applyNumberFormat="1" applyFont="1" applyFill="1" applyBorder="1" applyAlignment="1"/>
    <xf numFmtId="43" fontId="0" fillId="10" borderId="1" xfId="1" applyFont="1" applyFill="1" applyBorder="1" applyAlignment="1"/>
    <xf numFmtId="0" fontId="0" fillId="7" borderId="0" xfId="0" applyFont="1" applyFill="1"/>
    <xf numFmtId="164" fontId="0" fillId="7" borderId="0" xfId="1" applyNumberFormat="1" applyFont="1" applyFill="1"/>
    <xf numFmtId="0" fontId="0" fillId="2" borderId="0" xfId="0" applyFont="1" applyFill="1"/>
    <xf numFmtId="164" fontId="0" fillId="4" borderId="1" xfId="1" applyNumberFormat="1" applyFont="1" applyFill="1" applyBorder="1" applyAlignment="1"/>
    <xf numFmtId="164" fontId="0" fillId="0" borderId="3" xfId="1" applyNumberFormat="1" applyFont="1" applyFill="1" applyBorder="1" applyAlignment="1"/>
    <xf numFmtId="43" fontId="0" fillId="6" borderId="0" xfId="1" applyFont="1" applyFill="1"/>
    <xf numFmtId="0" fontId="0" fillId="12" borderId="0" xfId="0" applyFill="1"/>
    <xf numFmtId="164" fontId="0" fillId="2" borderId="1" xfId="1" applyNumberFormat="1" applyFont="1" applyFill="1" applyBorder="1" applyAlignment="1"/>
    <xf numFmtId="43" fontId="0" fillId="12" borderId="0" xfId="1" applyFont="1" applyFill="1"/>
    <xf numFmtId="164" fontId="0" fillId="2" borderId="1" xfId="1" applyNumberFormat="1" applyFont="1" applyFill="1" applyBorder="1"/>
    <xf numFmtId="164" fontId="0" fillId="4" borderId="3" xfId="1" applyNumberFormat="1" applyFont="1" applyFill="1" applyBorder="1" applyAlignment="1"/>
    <xf numFmtId="0" fontId="14" fillId="4" borderId="0" xfId="0" applyFont="1" applyFill="1"/>
    <xf numFmtId="0" fontId="0" fillId="4" borderId="0" xfId="0" applyFill="1"/>
    <xf numFmtId="164" fontId="12" fillId="0" borderId="0" xfId="1" applyNumberFormat="1" applyFont="1"/>
    <xf numFmtId="164" fontId="21" fillId="0" borderId="0" xfId="1" applyNumberFormat="1" applyFont="1"/>
    <xf numFmtId="0" fontId="0" fillId="2" borderId="0" xfId="0" applyFill="1"/>
    <xf numFmtId="0" fontId="7" fillId="3" borderId="0" xfId="0" applyFont="1" applyFill="1"/>
    <xf numFmtId="164" fontId="7" fillId="0" borderId="0" xfId="0" applyNumberFormat="1" applyFont="1"/>
    <xf numFmtId="43" fontId="7" fillId="0" borderId="0" xfId="1" applyFont="1"/>
    <xf numFmtId="0" fontId="0" fillId="10" borderId="0" xfId="0" applyFont="1" applyFill="1"/>
    <xf numFmtId="0" fontId="0" fillId="10" borderId="0" xfId="0" applyFill="1"/>
    <xf numFmtId="164" fontId="7" fillId="0" borderId="0" xfId="1" applyNumberFormat="1" applyFont="1"/>
    <xf numFmtId="0" fontId="2" fillId="0" borderId="0" xfId="0" applyFont="1"/>
    <xf numFmtId="0" fontId="2" fillId="0" borderId="1" xfId="0" applyFont="1" applyBorder="1"/>
    <xf numFmtId="43" fontId="2" fillId="2" borderId="1" xfId="1" applyFont="1" applyFill="1" applyBorder="1"/>
    <xf numFmtId="43" fontId="2" fillId="0" borderId="0" xfId="0" applyNumberFormat="1" applyFont="1"/>
    <xf numFmtId="0" fontId="2" fillId="0" borderId="5" xfId="0" applyFont="1" applyBorder="1"/>
    <xf numFmtId="43" fontId="2" fillId="7" borderId="5" xfId="1" applyFont="1" applyFill="1" applyBorder="1"/>
    <xf numFmtId="43" fontId="2" fillId="0" borderId="5" xfId="1" applyFont="1" applyFill="1" applyBorder="1"/>
    <xf numFmtId="43" fontId="2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2" fillId="5" borderId="5" xfId="1" applyFont="1" applyFill="1" applyBorder="1"/>
    <xf numFmtId="43" fontId="2" fillId="0" borderId="0" xfId="1" applyFont="1"/>
    <xf numFmtId="43" fontId="2" fillId="7" borderId="1" xfId="1" applyFont="1" applyFill="1" applyBorder="1"/>
    <xf numFmtId="164" fontId="2" fillId="0" borderId="0" xfId="1" applyNumberFormat="1" applyFont="1"/>
    <xf numFmtId="43" fontId="2" fillId="10" borderId="5" xfId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43" fontId="2" fillId="12" borderId="1" xfId="1" applyFont="1" applyFill="1" applyBorder="1"/>
    <xf numFmtId="43" fontId="2" fillId="10" borderId="1" xfId="1" applyFont="1" applyFill="1" applyBorder="1"/>
    <xf numFmtId="164" fontId="2" fillId="0" borderId="5" xfId="1" applyNumberFormat="1" applyFont="1" applyFill="1" applyBorder="1"/>
    <xf numFmtId="164" fontId="2" fillId="4" borderId="5" xfId="1" applyNumberFormat="1" applyFont="1" applyFill="1" applyBorder="1"/>
    <xf numFmtId="0" fontId="10" fillId="0" borderId="0" xfId="0" applyFont="1"/>
    <xf numFmtId="0" fontId="2" fillId="0" borderId="0" xfId="0" applyFont="1" applyAlignment="1"/>
    <xf numFmtId="43" fontId="10" fillId="0" borderId="0" xfId="1" applyFont="1"/>
    <xf numFmtId="0" fontId="2" fillId="9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64" fontId="2" fillId="0" borderId="0" xfId="0" applyNumberFormat="1" applyFont="1"/>
    <xf numFmtId="164" fontId="2" fillId="4" borderId="1" xfId="1" applyNumberFormat="1" applyFont="1" applyFill="1" applyBorder="1"/>
    <xf numFmtId="164" fontId="2" fillId="12" borderId="1" xfId="1" applyNumberFormat="1" applyFont="1" applyFill="1" applyBorder="1"/>
    <xf numFmtId="164" fontId="2" fillId="17" borderId="1" xfId="1" applyNumberFormat="1" applyFont="1" applyFill="1" applyBorder="1"/>
    <xf numFmtId="43" fontId="2" fillId="4" borderId="1" xfId="1" applyFont="1" applyFill="1" applyBorder="1"/>
    <xf numFmtId="43" fontId="2" fillId="17" borderId="1" xfId="1" applyFont="1" applyFill="1" applyBorder="1"/>
    <xf numFmtId="43" fontId="2" fillId="12" borderId="1" xfId="1" applyFont="1" applyFill="1" applyBorder="1" applyAlignment="1">
      <alignment horizontal="center"/>
    </xf>
    <xf numFmtId="43" fontId="2" fillId="7" borderId="5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Border="1"/>
    <xf numFmtId="0" fontId="2" fillId="0" borderId="13" xfId="0" applyFont="1" applyBorder="1"/>
    <xf numFmtId="164" fontId="2" fillId="0" borderId="13" xfId="1" applyNumberFormat="1" applyFont="1" applyBorder="1"/>
    <xf numFmtId="43" fontId="2" fillId="0" borderId="13" xfId="1" applyFont="1" applyBorder="1"/>
    <xf numFmtId="43" fontId="10" fillId="0" borderId="13" xfId="0" applyNumberFormat="1" applyFont="1" applyBorder="1"/>
    <xf numFmtId="0" fontId="2" fillId="0" borderId="16" xfId="0" applyFont="1" applyBorder="1"/>
    <xf numFmtId="164" fontId="2" fillId="0" borderId="16" xfId="1" applyNumberFormat="1" applyFont="1" applyBorder="1"/>
    <xf numFmtId="43" fontId="2" fillId="0" borderId="16" xfId="1" applyFont="1" applyBorder="1"/>
    <xf numFmtId="0" fontId="2" fillId="4" borderId="0" xfId="0" applyFont="1" applyFill="1" applyBorder="1"/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43" fontId="2" fillId="0" borderId="7" xfId="1" applyFont="1" applyBorder="1"/>
    <xf numFmtId="43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2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164" fontId="2" fillId="0" borderId="0" xfId="1" applyNumberFormat="1" applyFont="1" applyFill="1" applyBorder="1"/>
    <xf numFmtId="164" fontId="2" fillId="0" borderId="13" xfId="1" applyNumberFormat="1" applyFont="1" applyFill="1" applyBorder="1"/>
    <xf numFmtId="0" fontId="2" fillId="0" borderId="16" xfId="0" applyFont="1" applyFill="1" applyBorder="1"/>
    <xf numFmtId="164" fontId="2" fillId="0" borderId="16" xfId="1" applyNumberFormat="1" applyFont="1" applyFill="1" applyBorder="1"/>
    <xf numFmtId="164" fontId="15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5" fillId="0" borderId="13" xfId="1" applyNumberFormat="1" applyFont="1" applyFill="1" applyBorder="1" applyAlignment="1">
      <alignment horizontal="center"/>
    </xf>
    <xf numFmtId="43" fontId="15" fillId="0" borderId="0" xfId="1" applyFont="1" applyFill="1" applyBorder="1"/>
    <xf numFmtId="43" fontId="15" fillId="0" borderId="13" xfId="1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2" fillId="2" borderId="0" xfId="1" applyFont="1" applyFill="1" applyBorder="1"/>
    <xf numFmtId="43" fontId="2" fillId="0" borderId="0" xfId="0" applyNumberFormat="1" applyFont="1" applyBorder="1"/>
    <xf numFmtId="0" fontId="2" fillId="2" borderId="13" xfId="0" applyFont="1" applyFill="1" applyBorder="1" applyAlignment="1">
      <alignment horizontal="center"/>
    </xf>
    <xf numFmtId="43" fontId="2" fillId="2" borderId="13" xfId="1" applyFont="1" applyFill="1" applyBorder="1"/>
    <xf numFmtId="43" fontId="2" fillId="0" borderId="13" xfId="0" applyNumberFormat="1" applyFont="1" applyBorder="1"/>
    <xf numFmtId="0" fontId="2" fillId="2" borderId="16" xfId="0" applyFont="1" applyFill="1" applyBorder="1" applyAlignment="1">
      <alignment horizontal="center"/>
    </xf>
    <xf numFmtId="43" fontId="2" fillId="2" borderId="16" xfId="1" applyFont="1" applyFill="1" applyBorder="1"/>
    <xf numFmtId="43" fontId="2" fillId="0" borderId="16" xfId="0" applyNumberFormat="1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/>
    <xf numFmtId="164" fontId="2" fillId="0" borderId="0" xfId="1" applyNumberFormat="1" applyFont="1" applyBorder="1" applyAlignment="1">
      <alignment horizontal="center"/>
    </xf>
    <xf numFmtId="164" fontId="15" fillId="4" borderId="0" xfId="1" applyNumberFormat="1" applyFont="1" applyFill="1" applyBorder="1"/>
    <xf numFmtId="164" fontId="15" fillId="0" borderId="16" xfId="1" applyNumberFormat="1" applyFont="1" applyFill="1" applyBorder="1" applyAlignment="1">
      <alignment horizontal="center"/>
    </xf>
    <xf numFmtId="0" fontId="2" fillId="10" borderId="17" xfId="0" applyFont="1" applyFill="1" applyBorder="1" applyAlignment="1"/>
    <xf numFmtId="0" fontId="2" fillId="0" borderId="17" xfId="0" applyFont="1" applyFill="1" applyBorder="1"/>
    <xf numFmtId="164" fontId="2" fillId="0" borderId="17" xfId="1" applyNumberFormat="1" applyFont="1" applyBorder="1"/>
    <xf numFmtId="164" fontId="2" fillId="0" borderId="17" xfId="1" applyNumberFormat="1" applyFont="1" applyFill="1" applyBorder="1"/>
    <xf numFmtId="0" fontId="2" fillId="4" borderId="17" xfId="0" applyFont="1" applyFill="1" applyBorder="1"/>
    <xf numFmtId="43" fontId="10" fillId="0" borderId="17" xfId="1" applyFont="1" applyFill="1" applyBorder="1"/>
    <xf numFmtId="0" fontId="2" fillId="10" borderId="13" xfId="0" applyFont="1" applyFill="1" applyBorder="1"/>
    <xf numFmtId="164" fontId="2" fillId="11" borderId="0" xfId="0" applyNumberFormat="1" applyFont="1" applyFill="1"/>
    <xf numFmtId="164" fontId="2" fillId="10" borderId="0" xfId="1" applyNumberFormat="1" applyFont="1" applyFill="1"/>
    <xf numFmtId="43" fontId="2" fillId="2" borderId="5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3" fontId="4" fillId="10" borderId="1" xfId="1" applyFont="1" applyFill="1" applyBorder="1"/>
    <xf numFmtId="14" fontId="4" fillId="0" borderId="0" xfId="0" applyNumberFormat="1" applyFont="1" applyAlignment="1"/>
    <xf numFmtId="0" fontId="10" fillId="0" borderId="0" xfId="0" applyFont="1" applyAlignment="1">
      <alignment wrapText="1"/>
    </xf>
    <xf numFmtId="0" fontId="4" fillId="0" borderId="0" xfId="0" applyFont="1" applyFill="1" applyAlignment="1"/>
    <xf numFmtId="14" fontId="4" fillId="0" borderId="0" xfId="0" applyNumberFormat="1" applyFont="1" applyFill="1" applyAlignment="1"/>
    <xf numFmtId="0" fontId="24" fillId="0" borderId="0" xfId="0" applyFont="1"/>
    <xf numFmtId="0" fontId="22" fillId="0" borderId="0" xfId="0" applyFont="1"/>
    <xf numFmtId="43" fontId="2" fillId="18" borderId="1" xfId="1" applyFont="1" applyFill="1" applyBorder="1"/>
    <xf numFmtId="43" fontId="2" fillId="18" borderId="5" xfId="1" applyFont="1" applyFill="1" applyBorder="1"/>
    <xf numFmtId="43" fontId="10" fillId="0" borderId="0" xfId="0" applyNumberFormat="1" applyFont="1" applyBorder="1"/>
    <xf numFmtId="43" fontId="4" fillId="0" borderId="13" xfId="1" applyFont="1" applyBorder="1"/>
    <xf numFmtId="43" fontId="5" fillId="0" borderId="13" xfId="1" applyFont="1" applyBorder="1"/>
    <xf numFmtId="0" fontId="4" fillId="0" borderId="13" xfId="0" applyFont="1" applyBorder="1" applyAlignment="1"/>
    <xf numFmtId="0" fontId="4" fillId="0" borderId="13" xfId="0" applyFont="1" applyBorder="1"/>
    <xf numFmtId="43" fontId="4" fillId="0" borderId="13" xfId="1" applyFont="1" applyBorder="1" applyAlignment="1"/>
    <xf numFmtId="0" fontId="4" fillId="0" borderId="13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Alignment="1"/>
    <xf numFmtId="0" fontId="7" fillId="3" borderId="0" xfId="0" applyFont="1" applyFill="1" applyAlignment="1">
      <alignment horizontal="left"/>
    </xf>
    <xf numFmtId="0" fontId="11" fillId="3" borderId="0" xfId="0" applyFont="1" applyFill="1" applyAlignment="1"/>
    <xf numFmtId="0" fontId="2" fillId="0" borderId="9" xfId="0" applyFont="1" applyFill="1" applyBorder="1" applyAlignment="1">
      <alignment wrapText="1"/>
    </xf>
    <xf numFmtId="43" fontId="4" fillId="0" borderId="17" xfId="1" applyFont="1" applyBorder="1"/>
    <xf numFmtId="43" fontId="5" fillId="0" borderId="13" xfId="0" applyNumberFormat="1" applyFont="1" applyBorder="1"/>
    <xf numFmtId="43" fontId="5" fillId="0" borderId="17" xfId="1" applyFont="1" applyBorder="1"/>
    <xf numFmtId="0" fontId="4" fillId="0" borderId="17" xfId="0" applyFont="1" applyFill="1" applyBorder="1"/>
    <xf numFmtId="43" fontId="17" fillId="0" borderId="13" xfId="1" applyFont="1" applyBorder="1"/>
    <xf numFmtId="43" fontId="4" fillId="0" borderId="0" xfId="1" applyFont="1" applyBorder="1" applyAlignment="1"/>
    <xf numFmtId="0" fontId="4" fillId="0" borderId="0" xfId="0" applyFont="1" applyBorder="1"/>
    <xf numFmtId="43" fontId="4" fillId="0" borderId="0" xfId="1" applyFont="1" applyBorder="1"/>
    <xf numFmtId="43" fontId="17" fillId="0" borderId="0" xfId="1" applyFont="1" applyBorder="1" applyAlignment="1"/>
    <xf numFmtId="0" fontId="2" fillId="8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5" borderId="5" xfId="1" applyNumberFormat="1" applyFont="1" applyFill="1" applyBorder="1"/>
    <xf numFmtId="43" fontId="2" fillId="5" borderId="1" xfId="1" applyFont="1" applyFill="1" applyBorder="1" applyAlignment="1">
      <alignment horizontal="center"/>
    </xf>
    <xf numFmtId="43" fontId="2" fillId="3" borderId="1" xfId="1" applyFont="1" applyFill="1" applyBorder="1"/>
    <xf numFmtId="0" fontId="2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Fill="1" applyAlignment="1">
      <alignment horizontal="center" wrapText="1"/>
    </xf>
    <xf numFmtId="0" fontId="2" fillId="6" borderId="0" xfId="0" applyFont="1" applyFill="1"/>
    <xf numFmtId="0" fontId="15" fillId="0" borderId="0" xfId="0" applyFont="1"/>
    <xf numFmtId="0" fontId="26" fillId="0" borderId="0" xfId="0" applyFont="1"/>
    <xf numFmtId="0" fontId="2" fillId="3" borderId="0" xfId="0" applyFont="1" applyFill="1" applyBorder="1"/>
    <xf numFmtId="0" fontId="15" fillId="0" borderId="13" xfId="0" applyFont="1" applyBorder="1"/>
    <xf numFmtId="164" fontId="15" fillId="0" borderId="13" xfId="1" applyNumberFormat="1" applyFont="1" applyBorder="1"/>
    <xf numFmtId="43" fontId="10" fillId="0" borderId="13" xfId="1" applyFont="1" applyBorder="1"/>
    <xf numFmtId="0" fontId="15" fillId="0" borderId="17" xfId="0" applyFont="1" applyBorder="1"/>
    <xf numFmtId="0" fontId="15" fillId="6" borderId="17" xfId="0" applyFont="1" applyFill="1" applyBorder="1"/>
    <xf numFmtId="164" fontId="15" fillId="0" borderId="17" xfId="1" applyNumberFormat="1" applyFont="1" applyBorder="1"/>
    <xf numFmtId="43" fontId="10" fillId="0" borderId="17" xfId="1" applyFont="1" applyBorder="1"/>
    <xf numFmtId="164" fontId="15" fillId="0" borderId="0" xfId="1" applyNumberFormat="1" applyFont="1"/>
    <xf numFmtId="0" fontId="15" fillId="6" borderId="13" xfId="0" applyFont="1" applyFill="1" applyBorder="1"/>
    <xf numFmtId="43" fontId="15" fillId="0" borderId="13" xfId="1" applyFont="1" applyBorder="1"/>
    <xf numFmtId="0" fontId="15" fillId="0" borderId="0" xfId="0" applyFont="1" applyBorder="1"/>
    <xf numFmtId="0" fontId="15" fillId="6" borderId="0" xfId="0" applyFont="1" applyFill="1" applyBorder="1"/>
    <xf numFmtId="164" fontId="15" fillId="0" borderId="0" xfId="1" applyNumberFormat="1" applyFont="1" applyBorder="1"/>
    <xf numFmtId="43" fontId="15" fillId="0" borderId="0" xfId="1" applyFont="1" applyBorder="1"/>
    <xf numFmtId="0" fontId="15" fillId="0" borderId="13" xfId="0" applyFont="1" applyFill="1" applyBorder="1"/>
    <xf numFmtId="164" fontId="15" fillId="0" borderId="13" xfId="1" applyNumberFormat="1" applyFont="1" applyFill="1" applyBorder="1"/>
    <xf numFmtId="0" fontId="2" fillId="4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4" fillId="0" borderId="17" xfId="0" applyFont="1" applyFill="1" applyBorder="1" applyAlignment="1"/>
    <xf numFmtId="164" fontId="2" fillId="10" borderId="0" xfId="0" applyNumberFormat="1" applyFont="1" applyFill="1"/>
    <xf numFmtId="0" fontId="27" fillId="0" borderId="7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 wrapText="1"/>
    </xf>
    <xf numFmtId="0" fontId="27" fillId="4" borderId="7" xfId="0" applyFont="1" applyFill="1" applyBorder="1" applyAlignment="1">
      <alignment horizontal="center" wrapText="1"/>
    </xf>
    <xf numFmtId="0" fontId="27" fillId="8" borderId="7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7" fillId="0" borderId="0" xfId="0" applyFont="1"/>
    <xf numFmtId="164" fontId="27" fillId="0" borderId="0" xfId="0" applyNumberFormat="1" applyFont="1"/>
    <xf numFmtId="0" fontId="27" fillId="0" borderId="5" xfId="0" applyFont="1" applyBorder="1"/>
    <xf numFmtId="43" fontId="27" fillId="7" borderId="5" xfId="1" applyFont="1" applyFill="1" applyBorder="1"/>
    <xf numFmtId="43" fontId="27" fillId="0" borderId="5" xfId="1" applyFont="1" applyFill="1" applyBorder="1"/>
    <xf numFmtId="43" fontId="27" fillId="10" borderId="5" xfId="1" applyFont="1" applyFill="1" applyBorder="1"/>
    <xf numFmtId="164" fontId="27" fillId="0" borderId="0" xfId="1" applyNumberFormat="1" applyFont="1"/>
    <xf numFmtId="164" fontId="29" fillId="0" borderId="0" xfId="0" applyNumberFormat="1" applyFont="1"/>
    <xf numFmtId="0" fontId="27" fillId="0" borderId="1" xfId="0" applyFont="1" applyBorder="1"/>
    <xf numFmtId="43" fontId="27" fillId="0" borderId="1" xfId="1" applyFont="1" applyFill="1" applyBorder="1"/>
    <xf numFmtId="43" fontId="27" fillId="7" borderId="1" xfId="1" applyFont="1" applyFill="1" applyBorder="1"/>
    <xf numFmtId="14" fontId="30" fillId="0" borderId="0" xfId="0" applyNumberFormat="1" applyFont="1"/>
    <xf numFmtId="43" fontId="27" fillId="2" borderId="1" xfId="1" applyFont="1" applyFill="1" applyBorder="1"/>
    <xf numFmtId="43" fontId="27" fillId="2" borderId="5" xfId="1" applyFont="1" applyFill="1" applyBorder="1"/>
    <xf numFmtId="43" fontId="27" fillId="2" borderId="1" xfId="1" applyFont="1" applyFill="1" applyBorder="1" applyAlignment="1">
      <alignment horizontal="center"/>
    </xf>
    <xf numFmtId="0" fontId="29" fillId="0" borderId="0" xfId="0" applyFont="1"/>
    <xf numFmtId="43" fontId="27" fillId="0" borderId="0" xfId="1" applyFont="1"/>
    <xf numFmtId="0" fontId="31" fillId="0" borderId="0" xfId="0" applyFont="1" applyAlignment="1">
      <alignment horizontal="center"/>
    </xf>
    <xf numFmtId="164" fontId="31" fillId="0" borderId="0" xfId="1" applyNumberFormat="1" applyFont="1"/>
    <xf numFmtId="43" fontId="29" fillId="0" borderId="0" xfId="1" applyFont="1"/>
    <xf numFmtId="0" fontId="27" fillId="3" borderId="0" xfId="0" applyFont="1" applyFill="1"/>
    <xf numFmtId="164" fontId="4" fillId="4" borderId="0" xfId="0" applyNumberFormat="1" applyFont="1" applyFill="1"/>
    <xf numFmtId="43" fontId="4" fillId="10" borderId="1" xfId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43" fontId="5" fillId="0" borderId="0" xfId="1" applyFont="1" applyFill="1" applyBorder="1"/>
    <xf numFmtId="43" fontId="5" fillId="0" borderId="0" xfId="1" applyFont="1" applyBorder="1"/>
    <xf numFmtId="0" fontId="4" fillId="0" borderId="0" xfId="0" applyFont="1" applyBorder="1" applyAlignment="1"/>
    <xf numFmtId="43" fontId="5" fillId="0" borderId="0" xfId="0" applyNumberFormat="1" applyFont="1" applyBorder="1" applyAlignment="1"/>
    <xf numFmtId="43" fontId="5" fillId="0" borderId="0" xfId="1" applyFont="1" applyBorder="1" applyAlignment="1"/>
    <xf numFmtId="43" fontId="5" fillId="0" borderId="0" xfId="0" applyNumberFormat="1" applyFont="1" applyBorder="1"/>
    <xf numFmtId="0" fontId="5" fillId="0" borderId="0" xfId="0" applyFont="1" applyBorder="1"/>
    <xf numFmtId="0" fontId="5" fillId="0" borderId="13" xfId="0" applyFont="1" applyBorder="1"/>
    <xf numFmtId="0" fontId="15" fillId="0" borderId="0" xfId="0" applyFont="1" applyFill="1" applyBorder="1"/>
    <xf numFmtId="43" fontId="10" fillId="0" borderId="0" xfId="1" applyFont="1" applyBorder="1"/>
    <xf numFmtId="0" fontId="15" fillId="0" borderId="16" xfId="0" applyFont="1" applyFill="1" applyBorder="1"/>
    <xf numFmtId="164" fontId="15" fillId="0" borderId="16" xfId="1" applyNumberFormat="1" applyFont="1" applyFill="1" applyBorder="1"/>
    <xf numFmtId="43" fontId="9" fillId="0" borderId="16" xfId="1" applyFont="1" applyBorder="1"/>
    <xf numFmtId="0" fontId="15" fillId="0" borderId="16" xfId="0" applyFont="1" applyBorder="1"/>
    <xf numFmtId="164" fontId="4" fillId="5" borderId="1" xfId="1" applyNumberFormat="1" applyFont="1" applyFill="1" applyBorder="1"/>
    <xf numFmtId="164" fontId="4" fillId="0" borderId="5" xfId="1" applyNumberFormat="1" applyFont="1" applyBorder="1"/>
    <xf numFmtId="164" fontId="4" fillId="18" borderId="0" xfId="0" applyNumberFormat="1" applyFont="1" applyFill="1"/>
    <xf numFmtId="43" fontId="4" fillId="18" borderId="0" xfId="0" applyNumberFormat="1" applyFont="1" applyFill="1"/>
    <xf numFmtId="0" fontId="4" fillId="18" borderId="0" xfId="0" applyFont="1" applyFill="1"/>
    <xf numFmtId="164" fontId="4" fillId="10" borderId="0" xfId="0" applyNumberFormat="1" applyFont="1" applyFill="1"/>
    <xf numFmtId="164" fontId="4" fillId="10" borderId="5" xfId="1" applyNumberFormat="1" applyFont="1" applyFill="1" applyBorder="1"/>
    <xf numFmtId="164" fontId="27" fillId="0" borderId="5" xfId="1" applyNumberFormat="1" applyFont="1" applyFill="1" applyBorder="1"/>
    <xf numFmtId="164" fontId="27" fillId="2" borderId="1" xfId="1" applyNumberFormat="1" applyFont="1" applyFill="1" applyBorder="1"/>
    <xf numFmtId="164" fontId="27" fillId="2" borderId="1" xfId="1" applyNumberFormat="1" applyFont="1" applyFill="1" applyBorder="1" applyAlignment="1">
      <alignment horizontal="center"/>
    </xf>
    <xf numFmtId="164" fontId="27" fillId="0" borderId="1" xfId="1" applyNumberFormat="1" applyFont="1" applyFill="1" applyBorder="1"/>
    <xf numFmtId="164" fontId="27" fillId="2" borderId="5" xfId="1" applyNumberFormat="1" applyFont="1" applyFill="1" applyBorder="1"/>
    <xf numFmtId="43" fontId="3" fillId="18" borderId="1" xfId="1" applyFont="1" applyFill="1" applyBorder="1"/>
    <xf numFmtId="0" fontId="11" fillId="18" borderId="0" xfId="0" applyFont="1" applyFill="1" applyAlignment="1"/>
    <xf numFmtId="0" fontId="7" fillId="18" borderId="0" xfId="0" applyFont="1" applyFill="1"/>
    <xf numFmtId="0" fontId="0" fillId="18" borderId="0" xfId="0" applyFont="1" applyFill="1"/>
    <xf numFmtId="0" fontId="2" fillId="2" borderId="9" xfId="0" applyFont="1" applyFill="1" applyBorder="1" applyAlignment="1">
      <alignment wrapText="1"/>
    </xf>
    <xf numFmtId="164" fontId="22" fillId="0" borderId="0" xfId="1" applyNumberFormat="1" applyFont="1" applyAlignment="1">
      <alignment horizontal="center"/>
    </xf>
    <xf numFmtId="164" fontId="0" fillId="5" borderId="5" xfId="1" applyNumberFormat="1" applyFont="1" applyFill="1" applyBorder="1"/>
    <xf numFmtId="164" fontId="0" fillId="3" borderId="1" xfId="1" applyNumberFormat="1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3" fontId="2" fillId="8" borderId="0" xfId="1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3" borderId="0" xfId="0" applyFont="1" applyFill="1" applyAlignment="1">
      <alignment horizontal="center"/>
    </xf>
    <xf numFmtId="0" fontId="27" fillId="10" borderId="0" xfId="0" applyFont="1" applyFill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8" borderId="4" xfId="0" applyFont="1" applyFill="1" applyBorder="1" applyAlignment="1">
      <alignment horizontal="center" wrapText="1"/>
    </xf>
    <xf numFmtId="0" fontId="0" fillId="8" borderId="9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5" borderId="0" xfId="0" applyFont="1" applyFill="1" applyAlignment="1">
      <alignment horizontal="center" textRotation="10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 wrapText="1"/>
    </xf>
    <xf numFmtId="0" fontId="2" fillId="17" borderId="0" xfId="0" applyFont="1" applyFill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43" fontId="0" fillId="12" borderId="0" xfId="1" applyFont="1" applyFill="1" applyAlignment="1">
      <alignment horizontal="center"/>
    </xf>
    <xf numFmtId="164" fontId="14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0" fontId="2" fillId="0" borderId="1" xfId="0" applyFont="1" applyFill="1" applyBorder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  <color rgb="FF00FFFF"/>
      <color rgb="FFFF00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&#949;&#961;&#947;&#945;&#963;&#953;&#945;/&#918;&#919;&#923;/888/299-280%20&#965;&#960;&#959;&#967;&#961;&#949;&#969;&#964;&#953;&#954;&#945;%202023-01-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δ1"/>
      <sheetName val="281δ2"/>
      <sheetName val="281ε1"/>
      <sheetName val="281ε2"/>
      <sheetName val="281ξ1"/>
      <sheetName val="281ξ2"/>
      <sheetName val="281υ1"/>
      <sheetName val="281υ2"/>
      <sheetName val="281φ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>
            <v>17.559999999999999</v>
          </cell>
          <cell r="N2">
            <v>17.559999999999999</v>
          </cell>
          <cell r="O2">
            <v>376</v>
          </cell>
          <cell r="P2">
            <v>5.2679999999999998</v>
          </cell>
          <cell r="Q2">
            <v>112.8</v>
          </cell>
        </row>
        <row r="3">
          <cell r="G3">
            <v>3.62</v>
          </cell>
          <cell r="I3">
            <v>5.52</v>
          </cell>
          <cell r="N3">
            <v>9.14</v>
          </cell>
          <cell r="O3">
            <v>166</v>
          </cell>
          <cell r="P3">
            <v>2.742</v>
          </cell>
          <cell r="Q3">
            <v>49.8</v>
          </cell>
        </row>
        <row r="4"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M5">
            <v>6.47</v>
          </cell>
          <cell r="N5">
            <v>6.47</v>
          </cell>
          <cell r="O5">
            <v>81</v>
          </cell>
          <cell r="P5">
            <v>1.9409999999999998</v>
          </cell>
          <cell r="Q5">
            <v>24.3</v>
          </cell>
        </row>
        <row r="6">
          <cell r="J6">
            <v>2.08</v>
          </cell>
          <cell r="N6">
            <v>2.08</v>
          </cell>
          <cell r="O6">
            <v>24</v>
          </cell>
          <cell r="P6">
            <v>0.624</v>
          </cell>
          <cell r="Q6">
            <v>7.1999999999999993</v>
          </cell>
        </row>
        <row r="7"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>
            <v>37.25</v>
          </cell>
          <cell r="N8">
            <v>37.25</v>
          </cell>
          <cell r="O8">
            <v>374</v>
          </cell>
          <cell r="P8">
            <v>11.174999999999999</v>
          </cell>
          <cell r="Q8">
            <v>112.2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workbookViewId="0">
      <pane ySplit="2" topLeftCell="A3" activePane="bottomLeft" state="frozen"/>
      <selection pane="bottomLeft" activeCell="X34" sqref="X34"/>
    </sheetView>
  </sheetViews>
  <sheetFormatPr defaultRowHeight="12.75"/>
  <cols>
    <col min="1" max="1" width="4.88671875" style="9" bestFit="1" customWidth="1"/>
    <col min="2" max="4" width="8" style="9" bestFit="1" customWidth="1"/>
    <col min="5" max="5" width="7.33203125" style="9" bestFit="1" customWidth="1"/>
    <col min="6" max="6" width="7.33203125" style="9" customWidth="1"/>
    <col min="7" max="8" width="7.33203125" style="9" bestFit="1" customWidth="1"/>
    <col min="9" max="9" width="6.33203125" style="9" bestFit="1" customWidth="1"/>
    <col min="10" max="10" width="4.44140625" style="9" bestFit="1" customWidth="1"/>
    <col min="11" max="11" width="6.33203125" style="9" bestFit="1" customWidth="1"/>
    <col min="12" max="13" width="7.109375" style="9" customWidth="1"/>
    <col min="14" max="14" width="7.21875" style="9" customWidth="1"/>
    <col min="15" max="15" width="7.33203125" style="9" bestFit="1" customWidth="1"/>
    <col min="16" max="16" width="8" style="9" bestFit="1" customWidth="1"/>
    <col min="17" max="17" width="6.33203125" style="9" bestFit="1" customWidth="1"/>
    <col min="18" max="18" width="6.33203125" style="9" customWidth="1"/>
    <col min="19" max="19" width="8" style="9" bestFit="1" customWidth="1"/>
    <col min="20" max="20" width="8" style="9" customWidth="1"/>
    <col min="21" max="28" width="7.33203125" style="9" customWidth="1"/>
    <col min="29" max="29" width="9.6640625" style="9" bestFit="1" customWidth="1"/>
    <col min="30" max="30" width="6.33203125" style="9" bestFit="1" customWidth="1"/>
    <col min="31" max="31" width="3.21875" style="9" bestFit="1" customWidth="1"/>
    <col min="32" max="32" width="8.88671875" style="9"/>
    <col min="33" max="33" width="8.6640625" style="9" bestFit="1" customWidth="1"/>
    <col min="34" max="16384" width="8.88671875" style="9"/>
  </cols>
  <sheetData>
    <row r="1" spans="1:29" s="1" customFormat="1" ht="11.25">
      <c r="A1" s="529" t="s">
        <v>0</v>
      </c>
      <c r="B1" s="532" t="s">
        <v>3</v>
      </c>
      <c r="C1" s="534" t="s">
        <v>4</v>
      </c>
      <c r="D1" s="518" t="s">
        <v>5</v>
      </c>
      <c r="E1" s="536" t="s">
        <v>6</v>
      </c>
      <c r="F1" s="536"/>
      <c r="G1" s="531" t="s">
        <v>7</v>
      </c>
      <c r="H1" s="531"/>
      <c r="I1" s="534" t="s">
        <v>8</v>
      </c>
      <c r="J1" s="518" t="s">
        <v>9</v>
      </c>
      <c r="K1" s="534" t="s">
        <v>10</v>
      </c>
      <c r="L1" s="520" t="s">
        <v>38</v>
      </c>
      <c r="M1" s="537"/>
      <c r="N1" s="521"/>
      <c r="O1" s="534" t="s">
        <v>13</v>
      </c>
      <c r="P1" s="518" t="s">
        <v>14</v>
      </c>
      <c r="Q1" s="525" t="s">
        <v>15</v>
      </c>
      <c r="R1" s="526"/>
      <c r="S1" s="520" t="s">
        <v>17</v>
      </c>
      <c r="T1" s="521"/>
      <c r="U1" s="534" t="s">
        <v>52</v>
      </c>
      <c r="V1" s="522" t="s">
        <v>69</v>
      </c>
      <c r="W1" s="523"/>
      <c r="X1" s="524"/>
      <c r="Y1" s="527" t="s">
        <v>419</v>
      </c>
      <c r="Z1" s="528"/>
      <c r="AA1" s="520" t="s">
        <v>70</v>
      </c>
      <c r="AB1" s="521"/>
      <c r="AC1" s="516" t="s">
        <v>16</v>
      </c>
    </row>
    <row r="2" spans="1:29" s="1" customFormat="1" ht="15.75" customHeight="1" thickBot="1">
      <c r="A2" s="530"/>
      <c r="B2" s="533"/>
      <c r="C2" s="535"/>
      <c r="D2" s="519"/>
      <c r="E2" s="406" t="s">
        <v>71</v>
      </c>
      <c r="F2" s="397" t="s">
        <v>72</v>
      </c>
      <c r="G2" s="406" t="s">
        <v>40</v>
      </c>
      <c r="H2" s="396" t="s">
        <v>41</v>
      </c>
      <c r="I2" s="535"/>
      <c r="J2" s="519"/>
      <c r="K2" s="535"/>
      <c r="L2" s="17" t="s">
        <v>11</v>
      </c>
      <c r="M2" s="17" t="s">
        <v>398</v>
      </c>
      <c r="N2" s="21" t="s">
        <v>12</v>
      </c>
      <c r="O2" s="535"/>
      <c r="P2" s="519"/>
      <c r="Q2" s="512" t="s">
        <v>418</v>
      </c>
      <c r="R2" s="512" t="s">
        <v>102</v>
      </c>
      <c r="S2" s="406" t="s">
        <v>401</v>
      </c>
      <c r="T2" s="396" t="s">
        <v>400</v>
      </c>
      <c r="U2" s="535"/>
      <c r="V2" s="395" t="s">
        <v>408</v>
      </c>
      <c r="W2" s="448" t="s">
        <v>409</v>
      </c>
      <c r="X2" s="447" t="s">
        <v>466</v>
      </c>
      <c r="Y2" s="395" t="s">
        <v>420</v>
      </c>
      <c r="Z2" s="397" t="s">
        <v>421</v>
      </c>
      <c r="AA2" s="395" t="s">
        <v>423</v>
      </c>
      <c r="AB2" s="396" t="s">
        <v>422</v>
      </c>
      <c r="AC2" s="517"/>
    </row>
    <row r="3" spans="1:29">
      <c r="A3" s="59">
        <v>1998</v>
      </c>
      <c r="B3" s="42">
        <f>'281α'!AA3</f>
        <v>930.14</v>
      </c>
      <c r="C3" s="42">
        <f>'281β'!AB3</f>
        <v>1186.04</v>
      </c>
      <c r="D3" s="290">
        <f>'281γ'!AA3</f>
        <v>169.07</v>
      </c>
      <c r="E3" s="42">
        <f>'281-δ1'!N2</f>
        <v>166.12</v>
      </c>
      <c r="F3" s="42">
        <f>'281δ2'!N3</f>
        <v>1293.3600000000001</v>
      </c>
      <c r="G3" s="42">
        <f>'281ε1'!N2</f>
        <v>328.71999999999997</v>
      </c>
      <c r="H3" s="112">
        <f>'281ε2'!N2</f>
        <v>5123.5200000000004</v>
      </c>
      <c r="I3" s="53"/>
      <c r="J3" s="53">
        <f>'281η'!N2</f>
        <v>0</v>
      </c>
      <c r="K3" s="53">
        <f>'281θ'!N2</f>
        <v>0</v>
      </c>
      <c r="L3" s="42">
        <f>'281ι1'!N2</f>
        <v>299.18999999999994</v>
      </c>
      <c r="M3" s="290">
        <f>'281ι1β'!N3</f>
        <v>199.45999999999995</v>
      </c>
      <c r="N3" s="42">
        <f>'281ι2'!N3</f>
        <v>162.81</v>
      </c>
      <c r="O3" s="42">
        <f>'281κ'!N2</f>
        <v>53.379999999999995</v>
      </c>
      <c r="P3" s="41"/>
      <c r="Q3" s="387">
        <v>17.829999999999998</v>
      </c>
      <c r="R3" s="387">
        <f>Q3*6/5</f>
        <v>21.395999999999997</v>
      </c>
      <c r="S3" s="42">
        <f>'281ξ(1-2)'!AE3</f>
        <v>26.808</v>
      </c>
      <c r="T3" s="42">
        <f>'281ξ(1-2)'!AH3</f>
        <v>226.31399999999999</v>
      </c>
      <c r="U3" s="42">
        <f>'281ο'!N2</f>
        <v>15.149999999999999</v>
      </c>
      <c r="V3" s="42">
        <f>'281ρ1'!N2</f>
        <v>0</v>
      </c>
      <c r="W3" s="290">
        <f>'281ρ2'!N2</f>
        <v>3.17</v>
      </c>
      <c r="X3" s="290">
        <f>'281ρ3'!N2</f>
        <v>3.17</v>
      </c>
      <c r="Y3" s="290">
        <f>'281υ1'!N2</f>
        <v>31.310000000000002</v>
      </c>
      <c r="Z3" s="290">
        <f>'281υ2'!N2</f>
        <v>20.873333333333335</v>
      </c>
      <c r="AA3" s="290">
        <f>'281φ1'!N2</f>
        <v>17.559999999999999</v>
      </c>
      <c r="AB3" s="42">
        <f>'281φ2'!N2</f>
        <v>11.706666666666665</v>
      </c>
      <c r="AC3" s="290">
        <f t="shared" ref="AC3:AC18" si="0">SUM(B3:AB3)</f>
        <v>10307.098</v>
      </c>
    </row>
    <row r="4" spans="1:29">
      <c r="A4" s="60">
        <v>1999</v>
      </c>
      <c r="B4" s="43">
        <f>'281α'!AA4</f>
        <v>0</v>
      </c>
      <c r="C4" s="42">
        <f>'281β'!AB4</f>
        <v>142.53</v>
      </c>
      <c r="D4" s="53">
        <f>'281γ'!AA4</f>
        <v>0</v>
      </c>
      <c r="E4" s="290">
        <f>'281-δ1'!N3</f>
        <v>19.809999999999999</v>
      </c>
      <c r="F4" s="42">
        <f>'281δ2'!N4</f>
        <v>65.61</v>
      </c>
      <c r="G4" s="290">
        <f>'281ε1'!N3</f>
        <v>534.12</v>
      </c>
      <c r="H4" s="42">
        <f>'281ε2'!N3</f>
        <v>138.16999999999999</v>
      </c>
      <c r="I4" s="5"/>
      <c r="J4" s="52">
        <f>'281η'!N3</f>
        <v>0</v>
      </c>
      <c r="K4" s="52">
        <f>'281θ'!N3</f>
        <v>0</v>
      </c>
      <c r="L4" s="290">
        <f>'281ι1'!N3</f>
        <v>92.279999999999987</v>
      </c>
      <c r="M4" s="290">
        <f>'281ι1β'!N4</f>
        <v>61.519999999999996</v>
      </c>
      <c r="N4" s="290">
        <f>'281ι2'!N4</f>
        <v>23.47</v>
      </c>
      <c r="O4" s="290">
        <f>'281κ'!N3</f>
        <v>42.69</v>
      </c>
      <c r="P4" s="62"/>
      <c r="Q4" s="386">
        <v>33.33</v>
      </c>
      <c r="R4" s="387">
        <f t="shared" ref="R4:R18" si="1">Q4*6/5</f>
        <v>39.995999999999995</v>
      </c>
      <c r="S4" s="290">
        <f>'281ξ(1-2)'!AE4</f>
        <v>125.544</v>
      </c>
      <c r="T4" s="290">
        <f>'281ξ(1-2)'!AH4</f>
        <v>728.01599999999996</v>
      </c>
      <c r="U4" s="52">
        <f>'281ο'!N3</f>
        <v>36.170625000000001</v>
      </c>
      <c r="V4" s="42">
        <f>'281ρ1'!N3</f>
        <v>348.16</v>
      </c>
      <c r="W4" s="290">
        <f>'281ρ2'!N3</f>
        <v>67.67</v>
      </c>
      <c r="X4" s="290">
        <f>'281ρ3'!N3</f>
        <v>391.97999999999996</v>
      </c>
      <c r="Y4" s="290">
        <f>'281υ1'!N3</f>
        <v>24.619999999999997</v>
      </c>
      <c r="Z4" s="290">
        <f>'281υ2'!N3</f>
        <v>16.41333333333333</v>
      </c>
      <c r="AA4" s="290">
        <f>'281φ1'!N3</f>
        <v>9.14</v>
      </c>
      <c r="AB4" s="290">
        <f>'281φ2'!N3</f>
        <v>6.0933333333333337</v>
      </c>
      <c r="AC4" s="290">
        <f t="shared" si="0"/>
        <v>2947.3332916666668</v>
      </c>
    </row>
    <row r="5" spans="1:29">
      <c r="A5" s="60">
        <v>2000</v>
      </c>
      <c r="B5" s="43">
        <f>'281α'!AA5</f>
        <v>0</v>
      </c>
      <c r="C5" s="42">
        <f>'281β'!AB5</f>
        <v>0</v>
      </c>
      <c r="D5" s="53">
        <f>'281γ'!AA5</f>
        <v>0</v>
      </c>
      <c r="E5" s="297">
        <f>'281-δ1'!N4</f>
        <v>0</v>
      </c>
      <c r="F5" s="52"/>
      <c r="G5" s="297">
        <f>'281ε1'!N4</f>
        <v>0</v>
      </c>
      <c r="H5" s="52">
        <f>'281ε2'!N4</f>
        <v>0</v>
      </c>
      <c r="I5" s="5"/>
      <c r="J5" s="52">
        <f>'281η'!N4</f>
        <v>0</v>
      </c>
      <c r="K5" s="52">
        <f>'281θ'!N4</f>
        <v>0</v>
      </c>
      <c r="L5" s="290">
        <f>'281ι1'!N4</f>
        <v>20.36</v>
      </c>
      <c r="M5" s="290">
        <f>'281ι1β'!N5</f>
        <v>13.573333333333332</v>
      </c>
      <c r="N5" s="290">
        <f>'281ι2'!N5</f>
        <v>129.65</v>
      </c>
      <c r="O5" s="290">
        <f>'281κ'!N4</f>
        <v>0.6</v>
      </c>
      <c r="P5" s="62"/>
      <c r="Q5" s="386">
        <v>33.33</v>
      </c>
      <c r="R5" s="387">
        <f t="shared" si="1"/>
        <v>39.995999999999995</v>
      </c>
      <c r="S5" s="290">
        <f>'281ξ(1-2)'!AE5</f>
        <v>661.70699999999999</v>
      </c>
      <c r="T5" s="290">
        <f>'281ξ(1-2)'!AH5</f>
        <v>320.33099999999996</v>
      </c>
      <c r="U5" s="52">
        <f>'281ο'!N4</f>
        <v>36.044375000000002</v>
      </c>
      <c r="V5" s="297">
        <f>'281ρ1'!N4</f>
        <v>0</v>
      </c>
      <c r="W5" s="297">
        <f>'281ρ2'!N4</f>
        <v>0</v>
      </c>
      <c r="X5" s="297">
        <f>'281ρ3'!N4</f>
        <v>0</v>
      </c>
      <c r="Y5" s="290">
        <f>'281υ1'!N4</f>
        <v>7.9</v>
      </c>
      <c r="Z5" s="290">
        <f>'281υ2'!N4</f>
        <v>5.2666666666666675</v>
      </c>
      <c r="AA5" s="290">
        <f>'281φ1'!N4</f>
        <v>0</v>
      </c>
      <c r="AB5" s="290">
        <f>'281φ2'!N4</f>
        <v>0</v>
      </c>
      <c r="AC5" s="290">
        <f t="shared" si="0"/>
        <v>1268.7583749999999</v>
      </c>
    </row>
    <row r="6" spans="1:29">
      <c r="A6" s="60">
        <v>2001</v>
      </c>
      <c r="B6" s="291">
        <f>'281α'!AA6</f>
        <v>0</v>
      </c>
      <c r="C6" s="290">
        <f>'281β'!AB6</f>
        <v>609.4</v>
      </c>
      <c r="D6" s="53">
        <f>'281γ'!AA6</f>
        <v>0</v>
      </c>
      <c r="E6" s="297">
        <f>'281-δ1'!N5</f>
        <v>0</v>
      </c>
      <c r="F6" s="52"/>
      <c r="G6" s="297">
        <f>'281ε1'!N5</f>
        <v>0</v>
      </c>
      <c r="H6" s="52">
        <f>'281ε2'!N5</f>
        <v>0</v>
      </c>
      <c r="I6" s="5"/>
      <c r="J6" s="52">
        <f>'281η'!N5</f>
        <v>0</v>
      </c>
      <c r="K6" s="52">
        <f>'281θ'!N5</f>
        <v>0</v>
      </c>
      <c r="L6" s="290">
        <f>'281ι1'!N5</f>
        <v>0</v>
      </c>
      <c r="M6" s="290">
        <f>'281ι1β'!N6</f>
        <v>0</v>
      </c>
      <c r="N6" s="290">
        <f>'281ι2'!N6</f>
        <v>0</v>
      </c>
      <c r="O6" s="290">
        <f>'281κ'!N5</f>
        <v>18.880000000000003</v>
      </c>
      <c r="P6" s="62"/>
      <c r="Q6" s="386">
        <v>33.33</v>
      </c>
      <c r="R6" s="387">
        <f t="shared" si="1"/>
        <v>39.995999999999995</v>
      </c>
      <c r="S6" s="290">
        <f>'281ξ(1-2)'!AE6</f>
        <v>258.084</v>
      </c>
      <c r="T6" s="290">
        <f>'281ξ(1-2)'!AH6</f>
        <v>0</v>
      </c>
      <c r="U6" s="52">
        <f>'281ο'!N5</f>
        <v>36.170625000000001</v>
      </c>
      <c r="V6" s="297">
        <f>'281ρ1'!N5</f>
        <v>0</v>
      </c>
      <c r="W6" s="297">
        <f>'281ρ2'!N5</f>
        <v>0</v>
      </c>
      <c r="X6" s="297">
        <f>'281ρ3'!N5</f>
        <v>0</v>
      </c>
      <c r="Y6" s="297">
        <f>'281υ1'!N5</f>
        <v>0</v>
      </c>
      <c r="Z6" s="297" t="e">
        <f>'281υ2'!#REF!</f>
        <v>#REF!</v>
      </c>
      <c r="AA6" s="290">
        <f>'281φ1'!N5</f>
        <v>6.47</v>
      </c>
      <c r="AB6" s="290">
        <f>'281φ2'!N5</f>
        <v>4.3133333333333335</v>
      </c>
      <c r="AC6" s="290" t="e">
        <f t="shared" si="0"/>
        <v>#REF!</v>
      </c>
    </row>
    <row r="7" spans="1:29">
      <c r="A7" s="60">
        <v>2002</v>
      </c>
      <c r="B7" s="291">
        <f>'281α'!AA7</f>
        <v>0</v>
      </c>
      <c r="C7" s="290">
        <f>'281β'!AB7</f>
        <v>0</v>
      </c>
      <c r="D7" s="53">
        <f>'281γ'!AA7</f>
        <v>0</v>
      </c>
      <c r="E7" s="297">
        <f>'281-δ1'!N6</f>
        <v>0</v>
      </c>
      <c r="F7" s="52"/>
      <c r="G7" s="297">
        <f>'281ε1'!N6</f>
        <v>0</v>
      </c>
      <c r="H7" s="52">
        <f>'281ε2'!N6</f>
        <v>0</v>
      </c>
      <c r="I7" s="5"/>
      <c r="J7" s="52">
        <f>'281η'!N6</f>
        <v>0</v>
      </c>
      <c r="K7" s="52">
        <f>'281θ'!N6</f>
        <v>0</v>
      </c>
      <c r="L7" s="290">
        <f>'281ι1'!N6</f>
        <v>0</v>
      </c>
      <c r="M7" s="290">
        <f>'281ι1β'!N7</f>
        <v>0</v>
      </c>
      <c r="N7" s="290">
        <f>'281ι2'!N7</f>
        <v>0</v>
      </c>
      <c r="O7" s="290">
        <f>'281κ'!N6</f>
        <v>13.799999999999997</v>
      </c>
      <c r="P7" s="62"/>
      <c r="Q7" s="386">
        <v>33.33</v>
      </c>
      <c r="R7" s="387">
        <f t="shared" si="1"/>
        <v>39.995999999999995</v>
      </c>
      <c r="S7" s="290">
        <f>'281ξ(1-2)'!AE7</f>
        <v>446.58299999999997</v>
      </c>
      <c r="T7" s="290">
        <f>'281ξ(1-2)'!AH7</f>
        <v>38.31</v>
      </c>
      <c r="U7" s="52">
        <f>'281ο'!N6</f>
        <v>41.094374999999999</v>
      </c>
      <c r="V7" s="297">
        <f>'281ρ1'!N6</f>
        <v>0</v>
      </c>
      <c r="W7" s="297">
        <f>'281ρ2'!N6</f>
        <v>0</v>
      </c>
      <c r="X7" s="297">
        <f>'281ρ3'!N6</f>
        <v>0</v>
      </c>
      <c r="Y7" s="297">
        <f>'281υ1'!N6</f>
        <v>0</v>
      </c>
      <c r="Z7" s="297" t="e">
        <f>'281υ2'!#REF!</f>
        <v>#REF!</v>
      </c>
      <c r="AA7" s="290">
        <f>'281φ1'!N6</f>
        <v>2.08</v>
      </c>
      <c r="AB7" s="290">
        <f>'281φ2'!N6</f>
        <v>1.3866666666666667</v>
      </c>
      <c r="AC7" s="290" t="e">
        <f t="shared" si="0"/>
        <v>#REF!</v>
      </c>
    </row>
    <row r="8" spans="1:29">
      <c r="A8" s="60">
        <v>2003</v>
      </c>
      <c r="B8" s="291">
        <f>'281α'!AA8</f>
        <v>0</v>
      </c>
      <c r="C8" s="290">
        <f>'281β'!AB8</f>
        <v>0</v>
      </c>
      <c r="D8" s="53">
        <f>'281γ'!AA8</f>
        <v>0</v>
      </c>
      <c r="E8" s="297">
        <f>'281-δ1'!N7</f>
        <v>0</v>
      </c>
      <c r="F8" s="52"/>
      <c r="G8" s="297">
        <f>'281ε1'!N7</f>
        <v>0</v>
      </c>
      <c r="H8" s="52">
        <f>'281ε2'!N7</f>
        <v>0</v>
      </c>
      <c r="I8" s="5"/>
      <c r="J8" s="52">
        <f>'281η'!N7</f>
        <v>0</v>
      </c>
      <c r="K8" s="52">
        <f>'281θ'!N7</f>
        <v>0</v>
      </c>
      <c r="L8" s="290">
        <f>'281ι1'!N7</f>
        <v>0</v>
      </c>
      <c r="M8" s="290">
        <f>'281ι1β'!N8</f>
        <v>0</v>
      </c>
      <c r="N8" s="290">
        <f>'281ι2'!N8</f>
        <v>0</v>
      </c>
      <c r="O8" s="290">
        <f>'281κ'!N7</f>
        <v>12.459999999999999</v>
      </c>
      <c r="P8" s="63"/>
      <c r="Q8" s="386">
        <v>33.33</v>
      </c>
      <c r="R8" s="387">
        <f t="shared" si="1"/>
        <v>39.995999999999995</v>
      </c>
      <c r="S8" s="290">
        <f>'281ξ(1-2)'!AE8</f>
        <v>0</v>
      </c>
      <c r="T8" s="290">
        <f>'281ξ(1-2)'!AH8</f>
        <v>0</v>
      </c>
      <c r="U8" s="52">
        <f>'281ο'!N7</f>
        <v>60.789375</v>
      </c>
      <c r="V8" s="297">
        <f>'281ρ1'!N7</f>
        <v>0</v>
      </c>
      <c r="W8" s="297">
        <f>'281ρ2'!N7</f>
        <v>0</v>
      </c>
      <c r="X8" s="297">
        <f>'281ρ3'!N7</f>
        <v>0</v>
      </c>
      <c r="Y8" s="297">
        <f>'281υ1'!N7</f>
        <v>0</v>
      </c>
      <c r="Z8" s="297" t="e">
        <f>'281υ2'!#REF!</f>
        <v>#REF!</v>
      </c>
      <c r="AA8" s="290">
        <f>'281φ1'!N7</f>
        <v>0</v>
      </c>
      <c r="AB8" s="290">
        <f>'281φ2'!N7</f>
        <v>0</v>
      </c>
      <c r="AC8" s="290" t="e">
        <f t="shared" si="0"/>
        <v>#REF!</v>
      </c>
    </row>
    <row r="9" spans="1:29">
      <c r="A9" s="60">
        <v>2004</v>
      </c>
      <c r="B9" s="291">
        <f>'281α'!AA9</f>
        <v>0</v>
      </c>
      <c r="C9" s="290">
        <f>'281β'!AB9</f>
        <v>0</v>
      </c>
      <c r="D9" s="53">
        <f>'281γ'!AA9</f>
        <v>0</v>
      </c>
      <c r="E9" s="297">
        <f>'281-δ1'!N8</f>
        <v>0</v>
      </c>
      <c r="F9" s="52"/>
      <c r="G9" s="297">
        <f>'281ε1'!N8</f>
        <v>0</v>
      </c>
      <c r="H9" s="52">
        <f>'281ε2'!N8</f>
        <v>0</v>
      </c>
      <c r="I9" s="5"/>
      <c r="J9" s="52">
        <f>'281η'!N8</f>
        <v>0</v>
      </c>
      <c r="K9" s="52">
        <f>'281θ'!N8</f>
        <v>0</v>
      </c>
      <c r="L9" s="290">
        <f>'281ι1'!N8</f>
        <v>0</v>
      </c>
      <c r="M9" s="290">
        <f>'281ι1β'!N9</f>
        <v>0</v>
      </c>
      <c r="N9" s="290">
        <f>'281ι2'!N9</f>
        <v>0</v>
      </c>
      <c r="O9" s="53"/>
      <c r="P9" s="63"/>
      <c r="Q9" s="386">
        <v>33.33</v>
      </c>
      <c r="R9" s="387">
        <f t="shared" si="1"/>
        <v>39.995999999999995</v>
      </c>
      <c r="S9" s="290">
        <f>'281ξ(1-2)'!AE9</f>
        <v>0</v>
      </c>
      <c r="T9" s="290">
        <f>'281ξ(1-2)'!AH9</f>
        <v>0</v>
      </c>
      <c r="U9" s="52">
        <f>'281ο'!N8</f>
        <v>62.115000000000002</v>
      </c>
      <c r="V9" s="297">
        <f>'281ρ1'!N8</f>
        <v>0</v>
      </c>
      <c r="W9" s="297">
        <f>'281ρ2'!N8</f>
        <v>0</v>
      </c>
      <c r="X9" s="297">
        <f>'281ρ3'!N8</f>
        <v>0</v>
      </c>
      <c r="Y9" s="297">
        <f>'281υ1'!N8</f>
        <v>0</v>
      </c>
      <c r="Z9" s="297" t="e">
        <f>'281υ2'!#REF!</f>
        <v>#REF!</v>
      </c>
      <c r="AA9" s="290">
        <f>'281φ1'!N8</f>
        <v>37.25</v>
      </c>
      <c r="AB9" s="290">
        <f>'281φ2'!N8</f>
        <v>24.833333333333332</v>
      </c>
      <c r="AC9" s="290" t="e">
        <f t="shared" si="0"/>
        <v>#REF!</v>
      </c>
    </row>
    <row r="10" spans="1:29">
      <c r="A10" s="60">
        <v>2005</v>
      </c>
      <c r="B10" s="291">
        <f>'281α'!AA10</f>
        <v>0</v>
      </c>
      <c r="C10" s="290">
        <f>'281β'!AB10</f>
        <v>0</v>
      </c>
      <c r="D10" s="53">
        <f>'281γ'!AA10</f>
        <v>0</v>
      </c>
      <c r="E10" s="41"/>
      <c r="F10" s="41"/>
      <c r="G10" s="41"/>
      <c r="H10" s="41"/>
      <c r="I10" s="5"/>
      <c r="J10" s="52">
        <f>'281η'!N9</f>
        <v>0</v>
      </c>
      <c r="K10" s="52">
        <f>'281θ'!N9</f>
        <v>0</v>
      </c>
      <c r="L10" s="290">
        <f>'281ι1'!N9</f>
        <v>0</v>
      </c>
      <c r="M10" s="290">
        <f>'281ι1β'!N10</f>
        <v>0</v>
      </c>
      <c r="N10" s="290">
        <f>'281ι2'!N10</f>
        <v>0</v>
      </c>
      <c r="O10" s="53"/>
      <c r="P10" s="62"/>
      <c r="Q10" s="386">
        <v>33.33</v>
      </c>
      <c r="R10" s="387">
        <f t="shared" si="1"/>
        <v>39.995999999999995</v>
      </c>
      <c r="S10" s="290">
        <f>'281ξ(1-2)'!AE10</f>
        <v>0</v>
      </c>
      <c r="T10" s="290">
        <f>'281ξ(1-2)'!AH10</f>
        <v>0</v>
      </c>
      <c r="U10" s="52">
        <f>'281ο'!N9</f>
        <v>66.596874999999997</v>
      </c>
      <c r="V10" s="297">
        <f>'281ρ1'!N9</f>
        <v>0</v>
      </c>
      <c r="W10" s="297">
        <f>'281ρ2'!N9</f>
        <v>0</v>
      </c>
      <c r="X10" s="297">
        <f>'281ρ3'!N9</f>
        <v>0</v>
      </c>
      <c r="Y10" s="297">
        <f>'281υ1'!N9</f>
        <v>0</v>
      </c>
      <c r="Z10" s="297" t="e">
        <f>'281υ2'!#REF!</f>
        <v>#REF!</v>
      </c>
      <c r="AA10" s="290">
        <f>'281φ1'!N9</f>
        <v>0</v>
      </c>
      <c r="AB10" s="290">
        <f>'281φ2'!N9</f>
        <v>0</v>
      </c>
      <c r="AC10" s="290" t="e">
        <f t="shared" si="0"/>
        <v>#REF!</v>
      </c>
    </row>
    <row r="11" spans="1:29">
      <c r="A11" s="60">
        <v>2006</v>
      </c>
      <c r="B11" s="291">
        <f>'281α'!AA11</f>
        <v>0</v>
      </c>
      <c r="C11" s="290">
        <f>'281β'!AB11</f>
        <v>0</v>
      </c>
      <c r="D11" s="53">
        <f>'281γ'!AA11</f>
        <v>0</v>
      </c>
      <c r="E11" s="41"/>
      <c r="F11" s="41"/>
      <c r="G11" s="41"/>
      <c r="H11" s="41"/>
      <c r="I11" s="5"/>
      <c r="J11" s="52">
        <f>'281η'!N10</f>
        <v>0</v>
      </c>
      <c r="K11" s="52">
        <f>'281θ'!N10</f>
        <v>0</v>
      </c>
      <c r="L11" s="290">
        <f>'281ι1'!N10</f>
        <v>0</v>
      </c>
      <c r="M11" s="290">
        <f>'281ι1β'!N11</f>
        <v>0</v>
      </c>
      <c r="N11" s="290">
        <f>'281ι2'!N11</f>
        <v>0</v>
      </c>
      <c r="O11" s="53"/>
      <c r="P11" s="62"/>
      <c r="Q11" s="386">
        <v>33.33</v>
      </c>
      <c r="R11" s="387">
        <f t="shared" si="1"/>
        <v>39.995999999999995</v>
      </c>
      <c r="S11" s="290">
        <f>'281ξ(1-2)'!AE11</f>
        <v>0</v>
      </c>
      <c r="T11" s="290">
        <f>'281ξ(1-2)'!AH11</f>
        <v>0</v>
      </c>
      <c r="U11" s="52">
        <f>'281ο'!N10</f>
        <v>252.08337499999999</v>
      </c>
      <c r="V11" s="297">
        <f>'281ρ1'!N10</f>
        <v>0</v>
      </c>
      <c r="W11" s="297">
        <f>'281ρ2'!N10</f>
        <v>0</v>
      </c>
      <c r="X11" s="297">
        <f>'281ρ3'!N10</f>
        <v>0</v>
      </c>
      <c r="Y11" s="297">
        <f>'281υ1'!N10</f>
        <v>0</v>
      </c>
      <c r="Z11" s="297" t="e">
        <f>'281υ2'!#REF!</f>
        <v>#REF!</v>
      </c>
      <c r="AA11" s="290">
        <f>'281φ1'!N10</f>
        <v>0</v>
      </c>
      <c r="AB11" s="290">
        <f>'281φ2'!N10</f>
        <v>0</v>
      </c>
      <c r="AC11" s="290" t="e">
        <f t="shared" si="0"/>
        <v>#REF!</v>
      </c>
    </row>
    <row r="12" spans="1:29">
      <c r="A12" s="60">
        <v>2007</v>
      </c>
      <c r="B12" s="291">
        <f>'281α'!AA12</f>
        <v>227.17</v>
      </c>
      <c r="C12" s="290">
        <f>'281β'!AB12</f>
        <v>0</v>
      </c>
      <c r="D12" s="290">
        <f>'281γ'!AA12</f>
        <v>1627.96</v>
      </c>
      <c r="E12" s="41"/>
      <c r="F12" s="41"/>
      <c r="G12" s="41"/>
      <c r="H12" s="41"/>
      <c r="I12" s="54">
        <f>'281ζ'!O12</f>
        <v>0</v>
      </c>
      <c r="J12" s="52">
        <f>'281η'!N11</f>
        <v>0</v>
      </c>
      <c r="K12" s="52">
        <f>'281θ'!N11</f>
        <v>0</v>
      </c>
      <c r="L12" s="290">
        <f>'281ι1'!N11</f>
        <v>121.32999999999998</v>
      </c>
      <c r="M12" s="290">
        <f>'281ι1β'!N12</f>
        <v>80.88666666666667</v>
      </c>
      <c r="N12" s="290">
        <f>'281ι2'!N12</f>
        <v>396.69</v>
      </c>
      <c r="O12" s="53"/>
      <c r="P12" s="62"/>
      <c r="Q12" s="386">
        <v>33.33</v>
      </c>
      <c r="R12" s="387">
        <f t="shared" si="1"/>
        <v>39.995999999999995</v>
      </c>
      <c r="S12" s="290">
        <f>'281ξ(1-2)'!AE12</f>
        <v>0</v>
      </c>
      <c r="T12" s="290">
        <f>'281ξ(1-2)'!AH12</f>
        <v>0</v>
      </c>
      <c r="U12" s="52">
        <f>'281ο'!N11</f>
        <v>241.47206249999999</v>
      </c>
      <c r="V12" s="297">
        <f>'281ρ1'!N11</f>
        <v>0</v>
      </c>
      <c r="W12" s="297">
        <f>'281ρ2'!N11</f>
        <v>0</v>
      </c>
      <c r="X12" s="297">
        <f>'281ρ3'!N11</f>
        <v>0</v>
      </c>
      <c r="Y12" s="297">
        <f>'281υ1'!N11</f>
        <v>0</v>
      </c>
      <c r="Z12" s="297" t="e">
        <f>'281υ2'!#REF!</f>
        <v>#REF!</v>
      </c>
      <c r="AA12" s="290">
        <f>'281φ1'!N11</f>
        <v>0</v>
      </c>
      <c r="AB12" s="290">
        <f>'281φ2'!N11</f>
        <v>0</v>
      </c>
      <c r="AC12" s="290" t="e">
        <f t="shared" si="0"/>
        <v>#REF!</v>
      </c>
    </row>
    <row r="13" spans="1:29">
      <c r="A13" s="60">
        <v>2008</v>
      </c>
      <c r="B13" s="291">
        <f>'281α'!AA13</f>
        <v>5741.24</v>
      </c>
      <c r="C13" s="290">
        <f>'281β'!AB13</f>
        <v>0</v>
      </c>
      <c r="D13" s="290">
        <f>'281γ'!AA13</f>
        <v>1289.58</v>
      </c>
      <c r="E13" s="41"/>
      <c r="F13" s="41"/>
      <c r="G13" s="41"/>
      <c r="H13" s="41"/>
      <c r="I13" s="54">
        <f>'281ζ'!O13</f>
        <v>0</v>
      </c>
      <c r="J13" s="52">
        <f>'281η'!N12</f>
        <v>0</v>
      </c>
      <c r="K13" s="290">
        <f>'281θ'!N12</f>
        <v>120.13</v>
      </c>
      <c r="L13" s="290">
        <f>'281ι1'!N12</f>
        <v>3.75</v>
      </c>
      <c r="M13" s="290">
        <f>'281ι1β'!N13</f>
        <v>2.5</v>
      </c>
      <c r="N13" s="290">
        <f>'281ι2'!N13</f>
        <v>247.09</v>
      </c>
      <c r="O13" s="53"/>
      <c r="P13" s="62"/>
      <c r="Q13" s="386">
        <v>63.01</v>
      </c>
      <c r="R13" s="387">
        <f t="shared" si="1"/>
        <v>75.611999999999995</v>
      </c>
      <c r="S13" s="290">
        <f>'281ξ(1-2)'!AE13</f>
        <v>617.44199999999989</v>
      </c>
      <c r="T13" s="290">
        <f>'281ξ(1-2)'!AH13</f>
        <v>377.78699999999998</v>
      </c>
      <c r="U13" s="52">
        <f>'281ο'!N12</f>
        <v>227.75499999999997</v>
      </c>
      <c r="V13" s="297">
        <f>'281ρ1'!N12</f>
        <v>0</v>
      </c>
      <c r="W13" s="297">
        <f>'281ρ2'!N12</f>
        <v>0</v>
      </c>
      <c r="X13" s="297">
        <f>'281ρ3'!N12</f>
        <v>0</v>
      </c>
      <c r="Y13" s="297">
        <f>'281υ1'!N12</f>
        <v>0</v>
      </c>
      <c r="Z13" s="297" t="e">
        <f>'281υ2'!#REF!</f>
        <v>#REF!</v>
      </c>
      <c r="AA13" s="290">
        <f>'281φ1'!N12</f>
        <v>0</v>
      </c>
      <c r="AB13" s="290">
        <f>'281φ2'!N12</f>
        <v>0</v>
      </c>
      <c r="AC13" s="290" t="e">
        <f t="shared" si="0"/>
        <v>#REF!</v>
      </c>
    </row>
    <row r="14" spans="1:29">
      <c r="A14" s="60">
        <v>2009</v>
      </c>
      <c r="B14" s="291">
        <f>'281α'!AA14</f>
        <v>4596.3900000000003</v>
      </c>
      <c r="C14" s="290">
        <f>'281β'!AB14</f>
        <v>0</v>
      </c>
      <c r="D14" s="290">
        <f>'281γ'!AA14</f>
        <v>0</v>
      </c>
      <c r="E14" s="41"/>
      <c r="F14" s="41"/>
      <c r="G14" s="41"/>
      <c r="H14" s="41"/>
      <c r="I14" s="54">
        <f>'281ζ'!O14</f>
        <v>0</v>
      </c>
      <c r="J14" s="52">
        <f>'281η'!N13</f>
        <v>0</v>
      </c>
      <c r="K14" s="52">
        <f>'281θ'!N13</f>
        <v>0</v>
      </c>
      <c r="L14" s="290">
        <f>'281ι1'!N13</f>
        <v>48</v>
      </c>
      <c r="M14" s="290">
        <f>'281ι1β'!N14</f>
        <v>32</v>
      </c>
      <c r="N14" s="290">
        <f>'281ι2'!N14</f>
        <v>279.64</v>
      </c>
      <c r="O14" s="53"/>
      <c r="P14" s="62"/>
      <c r="Q14" s="386">
        <v>85.64</v>
      </c>
      <c r="R14" s="387">
        <f t="shared" si="1"/>
        <v>102.768</v>
      </c>
      <c r="S14" s="290">
        <f>'281ξ(1-2)'!AE14</f>
        <v>1851.963</v>
      </c>
      <c r="T14" s="290">
        <f>'281ξ(1-2)'!AH14</f>
        <v>1179.819</v>
      </c>
      <c r="U14" s="52">
        <f>'281ο'!N13</f>
        <v>233.70768749999996</v>
      </c>
      <c r="V14" s="297">
        <f>'281ρ1'!N13</f>
        <v>0</v>
      </c>
      <c r="W14" s="297">
        <f>'281ρ2'!N13</f>
        <v>0</v>
      </c>
      <c r="X14" s="297">
        <f>'281ρ3'!N13</f>
        <v>0</v>
      </c>
      <c r="Y14" s="297">
        <f>'281υ1'!N13</f>
        <v>0</v>
      </c>
      <c r="Z14" s="297" t="e">
        <f>'281υ2'!#REF!</f>
        <v>#REF!</v>
      </c>
      <c r="AA14" s="290">
        <f>'281φ1'!N13</f>
        <v>0</v>
      </c>
      <c r="AB14" s="290">
        <f>'281φ2'!N13</f>
        <v>0</v>
      </c>
      <c r="AC14" s="290" t="e">
        <f t="shared" si="0"/>
        <v>#REF!</v>
      </c>
    </row>
    <row r="15" spans="1:29">
      <c r="A15" s="60">
        <v>2010</v>
      </c>
      <c r="B15" s="291">
        <f>'281α'!AA15</f>
        <v>302.12</v>
      </c>
      <c r="C15" s="290">
        <f>'281β'!AB15</f>
        <v>0</v>
      </c>
      <c r="D15" s="290">
        <f>'281γ'!AA15</f>
        <v>1558.72</v>
      </c>
      <c r="E15" s="41"/>
      <c r="F15" s="41"/>
      <c r="G15" s="41"/>
      <c r="H15" s="41"/>
      <c r="I15" s="54">
        <f>'281ζ'!O15</f>
        <v>0</v>
      </c>
      <c r="J15" s="52">
        <f>'281η'!N14</f>
        <v>0</v>
      </c>
      <c r="K15" s="52">
        <f>'281θ'!N14</f>
        <v>0</v>
      </c>
      <c r="L15" s="290">
        <f>'281ι1'!N14</f>
        <v>692.81</v>
      </c>
      <c r="M15" s="290">
        <f>'281ι1β'!N15</f>
        <v>461.87333333333333</v>
      </c>
      <c r="N15" s="290">
        <f>'281ι2'!N15</f>
        <v>1140.6600000000001</v>
      </c>
      <c r="O15" s="53"/>
      <c r="P15" s="62"/>
      <c r="Q15" s="386">
        <v>66.739999999999995</v>
      </c>
      <c r="R15" s="387">
        <f t="shared" si="1"/>
        <v>80.087999999999994</v>
      </c>
      <c r="S15" s="290">
        <f>'281ξ(1-2)'!AE15</f>
        <v>1773.9360000000001</v>
      </c>
      <c r="T15" s="290">
        <f>'281ξ(1-2)'!AH15</f>
        <v>0</v>
      </c>
      <c r="U15" s="52">
        <f>'281ο'!N14</f>
        <v>260.41082499999999</v>
      </c>
      <c r="V15" s="297">
        <f>'281ρ1'!N14</f>
        <v>0</v>
      </c>
      <c r="W15" s="297">
        <f>'281ρ2'!N14</f>
        <v>0</v>
      </c>
      <c r="X15" s="297">
        <f>'281ρ3'!N14</f>
        <v>0</v>
      </c>
      <c r="Y15" s="297">
        <f>'281υ1'!N14</f>
        <v>0</v>
      </c>
      <c r="Z15" s="297" t="e">
        <f>'281υ2'!#REF!</f>
        <v>#REF!</v>
      </c>
      <c r="AA15" s="290">
        <f>'281φ1'!N14</f>
        <v>0</v>
      </c>
      <c r="AB15" s="290">
        <f>'281φ2'!N14</f>
        <v>0</v>
      </c>
      <c r="AC15" s="290" t="e">
        <f t="shared" si="0"/>
        <v>#REF!</v>
      </c>
    </row>
    <row r="16" spans="1:29">
      <c r="A16" s="60">
        <v>2011</v>
      </c>
      <c r="B16" s="291">
        <f>'281α'!AA16</f>
        <v>596.78</v>
      </c>
      <c r="C16" s="290">
        <f>'281β'!AB16</f>
        <v>0</v>
      </c>
      <c r="D16" s="290">
        <f>'281γ'!AA16</f>
        <v>624.79999999999995</v>
      </c>
      <c r="E16" s="41"/>
      <c r="F16" s="41"/>
      <c r="G16" s="41"/>
      <c r="H16" s="41"/>
      <c r="I16" s="54">
        <f>'281ζ'!O16</f>
        <v>0</v>
      </c>
      <c r="J16" s="52">
        <f>'281η'!N15</f>
        <v>0</v>
      </c>
      <c r="K16" s="52">
        <f>'281θ'!N15</f>
        <v>0</v>
      </c>
      <c r="L16" s="290">
        <f>'281ι1'!N15</f>
        <v>263.41000000000003</v>
      </c>
      <c r="M16" s="290">
        <f>'281ι1β'!N16</f>
        <v>175.60666666666668</v>
      </c>
      <c r="N16" s="290">
        <f>'281ι2'!N16</f>
        <v>4.3400000000000007</v>
      </c>
      <c r="O16" s="53"/>
      <c r="P16" s="62"/>
      <c r="Q16" s="386">
        <v>75.88</v>
      </c>
      <c r="R16" s="387">
        <f t="shared" si="1"/>
        <v>91.055999999999997</v>
      </c>
      <c r="S16" s="290">
        <f>'281ξ(1-2)'!AE16</f>
        <v>1816.8239999999998</v>
      </c>
      <c r="T16" s="290">
        <f>'281ξ(1-2)'!AH16</f>
        <v>0</v>
      </c>
      <c r="U16" s="52">
        <f>'281ο'!N15</f>
        <v>249.2010875</v>
      </c>
      <c r="V16" s="297">
        <f>'281ρ1'!N15</f>
        <v>0</v>
      </c>
      <c r="W16" s="297">
        <f>'281ρ2'!N15</f>
        <v>0</v>
      </c>
      <c r="X16" s="297">
        <f>'281ρ3'!N15</f>
        <v>0</v>
      </c>
      <c r="Y16" s="297">
        <f>'281υ1'!N15</f>
        <v>0</v>
      </c>
      <c r="Z16" s="297" t="e">
        <f>'281υ2'!#REF!</f>
        <v>#REF!</v>
      </c>
      <c r="AA16" s="290">
        <f>'281φ1'!N15</f>
        <v>0</v>
      </c>
      <c r="AB16" s="290">
        <f>'281φ2'!N15</f>
        <v>0</v>
      </c>
      <c r="AC16" s="290" t="e">
        <f t="shared" si="0"/>
        <v>#REF!</v>
      </c>
    </row>
    <row r="17" spans="1:31">
      <c r="A17" s="60">
        <v>2012</v>
      </c>
      <c r="B17" s="291">
        <f>'281α'!AA17</f>
        <v>453.12</v>
      </c>
      <c r="C17" s="290">
        <f>'281β'!AB17</f>
        <v>0</v>
      </c>
      <c r="D17" s="290">
        <f>'281γ'!AA17</f>
        <v>275.18</v>
      </c>
      <c r="E17" s="41"/>
      <c r="F17" s="41"/>
      <c r="G17" s="41"/>
      <c r="H17" s="41"/>
      <c r="I17" s="54">
        <f>'281ζ'!O17</f>
        <v>0</v>
      </c>
      <c r="J17" s="52">
        <f>'281η'!N16</f>
        <v>0</v>
      </c>
      <c r="K17" s="52">
        <f>'281θ'!N16</f>
        <v>0</v>
      </c>
      <c r="L17" s="290">
        <f>'281ι1'!N16</f>
        <v>215.85</v>
      </c>
      <c r="M17" s="290">
        <f>'281ι1β'!N17</f>
        <v>143.89999999999998</v>
      </c>
      <c r="N17" s="290">
        <f>'281ι2'!N17</f>
        <v>21.66</v>
      </c>
      <c r="O17" s="53"/>
      <c r="P17" s="62"/>
      <c r="Q17" s="386">
        <v>37.83</v>
      </c>
      <c r="R17" s="387">
        <f t="shared" si="1"/>
        <v>45.396000000000001</v>
      </c>
      <c r="S17" s="290">
        <f>'281ξ(1-2)'!AE17</f>
        <v>717.49799999999993</v>
      </c>
      <c r="T17" s="290">
        <f>'281ξ(1-2)'!AH17</f>
        <v>0</v>
      </c>
      <c r="U17" s="52">
        <f>'281ο'!N16</f>
        <v>200.48184375</v>
      </c>
      <c r="V17" s="297">
        <f>'281ρ1'!N16</f>
        <v>0</v>
      </c>
      <c r="W17" s="297">
        <f>'281ρ2'!N16</f>
        <v>0</v>
      </c>
      <c r="X17" s="297">
        <f>'281ρ3'!N16</f>
        <v>0</v>
      </c>
      <c r="Y17" s="297">
        <f>'281υ1'!N16</f>
        <v>0</v>
      </c>
      <c r="Z17" s="297" t="e">
        <f>'281υ2'!#REF!</f>
        <v>#REF!</v>
      </c>
      <c r="AA17" s="290">
        <f>'281φ1'!N16</f>
        <v>0</v>
      </c>
      <c r="AB17" s="290">
        <f>'281φ2'!N16</f>
        <v>0</v>
      </c>
      <c r="AC17" s="290" t="e">
        <f t="shared" si="0"/>
        <v>#REF!</v>
      </c>
    </row>
    <row r="18" spans="1:31">
      <c r="A18" s="60">
        <v>2013</v>
      </c>
      <c r="B18" s="291">
        <f>'281α'!AA18</f>
        <v>0</v>
      </c>
      <c r="C18" s="290">
        <f>'281β'!AB18</f>
        <v>0</v>
      </c>
      <c r="D18" s="290">
        <f>'281γ'!AA18</f>
        <v>48.06</v>
      </c>
      <c r="E18" s="41"/>
      <c r="F18" s="41"/>
      <c r="G18" s="41"/>
      <c r="H18" s="41"/>
      <c r="I18" s="54">
        <f>'281ζ'!O18</f>
        <v>0</v>
      </c>
      <c r="J18" s="52">
        <f>'281η'!N17</f>
        <v>0</v>
      </c>
      <c r="K18" s="52">
        <f>'281θ'!N17</f>
        <v>0</v>
      </c>
      <c r="L18" s="290">
        <f>'281ι1'!N17</f>
        <v>100.22</v>
      </c>
      <c r="M18" s="290">
        <f>'281ι1β'!N18</f>
        <v>66.813333333333333</v>
      </c>
      <c r="N18" s="290">
        <f>'281ι2'!N18</f>
        <v>10.65</v>
      </c>
      <c r="O18" s="53"/>
      <c r="P18" s="43">
        <v>13536</v>
      </c>
      <c r="Q18" s="386">
        <v>12.45</v>
      </c>
      <c r="R18" s="387">
        <f t="shared" si="1"/>
        <v>14.939999999999998</v>
      </c>
      <c r="S18" s="290">
        <f>'281ξ(1-2)'!AE18</f>
        <v>6584.0609999999997</v>
      </c>
      <c r="T18" s="290">
        <f>'281ξ(1-2)'!AH18</f>
        <v>0</v>
      </c>
      <c r="U18" s="52">
        <f>'281ο'!N17</f>
        <v>100.8876375</v>
      </c>
      <c r="V18" s="297">
        <f>'281ρ1'!N17</f>
        <v>0</v>
      </c>
      <c r="W18" s="297">
        <f>'281ρ2'!N17</f>
        <v>0</v>
      </c>
      <c r="X18" s="297">
        <f>'281ρ3'!N17</f>
        <v>0</v>
      </c>
      <c r="Y18" s="297">
        <f>'281υ1'!N17</f>
        <v>0</v>
      </c>
      <c r="Z18" s="297" t="e">
        <f>'281υ2'!#REF!</f>
        <v>#REF!</v>
      </c>
      <c r="AA18" s="290">
        <f>'281φ1'!N17</f>
        <v>0</v>
      </c>
      <c r="AB18" s="290">
        <f>'281φ2'!N17</f>
        <v>0</v>
      </c>
      <c r="AC18" s="290" t="e">
        <f t="shared" si="0"/>
        <v>#REF!</v>
      </c>
      <c r="AD18" s="13" t="s">
        <v>1</v>
      </c>
      <c r="AE18" s="13" t="s">
        <v>2</v>
      </c>
    </row>
    <row r="19" spans="1:31" s="14" customFormat="1">
      <c r="A19" s="2" t="s">
        <v>36</v>
      </c>
      <c r="B19" s="55">
        <f t="shared" ref="B19:M19" si="2">SUM(B3:B18)</f>
        <v>12846.960000000001</v>
      </c>
      <c r="C19" s="7">
        <f t="shared" si="2"/>
        <v>1937.9699999999998</v>
      </c>
      <c r="D19" s="7">
        <f t="shared" si="2"/>
        <v>5593.3700000000008</v>
      </c>
      <c r="E19" s="7">
        <f t="shared" si="2"/>
        <v>185.93</v>
      </c>
      <c r="F19" s="55">
        <f>SUM(F3:F18)</f>
        <v>1358.97</v>
      </c>
      <c r="G19" s="7">
        <f t="shared" si="2"/>
        <v>862.83999999999992</v>
      </c>
      <c r="H19" s="55">
        <f t="shared" si="2"/>
        <v>5261.6900000000005</v>
      </c>
      <c r="I19" s="7">
        <f t="shared" si="2"/>
        <v>0</v>
      </c>
      <c r="J19" s="55">
        <f t="shared" si="2"/>
        <v>0</v>
      </c>
      <c r="K19" s="7">
        <f t="shared" si="2"/>
        <v>120.13</v>
      </c>
      <c r="L19" s="55">
        <f t="shared" si="2"/>
        <v>1857.1999999999998</v>
      </c>
      <c r="M19" s="55">
        <f t="shared" si="2"/>
        <v>1238.1333333333334</v>
      </c>
      <c r="N19" s="7">
        <f t="shared" ref="N19" si="3">SUM(N3:N18)</f>
        <v>2416.6600000000003</v>
      </c>
      <c r="O19" s="55">
        <f t="shared" ref="O19" si="4">SUM(O3:O18)</f>
        <v>141.80999999999997</v>
      </c>
      <c r="P19" s="7">
        <f t="shared" ref="P19" si="5">SUM(P3:P18)</f>
        <v>13536</v>
      </c>
      <c r="Q19" s="508"/>
      <c r="R19" s="508"/>
      <c r="S19" s="7">
        <f t="shared" ref="S19:T19" si="6">SUM(S3:S18)</f>
        <v>14880.45</v>
      </c>
      <c r="T19" s="7">
        <f t="shared" si="6"/>
        <v>2870.5769999999998</v>
      </c>
      <c r="U19" s="55">
        <f t="shared" ref="U19:AC19" si="7">SUM(U3:U18)</f>
        <v>2120.1307687500002</v>
      </c>
      <c r="V19" s="7">
        <f t="shared" si="7"/>
        <v>348.16</v>
      </c>
      <c r="W19" s="7"/>
      <c r="X19" s="7">
        <f t="shared" si="7"/>
        <v>395.15</v>
      </c>
      <c r="Y19" s="55">
        <f t="shared" si="7"/>
        <v>63.83</v>
      </c>
      <c r="Z19" s="55" t="e">
        <f t="shared" si="7"/>
        <v>#REF!</v>
      </c>
      <c r="AA19" s="55">
        <f t="shared" si="7"/>
        <v>72.5</v>
      </c>
      <c r="AB19" s="55">
        <f t="shared" si="7"/>
        <v>48.333333333333329</v>
      </c>
      <c r="AC19" s="4" t="e">
        <f t="shared" si="7"/>
        <v>#REF!</v>
      </c>
    </row>
    <row r="21" spans="1:31" ht="15.75">
      <c r="A21" s="403"/>
      <c r="B21" s="403"/>
      <c r="C21" s="403"/>
      <c r="D21" s="403"/>
      <c r="E21" s="403"/>
      <c r="F21" s="403"/>
      <c r="G21" s="403"/>
      <c r="H21" s="403" t="s">
        <v>44</v>
      </c>
      <c r="I21" s="403"/>
      <c r="J21" s="403"/>
      <c r="K21" s="403"/>
      <c r="L21" s="403"/>
      <c r="M21" s="403"/>
      <c r="N21" s="403"/>
      <c r="O21" s="403"/>
      <c r="P21" s="403"/>
    </row>
    <row r="22" spans="1:31" ht="15.75">
      <c r="A22" s="24" t="s">
        <v>402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5.75">
      <c r="A23" s="24" t="s">
        <v>403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31" ht="15.75">
      <c r="A24" s="402"/>
      <c r="B24" s="403"/>
      <c r="C24" s="403"/>
      <c r="D24" s="403"/>
      <c r="E24" s="403"/>
      <c r="F24" s="403"/>
      <c r="G24" s="403"/>
      <c r="H24" s="403" t="s">
        <v>410</v>
      </c>
      <c r="I24" s="403"/>
      <c r="J24" s="403"/>
      <c r="K24" s="403"/>
      <c r="L24" s="403"/>
      <c r="M24" s="403"/>
      <c r="N24" s="403"/>
      <c r="O24" s="403"/>
    </row>
    <row r="25" spans="1:31" ht="15.75">
      <c r="A25" s="402"/>
      <c r="B25" s="400"/>
      <c r="C25" s="400"/>
      <c r="D25" s="400"/>
      <c r="E25" s="400"/>
      <c r="F25" s="400"/>
      <c r="G25" s="400"/>
      <c r="H25" s="400"/>
      <c r="I25" s="400"/>
      <c r="J25" s="400"/>
      <c r="K25" s="405" t="s">
        <v>411</v>
      </c>
      <c r="L25" s="400"/>
      <c r="M25" s="400"/>
      <c r="N25" s="400"/>
      <c r="O25" s="400"/>
    </row>
    <row r="26" spans="1:31" ht="15.75">
      <c r="A26" s="398" t="s">
        <v>345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</row>
    <row r="27" spans="1:31" ht="15.75">
      <c r="A27" s="399"/>
      <c r="B27" s="400"/>
      <c r="C27" s="404" t="s">
        <v>382</v>
      </c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</row>
    <row r="28" spans="1:31" ht="15.75">
      <c r="A28" s="398" t="s">
        <v>405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</row>
    <row r="29" spans="1:31" ht="15.75">
      <c r="A29" s="400"/>
      <c r="B29" s="400"/>
      <c r="C29" s="400"/>
      <c r="D29" s="400"/>
      <c r="E29" s="400"/>
      <c r="F29" s="400"/>
      <c r="G29" s="400"/>
      <c r="H29" s="400" t="s">
        <v>404</v>
      </c>
      <c r="I29" s="400"/>
      <c r="J29" s="400"/>
      <c r="K29" s="400"/>
      <c r="L29" s="400"/>
      <c r="M29" s="400"/>
      <c r="N29" s="400"/>
      <c r="O29" s="400"/>
    </row>
    <row r="30" spans="1:31" ht="15.75">
      <c r="A30" s="398" t="s">
        <v>406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</row>
    <row r="31" spans="1:31" ht="15.75">
      <c r="A31" s="400"/>
      <c r="B31" s="400"/>
      <c r="C31" s="400"/>
      <c r="D31" s="400"/>
      <c r="E31" s="400"/>
      <c r="F31" s="400"/>
      <c r="G31" s="400"/>
      <c r="H31" s="400" t="s">
        <v>412</v>
      </c>
      <c r="J31" s="400"/>
      <c r="K31" s="400"/>
      <c r="L31" s="400"/>
      <c r="M31" s="400"/>
      <c r="N31" s="400"/>
      <c r="O31" s="400"/>
    </row>
    <row r="32" spans="1:31" ht="15.75">
      <c r="A32" s="400"/>
      <c r="B32" s="400"/>
      <c r="C32" s="400"/>
      <c r="D32" s="400"/>
      <c r="E32" s="400"/>
      <c r="F32" s="400"/>
      <c r="G32" s="400"/>
      <c r="H32" s="400"/>
      <c r="J32" s="400"/>
      <c r="K32" s="400"/>
      <c r="L32" s="400"/>
      <c r="M32" s="400"/>
      <c r="N32" s="400"/>
      <c r="O32" s="400" t="s">
        <v>101</v>
      </c>
    </row>
    <row r="33" spans="1:21" ht="15.75">
      <c r="A33" s="398" t="s">
        <v>413</v>
      </c>
      <c r="B33" s="400"/>
      <c r="C33" s="400"/>
      <c r="D33" s="400"/>
      <c r="E33" s="400"/>
      <c r="F33" s="400"/>
      <c r="G33" s="400"/>
      <c r="H33" s="400"/>
      <c r="J33" s="400"/>
      <c r="K33" s="400"/>
      <c r="L33" s="400"/>
      <c r="M33" s="400"/>
      <c r="N33" s="400"/>
      <c r="O33" s="400"/>
    </row>
    <row r="34" spans="1:21" s="22" customFormat="1" ht="15.75">
      <c r="A34" s="400"/>
      <c r="B34" s="400"/>
      <c r="C34" s="400"/>
      <c r="D34" s="400"/>
      <c r="E34" s="400"/>
      <c r="F34" s="400"/>
      <c r="G34" s="400"/>
      <c r="H34" s="400" t="s">
        <v>407</v>
      </c>
      <c r="I34" s="400"/>
      <c r="J34" s="400"/>
      <c r="K34" s="400"/>
      <c r="L34" s="400"/>
      <c r="M34" s="400"/>
      <c r="N34" s="400"/>
      <c r="O34" s="400"/>
      <c r="P34" s="9"/>
      <c r="Q34" s="9"/>
    </row>
    <row r="35" spans="1:21" s="22" customFormat="1" ht="15.75">
      <c r="A35" s="401" t="s">
        <v>399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9"/>
      <c r="N35" s="9"/>
      <c r="O35" s="401"/>
      <c r="P35" s="9"/>
      <c r="Q35" s="9"/>
    </row>
    <row r="36" spans="1:21" s="22" customFormat="1" ht="15.75">
      <c r="A36" s="402"/>
      <c r="B36" s="402"/>
      <c r="C36" s="402"/>
      <c r="D36" s="402"/>
      <c r="E36" s="402"/>
      <c r="F36" s="402"/>
      <c r="G36" s="402"/>
      <c r="H36" s="509" t="s">
        <v>417</v>
      </c>
      <c r="I36" s="509"/>
      <c r="J36" s="509"/>
      <c r="K36" s="509"/>
      <c r="L36" s="509"/>
      <c r="M36" s="500"/>
      <c r="N36" s="500"/>
      <c r="O36" s="510" t="s">
        <v>471</v>
      </c>
      <c r="P36" s="9"/>
      <c r="Q36" s="9"/>
    </row>
    <row r="37" spans="1:21" s="22" customFormat="1" ht="15.75">
      <c r="A37" s="402"/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9"/>
      <c r="N37" s="9"/>
      <c r="O37" s="509" t="s">
        <v>105</v>
      </c>
      <c r="P37" s="500"/>
      <c r="Q37" s="500"/>
      <c r="R37" s="511"/>
      <c r="S37" s="511"/>
      <c r="T37" s="511"/>
      <c r="U37" s="510" t="s">
        <v>471</v>
      </c>
    </row>
    <row r="38" spans="1:21" s="22" customFormat="1" ht="15.75">
      <c r="A38" s="399" t="s">
        <v>103</v>
      </c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9"/>
      <c r="P38" s="9"/>
      <c r="Q38" s="9"/>
    </row>
    <row r="39" spans="1:21" s="22" customFormat="1" ht="15.75">
      <c r="A39" s="401" t="s">
        <v>104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9"/>
      <c r="P39" s="9"/>
      <c r="Q39" s="9"/>
    </row>
    <row r="40" spans="1:21" s="22" customFormat="1" ht="15.75">
      <c r="A40" s="402"/>
      <c r="B40" s="402"/>
      <c r="C40" s="402"/>
      <c r="D40" s="402"/>
      <c r="E40" s="402"/>
      <c r="F40" s="402"/>
      <c r="G40" s="402"/>
      <c r="H40" s="402" t="s">
        <v>53</v>
      </c>
      <c r="I40" s="402"/>
      <c r="J40" s="402"/>
      <c r="K40" s="402"/>
      <c r="L40" s="402"/>
      <c r="M40" s="402"/>
      <c r="N40" s="402"/>
      <c r="P40" s="9"/>
      <c r="Q40" s="9"/>
    </row>
    <row r="41" spans="1:21" s="22" customFormat="1" ht="15.75">
      <c r="A41" s="398" t="s">
        <v>86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9"/>
      <c r="Q41" s="9"/>
    </row>
    <row r="42" spans="1:21" s="22" customFormat="1" ht="15.75">
      <c r="A42" s="401" t="s">
        <v>414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9"/>
    </row>
    <row r="43" spans="1:21" s="22" customFormat="1" ht="15.75">
      <c r="A43" s="402"/>
      <c r="B43" s="400"/>
      <c r="C43" s="400"/>
      <c r="D43" s="400"/>
      <c r="E43" s="400"/>
      <c r="F43" s="400"/>
      <c r="G43" s="400"/>
      <c r="H43" s="402" t="s">
        <v>415</v>
      </c>
      <c r="I43" s="400"/>
      <c r="J43" s="400"/>
      <c r="K43" s="400"/>
      <c r="L43" s="400"/>
      <c r="M43" s="400"/>
      <c r="N43" s="400"/>
      <c r="O43" s="402"/>
      <c r="P43" s="400"/>
    </row>
    <row r="44" spans="1:21" s="22" customFormat="1" ht="15.75">
      <c r="A44" s="402"/>
      <c r="B44" s="400"/>
      <c r="C44" s="400"/>
      <c r="D44" s="400"/>
      <c r="E44" s="400"/>
      <c r="F44" s="400"/>
      <c r="G44" s="400"/>
      <c r="H44" s="402"/>
      <c r="I44" s="400"/>
      <c r="J44" s="400"/>
      <c r="K44" s="400"/>
      <c r="L44" s="400"/>
      <c r="M44" s="400"/>
      <c r="N44" s="400"/>
      <c r="O44" s="402" t="s">
        <v>416</v>
      </c>
      <c r="P44" s="400"/>
    </row>
    <row r="45" spans="1:21" s="22" customFormat="1" ht="15.75">
      <c r="A45" s="402"/>
      <c r="B45" s="400"/>
      <c r="C45" s="400"/>
      <c r="D45" s="400"/>
      <c r="E45" s="400"/>
      <c r="F45" s="400"/>
      <c r="G45" s="400"/>
      <c r="H45" s="402" t="s">
        <v>266</v>
      </c>
      <c r="I45" s="400"/>
      <c r="J45" s="400"/>
      <c r="K45" s="400"/>
      <c r="L45" s="400"/>
      <c r="M45" s="400"/>
      <c r="N45" s="400"/>
      <c r="O45" s="402"/>
      <c r="P45" s="400"/>
    </row>
    <row r="46" spans="1:21" s="22" customFormat="1" ht="15.75">
      <c r="A46" s="402"/>
      <c r="H46" s="402"/>
      <c r="O46" s="402" t="s">
        <v>264</v>
      </c>
    </row>
  </sheetData>
  <mergeCells count="19">
    <mergeCell ref="I1:I2"/>
    <mergeCell ref="J1:J2"/>
    <mergeCell ref="K1:K2"/>
    <mergeCell ref="L1:N1"/>
    <mergeCell ref="U1:U2"/>
    <mergeCell ref="O1:O2"/>
    <mergeCell ref="A1:A2"/>
    <mergeCell ref="G1:H1"/>
    <mergeCell ref="B1:B2"/>
    <mergeCell ref="C1:C2"/>
    <mergeCell ref="D1:D2"/>
    <mergeCell ref="E1:F1"/>
    <mergeCell ref="AC1:AC2"/>
    <mergeCell ref="P1:P2"/>
    <mergeCell ref="S1:T1"/>
    <mergeCell ref="V1:X1"/>
    <mergeCell ref="Q1:R1"/>
    <mergeCell ref="Y1:Z1"/>
    <mergeCell ref="AA1:A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pane ySplit="1" topLeftCell="A2" activePane="bottomLeft" state="frozen"/>
      <selection pane="bottomLeft" activeCell="G29" sqref="G29"/>
    </sheetView>
  </sheetViews>
  <sheetFormatPr defaultRowHeight="15"/>
  <cols>
    <col min="1" max="1" width="5" style="22" bestFit="1" customWidth="1"/>
    <col min="2" max="7" width="7.21875" style="22" bestFit="1" customWidth="1"/>
    <col min="8" max="8" width="5" style="22" bestFit="1" customWidth="1"/>
    <col min="9" max="9" width="8.44140625" style="22" bestFit="1" customWidth="1"/>
    <col min="10" max="11" width="7.21875" style="22" bestFit="1" customWidth="1"/>
    <col min="12" max="12" width="8.44140625" style="22" bestFit="1" customWidth="1"/>
    <col min="13" max="13" width="7.21875" style="22" bestFit="1" customWidth="1"/>
    <col min="14" max="14" width="9.21875" style="22" bestFit="1" customWidth="1"/>
    <col min="15" max="15" width="4.33203125" style="22" bestFit="1" customWidth="1"/>
    <col min="16" max="16384" width="8.88671875" style="22"/>
  </cols>
  <sheetData>
    <row r="1" spans="1:14" ht="15.75" thickBot="1">
      <c r="A1" s="79"/>
      <c r="B1" s="74" t="s">
        <v>18</v>
      </c>
      <c r="C1" s="75" t="s">
        <v>19</v>
      </c>
      <c r="D1" s="74" t="s">
        <v>20</v>
      </c>
      <c r="E1" s="76" t="s">
        <v>21</v>
      </c>
      <c r="F1" s="74" t="s">
        <v>2</v>
      </c>
      <c r="G1" s="75" t="s">
        <v>22</v>
      </c>
      <c r="H1" s="74" t="s">
        <v>23</v>
      </c>
      <c r="I1" s="76" t="s">
        <v>24</v>
      </c>
      <c r="J1" s="74" t="s">
        <v>25</v>
      </c>
      <c r="K1" s="75" t="s">
        <v>26</v>
      </c>
      <c r="L1" s="74" t="s">
        <v>27</v>
      </c>
      <c r="M1" s="76" t="s">
        <v>28</v>
      </c>
      <c r="N1" s="77" t="s">
        <v>16</v>
      </c>
    </row>
    <row r="2" spans="1:14">
      <c r="A2" s="25">
        <v>1998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>
        <f>SUM(B2:M2)</f>
        <v>0</v>
      </c>
    </row>
    <row r="3" spans="1:14">
      <c r="A3" s="28">
        <v>1999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27">
        <f t="shared" ref="N3:N5" si="0">SUM(B3:M3)</f>
        <v>0</v>
      </c>
    </row>
    <row r="4" spans="1:14">
      <c r="A4" s="28">
        <v>2000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27">
        <f t="shared" si="0"/>
        <v>0</v>
      </c>
    </row>
    <row r="5" spans="1:14">
      <c r="A5" s="28">
        <v>2001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5">
        <f t="shared" si="0"/>
        <v>0</v>
      </c>
    </row>
    <row r="6" spans="1:14">
      <c r="A6" s="28">
        <v>2002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>
        <f t="shared" ref="N6:N17" si="1">B6+C6+D6+E6+F6+G6+H6+I6+J6+K6+L6+M6</f>
        <v>0</v>
      </c>
    </row>
    <row r="7" spans="1:14">
      <c r="A7" s="28">
        <v>2003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3">
        <f t="shared" si="1"/>
        <v>0</v>
      </c>
    </row>
    <row r="8" spans="1:14">
      <c r="A8" s="28">
        <v>2004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3">
        <f t="shared" si="1"/>
        <v>0</v>
      </c>
    </row>
    <row r="9" spans="1:14">
      <c r="A9" s="28">
        <v>2005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>
        <f t="shared" si="1"/>
        <v>0</v>
      </c>
    </row>
    <row r="10" spans="1:14">
      <c r="A10" s="28">
        <v>2006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si="1"/>
        <v>0</v>
      </c>
    </row>
    <row r="11" spans="1:14">
      <c r="A11" s="28">
        <v>2007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1"/>
        <v>0</v>
      </c>
    </row>
    <row r="12" spans="1:14">
      <c r="A12" s="28">
        <v>2008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1"/>
        <v>0</v>
      </c>
    </row>
    <row r="13" spans="1:14">
      <c r="A13" s="28">
        <v>2009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1"/>
        <v>0</v>
      </c>
    </row>
    <row r="14" spans="1:14">
      <c r="A14" s="28">
        <v>2010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1"/>
        <v>0</v>
      </c>
    </row>
    <row r="15" spans="1:14">
      <c r="A15" s="28">
        <v>2011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1"/>
        <v>0</v>
      </c>
    </row>
    <row r="16" spans="1:14">
      <c r="A16" s="28">
        <v>2012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1"/>
        <v>0</v>
      </c>
    </row>
    <row r="17" spans="1:19" ht="15.75">
      <c r="A17" s="28">
        <v>2013</v>
      </c>
      <c r="B17" s="33"/>
      <c r="C17" s="33"/>
      <c r="D17" s="33"/>
      <c r="E17" s="33"/>
      <c r="F17" s="33"/>
      <c r="G17" s="29"/>
      <c r="H17" s="29"/>
      <c r="I17" s="29"/>
      <c r="J17" s="29"/>
      <c r="K17" s="29"/>
      <c r="L17" s="29"/>
      <c r="M17" s="29"/>
      <c r="N17" s="33">
        <f t="shared" si="1"/>
        <v>0</v>
      </c>
      <c r="O17" s="30" t="s">
        <v>1</v>
      </c>
      <c r="P17" s="30" t="s">
        <v>2</v>
      </c>
    </row>
    <row r="18" spans="1:19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3">
        <f>SUM(N2:N17)</f>
        <v>0</v>
      </c>
    </row>
    <row r="20" spans="1:19" ht="68.25" customHeight="1">
      <c r="B20" s="586" t="s">
        <v>42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</row>
    <row r="22" spans="1:19" ht="15.75">
      <c r="A22" s="577" t="s">
        <v>131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24"/>
      <c r="P22" s="24"/>
      <c r="Q22" s="24"/>
      <c r="R22" s="24"/>
      <c r="S22" s="24"/>
    </row>
    <row r="23" spans="1:19">
      <c r="A23" s="577"/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</row>
  </sheetData>
  <mergeCells count="2">
    <mergeCell ref="A22:N23"/>
    <mergeCell ref="B20:N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L34" sqref="L34"/>
    </sheetView>
  </sheetViews>
  <sheetFormatPr defaultRowHeight="12.75"/>
  <cols>
    <col min="1" max="1" width="5" style="9" bestFit="1" customWidth="1"/>
    <col min="2" max="2" width="8.6640625" style="9" bestFit="1" customWidth="1"/>
    <col min="3" max="7" width="7.21875" style="9" bestFit="1" customWidth="1"/>
    <col min="8" max="8" width="6.44140625" style="9" bestFit="1" customWidth="1"/>
    <col min="9" max="9" width="8.44140625" style="9" bestFit="1" customWidth="1"/>
    <col min="10" max="11" width="7.21875" style="9" bestFit="1" customWidth="1"/>
    <col min="12" max="12" width="8.44140625" style="9" bestFit="1" customWidth="1"/>
    <col min="13" max="13" width="7.21875" style="9" bestFit="1" customWidth="1"/>
    <col min="14" max="14" width="9.21875" style="9" bestFit="1" customWidth="1"/>
    <col min="15" max="16384" width="8.88671875" style="9"/>
  </cols>
  <sheetData>
    <row r="1" spans="1:15" ht="13.5" thickBot="1">
      <c r="A1" s="175"/>
      <c r="B1" s="164" t="s">
        <v>18</v>
      </c>
      <c r="C1" s="166" t="s">
        <v>19</v>
      </c>
      <c r="D1" s="164" t="s">
        <v>20</v>
      </c>
      <c r="E1" s="165" t="s">
        <v>21</v>
      </c>
      <c r="F1" s="164" t="s">
        <v>2</v>
      </c>
      <c r="G1" s="166" t="s">
        <v>22</v>
      </c>
      <c r="H1" s="164" t="s">
        <v>23</v>
      </c>
      <c r="I1" s="165" t="s">
        <v>24</v>
      </c>
      <c r="J1" s="164" t="s">
        <v>25</v>
      </c>
      <c r="K1" s="166" t="s">
        <v>26</v>
      </c>
      <c r="L1" s="164" t="s">
        <v>27</v>
      </c>
      <c r="M1" s="165" t="s">
        <v>28</v>
      </c>
      <c r="N1" s="177" t="s">
        <v>16</v>
      </c>
      <c r="O1" s="182" t="s">
        <v>74</v>
      </c>
    </row>
    <row r="2" spans="1:15">
      <c r="A2" s="16">
        <v>1998</v>
      </c>
      <c r="B2" s="154"/>
      <c r="C2" s="154"/>
      <c r="D2" s="154"/>
      <c r="E2" s="154"/>
      <c r="F2" s="154"/>
      <c r="G2" s="154"/>
      <c r="H2" s="154"/>
      <c r="I2" s="155"/>
      <c r="J2" s="155"/>
      <c r="K2" s="155"/>
      <c r="L2" s="155"/>
      <c r="M2" s="155"/>
      <c r="N2" s="180">
        <f>SUM(B2:M2)</f>
        <v>0</v>
      </c>
      <c r="O2" s="16"/>
    </row>
    <row r="3" spans="1:15">
      <c r="A3" s="8">
        <v>1999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80">
        <f t="shared" ref="N3:N17" si="0">SUM(B3:M3)</f>
        <v>0</v>
      </c>
      <c r="O3" s="8"/>
    </row>
    <row r="4" spans="1:15">
      <c r="A4" s="8">
        <v>2000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80">
        <f t="shared" si="0"/>
        <v>0</v>
      </c>
      <c r="O4" s="8"/>
    </row>
    <row r="5" spans="1:15">
      <c r="A5" s="8">
        <v>2001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80">
        <f t="shared" si="0"/>
        <v>0</v>
      </c>
      <c r="O5" s="8"/>
    </row>
    <row r="6" spans="1:15">
      <c r="A6" s="8">
        <v>2002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80">
        <f t="shared" si="0"/>
        <v>0</v>
      </c>
      <c r="O6" s="8"/>
    </row>
    <row r="7" spans="1:15">
      <c r="A7" s="8">
        <v>2003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80">
        <f t="shared" si="0"/>
        <v>0</v>
      </c>
      <c r="O7" s="8"/>
    </row>
    <row r="8" spans="1:15">
      <c r="A8" s="8">
        <v>2004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80">
        <f t="shared" si="0"/>
        <v>0</v>
      </c>
      <c r="O8" s="8"/>
    </row>
    <row r="9" spans="1:15">
      <c r="A9" s="8">
        <v>2005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80">
        <f t="shared" si="0"/>
        <v>0</v>
      </c>
      <c r="O9" s="8"/>
    </row>
    <row r="10" spans="1:15">
      <c r="A10" s="8">
        <v>2006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80">
        <f t="shared" si="0"/>
        <v>0</v>
      </c>
      <c r="O10" s="8"/>
    </row>
    <row r="11" spans="1:15">
      <c r="A11" s="8">
        <v>2007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80">
        <f t="shared" si="0"/>
        <v>0</v>
      </c>
      <c r="O11" s="8"/>
    </row>
    <row r="12" spans="1:15">
      <c r="A12" s="8">
        <v>2008</v>
      </c>
      <c r="B12" s="10"/>
      <c r="C12" s="10"/>
      <c r="D12" s="10"/>
      <c r="E12" s="10">
        <v>96.88</v>
      </c>
      <c r="F12" s="10"/>
      <c r="G12" s="10"/>
      <c r="H12" s="10">
        <v>57.93</v>
      </c>
      <c r="I12" s="10"/>
      <c r="J12" s="10"/>
      <c r="K12" s="10">
        <v>23.25</v>
      </c>
      <c r="L12" s="10"/>
      <c r="M12" s="10"/>
      <c r="N12" s="180">
        <v>120.13</v>
      </c>
      <c r="O12" s="8"/>
    </row>
    <row r="13" spans="1:15">
      <c r="A13" s="8">
        <v>2009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80">
        <f t="shared" si="0"/>
        <v>0</v>
      </c>
      <c r="O13" s="8"/>
    </row>
    <row r="14" spans="1:15">
      <c r="A14" s="8">
        <v>2010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0">
        <f t="shared" si="0"/>
        <v>0</v>
      </c>
      <c r="O14" s="8"/>
    </row>
    <row r="15" spans="1:15">
      <c r="A15" s="8">
        <v>2011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80">
        <f t="shared" si="0"/>
        <v>0</v>
      </c>
      <c r="O15" s="8"/>
    </row>
    <row r="16" spans="1:15">
      <c r="A16" s="8">
        <v>2012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80">
        <f t="shared" si="0"/>
        <v>0</v>
      </c>
      <c r="O16" s="8"/>
    </row>
    <row r="17" spans="1:18">
      <c r="A17" s="8">
        <v>2013</v>
      </c>
      <c r="B17" s="10"/>
      <c r="C17" s="10"/>
      <c r="D17" s="10"/>
      <c r="E17" s="10"/>
      <c r="F17" s="10"/>
      <c r="G17" s="157"/>
      <c r="H17" s="157"/>
      <c r="I17" s="157"/>
      <c r="J17" s="157"/>
      <c r="K17" s="157"/>
      <c r="L17" s="157"/>
      <c r="M17" s="157"/>
      <c r="N17" s="180">
        <f t="shared" si="0"/>
        <v>0</v>
      </c>
      <c r="O17" s="8"/>
    </row>
    <row r="18" spans="1:18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81">
        <f>SUM(N2:N17)</f>
        <v>120.13</v>
      </c>
      <c r="O18" s="10">
        <f>SUM(O2:O17)</f>
        <v>0</v>
      </c>
    </row>
    <row r="21" spans="1:18" ht="12.75" customHeight="1">
      <c r="A21" s="588" t="s">
        <v>383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179"/>
      <c r="Q21" s="179"/>
      <c r="R21" s="179"/>
    </row>
    <row r="23" spans="1:18">
      <c r="A23" s="169">
        <v>1998</v>
      </c>
    </row>
    <row r="24" spans="1:18">
      <c r="A24" s="135">
        <v>1999</v>
      </c>
    </row>
    <row r="25" spans="1:18">
      <c r="A25" s="169">
        <v>2000</v>
      </c>
    </row>
    <row r="26" spans="1:18">
      <c r="A26" s="135">
        <v>2001</v>
      </c>
    </row>
    <row r="27" spans="1:18">
      <c r="A27" s="169">
        <v>2002</v>
      </c>
    </row>
    <row r="30" spans="1:18">
      <c r="A30" s="587">
        <v>2008</v>
      </c>
      <c r="B30" s="172" t="s">
        <v>132</v>
      </c>
      <c r="C30" s="216">
        <v>81.25</v>
      </c>
      <c r="D30" s="213">
        <v>15.63</v>
      </c>
      <c r="E30" s="13">
        <f>SUM(C30:D30)</f>
        <v>96.88</v>
      </c>
    </row>
    <row r="31" spans="1:18">
      <c r="A31" s="587"/>
      <c r="B31" s="172" t="s">
        <v>134</v>
      </c>
      <c r="C31" s="216">
        <v>48.59</v>
      </c>
      <c r="D31" s="213">
        <v>9.34</v>
      </c>
      <c r="E31" s="13">
        <f>SUM(C31:D31)</f>
        <v>57.930000000000007</v>
      </c>
    </row>
    <row r="32" spans="1:18">
      <c r="A32" s="587"/>
      <c r="B32" s="9" t="s">
        <v>133</v>
      </c>
      <c r="C32" s="216">
        <v>19.5</v>
      </c>
      <c r="D32" s="213">
        <v>3.75</v>
      </c>
      <c r="E32" s="13">
        <f>SUM(C32:D32)</f>
        <v>23.25</v>
      </c>
    </row>
  </sheetData>
  <mergeCells count="2">
    <mergeCell ref="A30:A32"/>
    <mergeCell ref="A21:O2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05"/>
  <sheetViews>
    <sheetView workbookViewId="0">
      <pane ySplit="1" topLeftCell="A2" activePane="bottomLeft" state="frozen"/>
      <selection pane="bottomLeft" activeCell="AC18" sqref="AC18:AC19"/>
    </sheetView>
  </sheetViews>
  <sheetFormatPr defaultRowHeight="12.75"/>
  <cols>
    <col min="1" max="1" width="5" style="9" bestFit="1" customWidth="1"/>
    <col min="2" max="2" width="9.88671875" style="9" customWidth="1"/>
    <col min="3" max="3" width="7.21875" style="9" bestFit="1" customWidth="1"/>
    <col min="4" max="5" width="8" style="9" bestFit="1" customWidth="1"/>
    <col min="6" max="9" width="6.44140625" style="9" bestFit="1" customWidth="1"/>
    <col min="10" max="13" width="7.21875" style="9" bestFit="1" customWidth="1"/>
    <col min="14" max="14" width="8.44140625" style="9" bestFit="1" customWidth="1"/>
    <col min="15" max="15" width="7.44140625" style="9" bestFit="1" customWidth="1"/>
    <col min="16" max="16" width="5.6640625" style="15" bestFit="1" customWidth="1"/>
    <col min="17" max="17" width="5.21875" style="9" bestFit="1" customWidth="1"/>
    <col min="18" max="18" width="7.6640625" style="9" bestFit="1" customWidth="1"/>
    <col min="19" max="19" width="7.21875" style="9" bestFit="1" customWidth="1"/>
    <col min="20" max="24" width="6.44140625" style="9" bestFit="1" customWidth="1"/>
    <col min="25" max="25" width="3.88671875" style="9" bestFit="1" customWidth="1"/>
    <col min="26" max="26" width="3.109375" style="9" bestFit="1" customWidth="1"/>
    <col min="27" max="27" width="3.88671875" style="9" bestFit="1" customWidth="1"/>
    <col min="28" max="28" width="6.44140625" style="9" bestFit="1" customWidth="1"/>
    <col min="29" max="16384" width="8.88671875" style="9"/>
  </cols>
  <sheetData>
    <row r="1" spans="1:28" ht="13.5" thickBot="1">
      <c r="A1" s="149"/>
      <c r="B1" s="162" t="s">
        <v>18</v>
      </c>
      <c r="C1" s="163" t="s">
        <v>19</v>
      </c>
      <c r="D1" s="164" t="s">
        <v>20</v>
      </c>
      <c r="E1" s="165" t="s">
        <v>21</v>
      </c>
      <c r="F1" s="164" t="s">
        <v>2</v>
      </c>
      <c r="G1" s="166" t="s">
        <v>22</v>
      </c>
      <c r="H1" s="164" t="s">
        <v>23</v>
      </c>
      <c r="I1" s="165" t="s">
        <v>24</v>
      </c>
      <c r="J1" s="164" t="s">
        <v>25</v>
      </c>
      <c r="K1" s="166" t="s">
        <v>26</v>
      </c>
      <c r="L1" s="164" t="s">
        <v>27</v>
      </c>
      <c r="M1" s="165" t="s">
        <v>28</v>
      </c>
      <c r="N1" s="167" t="s">
        <v>107</v>
      </c>
      <c r="O1" s="168" t="s">
        <v>74</v>
      </c>
      <c r="P1" s="65">
        <v>1</v>
      </c>
      <c r="Q1" s="9">
        <v>2</v>
      </c>
      <c r="R1" s="9">
        <v>3</v>
      </c>
      <c r="S1" s="9">
        <v>4</v>
      </c>
      <c r="T1" s="9">
        <v>5</v>
      </c>
      <c r="U1" s="9">
        <v>6</v>
      </c>
      <c r="V1" s="9">
        <v>7</v>
      </c>
      <c r="W1" s="9">
        <v>8</v>
      </c>
      <c r="X1" s="9">
        <v>9</v>
      </c>
      <c r="Y1" s="9">
        <v>10</v>
      </c>
      <c r="Z1" s="9">
        <v>11</v>
      </c>
      <c r="AA1" s="9">
        <v>12</v>
      </c>
    </row>
    <row r="2" spans="1:28">
      <c r="A2" s="16">
        <v>1998</v>
      </c>
      <c r="B2" s="154"/>
      <c r="C2" s="154"/>
      <c r="D2" s="154"/>
      <c r="E2" s="154"/>
      <c r="F2" s="154"/>
      <c r="G2" s="154"/>
      <c r="H2" s="154"/>
      <c r="I2" s="155"/>
      <c r="J2" s="155">
        <v>108.52</v>
      </c>
      <c r="K2" s="155">
        <v>145.57</v>
      </c>
      <c r="L2" s="155">
        <v>15.82</v>
      </c>
      <c r="M2" s="155">
        <v>29.28</v>
      </c>
      <c r="N2" s="161">
        <f>SUM(B2:M2)</f>
        <v>299.18999999999994</v>
      </c>
      <c r="O2" s="221">
        <f>AB2</f>
        <v>3425</v>
      </c>
      <c r="P2" s="65"/>
      <c r="Q2" s="65"/>
      <c r="R2" s="173"/>
      <c r="S2" s="219"/>
      <c r="T2" s="191"/>
      <c r="U2" s="173"/>
      <c r="V2" s="65"/>
      <c r="W2" s="173"/>
      <c r="X2" s="173">
        <v>1263</v>
      </c>
      <c r="Y2" s="9">
        <v>1663</v>
      </c>
      <c r="Z2" s="9">
        <v>177</v>
      </c>
      <c r="AA2" s="9">
        <v>322</v>
      </c>
      <c r="AB2" s="478">
        <f>SUM(P2:AA2)</f>
        <v>3425</v>
      </c>
    </row>
    <row r="3" spans="1:28">
      <c r="A3" s="8">
        <v>1999</v>
      </c>
      <c r="B3" s="10">
        <v>10.36</v>
      </c>
      <c r="C3" s="10">
        <v>13.15</v>
      </c>
      <c r="D3" s="10">
        <v>17.36</v>
      </c>
      <c r="E3" s="10">
        <v>35.36</v>
      </c>
      <c r="F3" s="10">
        <v>12.45</v>
      </c>
      <c r="G3" s="10"/>
      <c r="H3" s="10"/>
      <c r="I3" s="10"/>
      <c r="J3" s="10"/>
      <c r="K3" s="10">
        <v>3.6</v>
      </c>
      <c r="L3" s="10"/>
      <c r="M3" s="10"/>
      <c r="N3" s="156">
        <f>SUM(B3:M3)</f>
        <v>92.279999999999987</v>
      </c>
      <c r="O3" s="221">
        <f t="shared" ref="O3:O10" si="0">AB3</f>
        <v>952</v>
      </c>
      <c r="P3" s="65">
        <v>112</v>
      </c>
      <c r="Q3" s="65">
        <v>139</v>
      </c>
      <c r="R3" s="173">
        <v>181</v>
      </c>
      <c r="S3" s="219">
        <v>362</v>
      </c>
      <c r="T3" s="191">
        <v>125</v>
      </c>
      <c r="U3" s="173"/>
      <c r="V3" s="65"/>
      <c r="W3" s="173"/>
      <c r="Y3" s="9">
        <v>33</v>
      </c>
      <c r="AB3" s="478">
        <f t="shared" ref="AB3:AB17" si="1">SUM(P3:AA3)</f>
        <v>952</v>
      </c>
    </row>
    <row r="4" spans="1:28">
      <c r="A4" s="8">
        <v>2000</v>
      </c>
      <c r="B4" s="10"/>
      <c r="C4" s="10"/>
      <c r="D4" s="10">
        <v>1.47</v>
      </c>
      <c r="E4" s="10"/>
      <c r="F4" s="10">
        <v>1.78</v>
      </c>
      <c r="G4" s="10"/>
      <c r="H4" s="10"/>
      <c r="I4" s="10"/>
      <c r="J4" s="10"/>
      <c r="K4" s="10">
        <v>17.11</v>
      </c>
      <c r="L4" s="10"/>
      <c r="M4" s="10"/>
      <c r="N4" s="156">
        <f>SUM(B4:M4)</f>
        <v>20.36</v>
      </c>
      <c r="O4" s="221">
        <f t="shared" si="0"/>
        <v>161</v>
      </c>
      <c r="P4" s="65"/>
      <c r="Q4" s="65"/>
      <c r="R4" s="173">
        <v>13</v>
      </c>
      <c r="S4" s="219"/>
      <c r="T4" s="191">
        <v>15</v>
      </c>
      <c r="U4" s="173"/>
      <c r="V4" s="65"/>
      <c r="W4" s="173"/>
      <c r="Y4" s="9">
        <v>133</v>
      </c>
      <c r="AB4" s="478">
        <f t="shared" si="1"/>
        <v>161</v>
      </c>
    </row>
    <row r="5" spans="1:28">
      <c r="A5" s="8">
        <v>2001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56">
        <f t="shared" ref="N5:N17" si="2">SUM(B5:M5)</f>
        <v>0</v>
      </c>
      <c r="O5" s="221">
        <f t="shared" si="0"/>
        <v>0</v>
      </c>
      <c r="P5" s="65"/>
      <c r="Q5" s="65"/>
      <c r="R5" s="173"/>
      <c r="S5" s="219"/>
      <c r="T5" s="191"/>
      <c r="U5" s="173"/>
      <c r="V5" s="65"/>
      <c r="W5" s="173"/>
      <c r="AB5" s="478">
        <f t="shared" si="1"/>
        <v>0</v>
      </c>
    </row>
    <row r="6" spans="1:28">
      <c r="A6" s="8">
        <v>2002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156">
        <f t="shared" si="2"/>
        <v>0</v>
      </c>
      <c r="O6" s="221">
        <f t="shared" si="0"/>
        <v>0</v>
      </c>
      <c r="P6" s="65"/>
      <c r="Q6" s="65"/>
      <c r="R6" s="173"/>
      <c r="S6" s="219"/>
      <c r="T6" s="191"/>
      <c r="U6" s="173"/>
      <c r="V6" s="65"/>
      <c r="W6" s="173"/>
      <c r="AB6" s="478">
        <f t="shared" si="1"/>
        <v>0</v>
      </c>
    </row>
    <row r="7" spans="1:28">
      <c r="A7" s="8">
        <v>2003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156">
        <f t="shared" si="2"/>
        <v>0</v>
      </c>
      <c r="O7" s="221">
        <f t="shared" si="0"/>
        <v>0</v>
      </c>
      <c r="P7" s="65"/>
      <c r="Q7" s="65"/>
      <c r="R7" s="173"/>
      <c r="S7" s="219"/>
      <c r="T7" s="191"/>
      <c r="U7" s="173"/>
      <c r="V7" s="65"/>
      <c r="W7" s="173"/>
      <c r="AB7" s="478">
        <f t="shared" si="1"/>
        <v>0</v>
      </c>
    </row>
    <row r="8" spans="1:28">
      <c r="A8" s="8">
        <v>2004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156">
        <f t="shared" si="2"/>
        <v>0</v>
      </c>
      <c r="O8" s="221">
        <f t="shared" si="0"/>
        <v>0</v>
      </c>
      <c r="P8" s="65"/>
      <c r="Q8" s="65"/>
      <c r="R8" s="173"/>
      <c r="S8" s="219"/>
      <c r="T8" s="191"/>
      <c r="U8" s="173"/>
      <c r="V8" s="65"/>
      <c r="W8" s="173"/>
      <c r="AB8" s="478">
        <f t="shared" si="1"/>
        <v>0</v>
      </c>
    </row>
    <row r="9" spans="1:28">
      <c r="A9" s="8">
        <v>2005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156">
        <f t="shared" si="2"/>
        <v>0</v>
      </c>
      <c r="O9" s="221">
        <f t="shared" si="0"/>
        <v>0</v>
      </c>
      <c r="P9" s="65"/>
      <c r="Q9" s="65"/>
      <c r="R9" s="173"/>
      <c r="S9" s="219"/>
      <c r="T9" s="191"/>
      <c r="U9" s="173"/>
      <c r="V9" s="65"/>
      <c r="W9" s="173"/>
      <c r="AB9" s="478">
        <f t="shared" si="1"/>
        <v>0</v>
      </c>
    </row>
    <row r="10" spans="1:28">
      <c r="A10" s="8">
        <v>2006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156">
        <f t="shared" si="2"/>
        <v>0</v>
      </c>
      <c r="O10" s="221">
        <f t="shared" si="0"/>
        <v>0</v>
      </c>
      <c r="P10" s="65"/>
      <c r="Q10" s="65"/>
      <c r="R10" s="173"/>
      <c r="S10" s="219"/>
      <c r="T10" s="191"/>
      <c r="U10" s="173"/>
      <c r="V10" s="65"/>
      <c r="W10" s="173"/>
      <c r="AB10" s="478">
        <f t="shared" si="1"/>
        <v>0</v>
      </c>
    </row>
    <row r="11" spans="1:28">
      <c r="A11" s="8">
        <v>2007</v>
      </c>
      <c r="B11" s="10"/>
      <c r="C11" s="10"/>
      <c r="D11" s="10"/>
      <c r="E11" s="10"/>
      <c r="F11" s="10">
        <v>22.3</v>
      </c>
      <c r="G11" s="10">
        <v>78.709999999999994</v>
      </c>
      <c r="H11" s="10">
        <v>13</v>
      </c>
      <c r="I11" s="10"/>
      <c r="J11" s="10"/>
      <c r="K11" s="10">
        <v>7.32</v>
      </c>
      <c r="L11" s="10"/>
      <c r="M11" s="10"/>
      <c r="N11" s="156">
        <f t="shared" si="2"/>
        <v>121.32999999999998</v>
      </c>
      <c r="O11" s="222">
        <f t="shared" ref="O11:O17" si="3">AB11</f>
        <v>452</v>
      </c>
      <c r="P11" s="65"/>
      <c r="Q11" s="65"/>
      <c r="R11" s="173"/>
      <c r="S11" s="219"/>
      <c r="T11" s="191">
        <v>84</v>
      </c>
      <c r="U11" s="173">
        <v>294</v>
      </c>
      <c r="V11" s="65">
        <v>48</v>
      </c>
      <c r="W11" s="173"/>
      <c r="Y11" s="9">
        <v>26</v>
      </c>
      <c r="AB11" s="478">
        <f t="shared" si="1"/>
        <v>452</v>
      </c>
    </row>
    <row r="12" spans="1:28">
      <c r="A12" s="8">
        <v>2008</v>
      </c>
      <c r="B12" s="10"/>
      <c r="C12" s="10"/>
      <c r="D12" s="10"/>
      <c r="E12" s="10">
        <v>0.59</v>
      </c>
      <c r="F12" s="10"/>
      <c r="G12" s="10"/>
      <c r="H12" s="10"/>
      <c r="I12" s="10"/>
      <c r="J12" s="10"/>
      <c r="K12" s="10">
        <v>0.74</v>
      </c>
      <c r="L12" s="10">
        <v>2.42</v>
      </c>
      <c r="M12" s="10"/>
      <c r="N12" s="156">
        <f t="shared" si="2"/>
        <v>3.75</v>
      </c>
      <c r="O12" s="222">
        <f t="shared" si="3"/>
        <v>12</v>
      </c>
      <c r="P12" s="65"/>
      <c r="Q12" s="65"/>
      <c r="R12" s="173"/>
      <c r="S12" s="219">
        <v>2</v>
      </c>
      <c r="T12" s="191"/>
      <c r="U12" s="173"/>
      <c r="V12" s="65"/>
      <c r="W12" s="173"/>
      <c r="Y12" s="9">
        <v>2</v>
      </c>
      <c r="Z12" s="9">
        <v>8</v>
      </c>
      <c r="AB12" s="478">
        <f t="shared" si="1"/>
        <v>12</v>
      </c>
    </row>
    <row r="13" spans="1:28">
      <c r="A13" s="8">
        <v>2009</v>
      </c>
      <c r="B13" s="10"/>
      <c r="C13" s="10"/>
      <c r="D13" s="10"/>
      <c r="E13" s="10"/>
      <c r="F13" s="10"/>
      <c r="G13" s="10"/>
      <c r="H13" s="10">
        <v>48</v>
      </c>
      <c r="I13" s="10"/>
      <c r="J13" s="10"/>
      <c r="K13" s="10"/>
      <c r="L13" s="10"/>
      <c r="M13" s="10"/>
      <c r="N13" s="156">
        <f t="shared" si="2"/>
        <v>48</v>
      </c>
      <c r="O13" s="222">
        <f t="shared" si="3"/>
        <v>143</v>
      </c>
      <c r="P13" s="65"/>
      <c r="Q13" s="65"/>
      <c r="R13" s="173"/>
      <c r="S13" s="219"/>
      <c r="T13" s="191"/>
      <c r="U13" s="173"/>
      <c r="V13" s="65">
        <v>143</v>
      </c>
      <c r="W13" s="173"/>
      <c r="AB13" s="478">
        <f t="shared" si="1"/>
        <v>143</v>
      </c>
    </row>
    <row r="14" spans="1:28">
      <c r="A14" s="8">
        <v>2010</v>
      </c>
      <c r="B14" s="10"/>
      <c r="C14" s="10"/>
      <c r="D14" s="10">
        <v>35.43</v>
      </c>
      <c r="E14" s="10"/>
      <c r="F14" s="10">
        <v>4.47</v>
      </c>
      <c r="G14" s="10"/>
      <c r="H14" s="10">
        <v>41.2</v>
      </c>
      <c r="I14" s="10"/>
      <c r="J14" s="10"/>
      <c r="K14" s="10">
        <v>35.25</v>
      </c>
      <c r="L14" s="10">
        <v>119.24</v>
      </c>
      <c r="M14" s="10">
        <v>457.22</v>
      </c>
      <c r="N14" s="156">
        <f t="shared" si="2"/>
        <v>692.81</v>
      </c>
      <c r="O14" s="222">
        <f t="shared" si="3"/>
        <v>1831</v>
      </c>
      <c r="P14" s="65"/>
      <c r="Q14" s="65"/>
      <c r="R14" s="173">
        <v>99</v>
      </c>
      <c r="S14" s="219"/>
      <c r="T14" s="191">
        <v>12</v>
      </c>
      <c r="U14" s="173"/>
      <c r="V14" s="65">
        <v>112</v>
      </c>
      <c r="W14" s="173"/>
      <c r="Y14" s="9">
        <v>94</v>
      </c>
      <c r="Z14" s="9">
        <v>315</v>
      </c>
      <c r="AA14" s="9">
        <v>1199</v>
      </c>
      <c r="AB14" s="478">
        <f t="shared" si="1"/>
        <v>1831</v>
      </c>
    </row>
    <row r="15" spans="1:28">
      <c r="A15" s="8">
        <v>2011</v>
      </c>
      <c r="B15" s="10">
        <v>32.25</v>
      </c>
      <c r="C15" s="10">
        <v>14.61</v>
      </c>
      <c r="D15" s="10">
        <v>14.56</v>
      </c>
      <c r="E15" s="10">
        <v>26.43</v>
      </c>
      <c r="F15" s="10">
        <v>93.68</v>
      </c>
      <c r="G15" s="10">
        <v>55.47</v>
      </c>
      <c r="H15" s="10"/>
      <c r="I15" s="10">
        <v>15.78</v>
      </c>
      <c r="J15" s="10">
        <v>10.63</v>
      </c>
      <c r="K15" s="10"/>
      <c r="L15" s="10"/>
      <c r="M15" s="10"/>
      <c r="N15" s="156">
        <f t="shared" si="2"/>
        <v>263.41000000000003</v>
      </c>
      <c r="O15" s="222">
        <f t="shared" si="3"/>
        <v>667</v>
      </c>
      <c r="P15" s="65">
        <v>84</v>
      </c>
      <c r="Q15" s="65">
        <v>38</v>
      </c>
      <c r="R15" s="173">
        <v>37</v>
      </c>
      <c r="S15" s="219">
        <v>67</v>
      </c>
      <c r="T15" s="191">
        <v>237</v>
      </c>
      <c r="U15" s="173">
        <v>139</v>
      </c>
      <c r="V15" s="65"/>
      <c r="W15" s="173">
        <v>39</v>
      </c>
      <c r="X15" s="9">
        <v>26</v>
      </c>
      <c r="AB15" s="478">
        <f t="shared" si="1"/>
        <v>667</v>
      </c>
    </row>
    <row r="16" spans="1:28">
      <c r="A16" s="8">
        <v>2012</v>
      </c>
      <c r="B16" s="10"/>
      <c r="C16" s="10"/>
      <c r="D16" s="10">
        <v>126.73</v>
      </c>
      <c r="E16" s="10"/>
      <c r="F16" s="10"/>
      <c r="G16" s="10"/>
      <c r="H16" s="10"/>
      <c r="I16" s="10">
        <v>53.52</v>
      </c>
      <c r="J16" s="10"/>
      <c r="K16" s="10"/>
      <c r="L16" s="10">
        <v>35.6</v>
      </c>
      <c r="M16" s="10"/>
      <c r="N16" s="156">
        <f t="shared" si="2"/>
        <v>215.85</v>
      </c>
      <c r="O16" s="222">
        <f t="shared" si="3"/>
        <v>497</v>
      </c>
      <c r="P16" s="65"/>
      <c r="Q16" s="65"/>
      <c r="R16" s="173">
        <v>297</v>
      </c>
      <c r="S16" s="219"/>
      <c r="T16" s="191"/>
      <c r="U16" s="173"/>
      <c r="V16" s="65"/>
      <c r="W16" s="173">
        <v>121</v>
      </c>
      <c r="Z16" s="9">
        <v>79</v>
      </c>
      <c r="AB16" s="478">
        <f t="shared" si="1"/>
        <v>497</v>
      </c>
    </row>
    <row r="17" spans="1:29">
      <c r="A17" s="8">
        <v>2013</v>
      </c>
      <c r="B17" s="10"/>
      <c r="C17" s="10">
        <v>16.07</v>
      </c>
      <c r="D17" s="10">
        <v>17.27</v>
      </c>
      <c r="E17" s="10">
        <v>26.42</v>
      </c>
      <c r="F17" s="10">
        <v>40.46</v>
      </c>
      <c r="G17" s="157"/>
      <c r="H17" s="157"/>
      <c r="I17" s="157"/>
      <c r="J17" s="157"/>
      <c r="K17" s="157"/>
      <c r="L17" s="157"/>
      <c r="M17" s="157"/>
      <c r="N17" s="156">
        <f t="shared" si="2"/>
        <v>100.22</v>
      </c>
      <c r="O17" s="222">
        <f t="shared" si="3"/>
        <v>215</v>
      </c>
      <c r="P17" s="65"/>
      <c r="Q17" s="65">
        <v>35</v>
      </c>
      <c r="R17" s="173">
        <v>37</v>
      </c>
      <c r="S17" s="219">
        <v>57</v>
      </c>
      <c r="T17" s="191">
        <v>86</v>
      </c>
      <c r="U17" s="173"/>
      <c r="V17" s="65"/>
      <c r="W17" s="173"/>
      <c r="AB17" s="478">
        <f t="shared" si="1"/>
        <v>215</v>
      </c>
    </row>
    <row r="18" spans="1:29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0">
        <f>SUM(N2:N17)</f>
        <v>1857.1999999999998</v>
      </c>
      <c r="O18" s="222">
        <f>SUM(O2:O17)</f>
        <v>8355</v>
      </c>
      <c r="P18" s="174"/>
      <c r="Q18" s="220"/>
      <c r="R18" s="220"/>
      <c r="S18" s="220"/>
      <c r="T18" s="220"/>
      <c r="U18" s="173"/>
      <c r="V18" s="173"/>
      <c r="W18" s="173"/>
      <c r="AC18" s="304" t="s">
        <v>470</v>
      </c>
    </row>
    <row r="19" spans="1:29">
      <c r="N19" s="12">
        <f>N18*30%</f>
        <v>557.16</v>
      </c>
      <c r="O19" s="173">
        <f>O18*30%</f>
        <v>2506.5</v>
      </c>
      <c r="P19" s="174" t="s">
        <v>84</v>
      </c>
      <c r="Q19" s="220"/>
      <c r="R19" s="220"/>
      <c r="S19" s="220"/>
      <c r="T19" s="220"/>
      <c r="U19" s="173"/>
      <c r="V19" s="173"/>
      <c r="W19" s="173"/>
      <c r="AC19" s="148">
        <v>45324</v>
      </c>
    </row>
    <row r="20" spans="1:29" ht="12.75" customHeight="1">
      <c r="A20" s="588" t="s">
        <v>379</v>
      </c>
      <c r="B20" s="588"/>
      <c r="C20" s="588"/>
      <c r="D20" s="588"/>
      <c r="E20" s="588"/>
      <c r="F20" s="588"/>
      <c r="G20" s="588"/>
      <c r="H20" s="588"/>
      <c r="I20" s="588"/>
      <c r="J20" s="588"/>
      <c r="K20" s="588"/>
      <c r="L20" s="588"/>
      <c r="M20" s="588"/>
      <c r="N20" s="588"/>
      <c r="O20" s="588"/>
      <c r="P20" s="65"/>
      <c r="Q20" s="173"/>
      <c r="R20" s="173"/>
      <c r="S20" s="173"/>
      <c r="T20" s="173"/>
      <c r="U20" s="173"/>
      <c r="V20" s="173"/>
      <c r="W20" s="173"/>
    </row>
    <row r="21" spans="1:29">
      <c r="O21" s="304" t="s">
        <v>470</v>
      </c>
      <c r="P21" s="65"/>
      <c r="Q21" s="173"/>
      <c r="R21" s="173"/>
      <c r="S21" s="173"/>
      <c r="T21" s="173"/>
      <c r="U21" s="173"/>
      <c r="V21" s="173"/>
      <c r="W21" s="173"/>
    </row>
    <row r="23" spans="1:29">
      <c r="A23" s="589">
        <v>1998</v>
      </c>
      <c r="B23" s="382" t="s">
        <v>108</v>
      </c>
      <c r="C23" s="194">
        <v>19.39</v>
      </c>
      <c r="D23" s="194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9"/>
    </row>
    <row r="24" spans="1:29">
      <c r="A24" s="589"/>
      <c r="B24" s="383" t="s">
        <v>386</v>
      </c>
      <c r="C24" s="194">
        <v>9.98</v>
      </c>
      <c r="D24" s="194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9"/>
    </row>
    <row r="25" spans="1:29">
      <c r="A25" s="589"/>
      <c r="B25" s="382" t="s">
        <v>109</v>
      </c>
      <c r="C25" s="194">
        <v>53.11</v>
      </c>
      <c r="D25" s="194"/>
      <c r="E25" s="158"/>
      <c r="F25" s="158"/>
      <c r="J25" s="12"/>
      <c r="O25" s="159"/>
    </row>
    <row r="26" spans="1:29" ht="13.5" thickBot="1">
      <c r="A26" s="589"/>
      <c r="B26" s="394" t="s">
        <v>110</v>
      </c>
      <c r="C26" s="389">
        <v>26.04</v>
      </c>
      <c r="D26" s="390">
        <f>SUM(C23:C26)</f>
        <v>108.52000000000001</v>
      </c>
      <c r="O26" s="159"/>
    </row>
    <row r="27" spans="1:29">
      <c r="A27" s="589"/>
      <c r="B27" s="213" t="s">
        <v>111</v>
      </c>
      <c r="C27" s="15">
        <v>17.89</v>
      </c>
      <c r="D27" s="15"/>
      <c r="O27" s="159"/>
    </row>
    <row r="28" spans="1:29" ht="13.5" thickBot="1">
      <c r="A28" s="589"/>
      <c r="B28" s="394" t="s">
        <v>112</v>
      </c>
      <c r="C28" s="389">
        <v>127.68</v>
      </c>
      <c r="D28" s="390">
        <f>C27+C28</f>
        <v>145.57</v>
      </c>
      <c r="E28" s="9" t="s">
        <v>113</v>
      </c>
      <c r="O28" s="159"/>
    </row>
    <row r="29" spans="1:29" ht="13.5" thickBot="1">
      <c r="A29" s="589"/>
      <c r="B29" s="410" t="s">
        <v>27</v>
      </c>
      <c r="C29" s="409">
        <v>15.82</v>
      </c>
      <c r="D29" s="193"/>
      <c r="O29" s="159"/>
    </row>
    <row r="30" spans="1:29">
      <c r="A30" s="589"/>
      <c r="B30" s="213" t="s">
        <v>28</v>
      </c>
      <c r="C30" s="15">
        <v>15.74</v>
      </c>
      <c r="D30" s="15"/>
      <c r="O30" s="159"/>
    </row>
    <row r="31" spans="1:29">
      <c r="A31" s="589"/>
      <c r="B31" s="213" t="s">
        <v>164</v>
      </c>
      <c r="C31" s="15">
        <v>5.0199999999999996</v>
      </c>
      <c r="D31" s="15"/>
      <c r="E31" s="9" t="s">
        <v>165</v>
      </c>
      <c r="O31" s="159"/>
    </row>
    <row r="32" spans="1:29">
      <c r="A32" s="589"/>
      <c r="B32" s="382" t="s">
        <v>127</v>
      </c>
      <c r="C32" s="194">
        <v>8.1300000000000008</v>
      </c>
      <c r="D32" s="194"/>
      <c r="E32" s="9" t="s">
        <v>128</v>
      </c>
      <c r="F32" s="158"/>
      <c r="O32" s="159"/>
    </row>
    <row r="33" spans="1:15" ht="13.5" thickBot="1">
      <c r="A33" s="589"/>
      <c r="B33" s="394" t="s">
        <v>28</v>
      </c>
      <c r="C33" s="389">
        <v>0.39</v>
      </c>
      <c r="D33" s="390">
        <f>SUM(C30:C33)</f>
        <v>29.28</v>
      </c>
      <c r="O33" s="159"/>
    </row>
    <row r="34" spans="1:15" ht="13.5" thickBot="1">
      <c r="A34" s="587">
        <v>1999</v>
      </c>
      <c r="B34" s="449" t="s">
        <v>18</v>
      </c>
      <c r="C34" s="409">
        <v>10.36</v>
      </c>
      <c r="D34" s="15"/>
      <c r="O34" s="159"/>
    </row>
    <row r="35" spans="1:15">
      <c r="A35" s="587"/>
      <c r="B35" s="382" t="s">
        <v>426</v>
      </c>
      <c r="C35" s="197">
        <v>0.03</v>
      </c>
      <c r="D35" s="15"/>
      <c r="O35" s="159"/>
    </row>
    <row r="36" spans="1:15">
      <c r="A36" s="587"/>
      <c r="B36" s="382" t="s">
        <v>427</v>
      </c>
      <c r="C36" s="197">
        <v>2.2000000000000002</v>
      </c>
      <c r="D36" s="15"/>
      <c r="O36" s="159"/>
    </row>
    <row r="37" spans="1:15" ht="13.5" thickBot="1">
      <c r="A37" s="587"/>
      <c r="B37" s="394" t="s">
        <v>19</v>
      </c>
      <c r="C37" s="411">
        <v>10.92</v>
      </c>
      <c r="D37" s="390">
        <f>SUM(C35:C37)</f>
        <v>13.15</v>
      </c>
      <c r="E37" s="9" t="s">
        <v>430</v>
      </c>
      <c r="O37" s="159"/>
    </row>
    <row r="38" spans="1:15" ht="13.5" thickBot="1">
      <c r="A38" s="587"/>
      <c r="B38" s="410" t="s">
        <v>20</v>
      </c>
      <c r="C38" s="409">
        <v>17.36</v>
      </c>
      <c r="D38" s="407"/>
      <c r="O38" s="159"/>
    </row>
    <row r="39" spans="1:15">
      <c r="A39" s="587"/>
      <c r="B39" s="213" t="s">
        <v>431</v>
      </c>
      <c r="C39" s="197">
        <v>2.2000000000000002</v>
      </c>
      <c r="D39" s="15"/>
      <c r="O39" s="159"/>
    </row>
    <row r="40" spans="1:15">
      <c r="A40" s="587"/>
      <c r="B40" s="213" t="s">
        <v>432</v>
      </c>
      <c r="C40" s="197">
        <v>2.2000000000000002</v>
      </c>
      <c r="D40" s="15"/>
      <c r="O40" s="159"/>
    </row>
    <row r="41" spans="1:15">
      <c r="A41" s="587"/>
      <c r="B41" s="213" t="s">
        <v>435</v>
      </c>
      <c r="C41" s="197">
        <v>2.2000000000000002</v>
      </c>
      <c r="D41" s="15"/>
      <c r="O41" s="159"/>
    </row>
    <row r="42" spans="1:15">
      <c r="A42" s="587"/>
      <c r="B42" s="213" t="s">
        <v>433</v>
      </c>
      <c r="C42" s="197">
        <v>2.2000000000000002</v>
      </c>
      <c r="D42" s="15"/>
      <c r="O42" s="159"/>
    </row>
    <row r="43" spans="1:15">
      <c r="A43" s="587"/>
      <c r="B43" s="213" t="s">
        <v>434</v>
      </c>
      <c r="C43" s="197">
        <v>2.2000000000000002</v>
      </c>
      <c r="D43" s="15"/>
      <c r="O43" s="159"/>
    </row>
    <row r="44" spans="1:15" ht="13.5" thickBot="1">
      <c r="A44" s="587"/>
      <c r="B44" s="394" t="s">
        <v>114</v>
      </c>
      <c r="C44" s="411">
        <v>24.36</v>
      </c>
      <c r="D44" s="390">
        <f>SUM(C39:C44)</f>
        <v>35.36</v>
      </c>
      <c r="O44" s="159"/>
    </row>
    <row r="45" spans="1:15">
      <c r="A45" s="587"/>
      <c r="B45" s="213" t="s">
        <v>115</v>
      </c>
      <c r="C45" s="15">
        <v>4.76</v>
      </c>
      <c r="D45" s="15"/>
      <c r="O45" s="159"/>
    </row>
    <row r="46" spans="1:15">
      <c r="A46" s="587"/>
      <c r="B46" s="213" t="s">
        <v>447</v>
      </c>
      <c r="C46" s="15">
        <v>2.93</v>
      </c>
      <c r="D46" s="15"/>
      <c r="O46" s="159"/>
    </row>
    <row r="47" spans="1:15" ht="13.5" thickBot="1">
      <c r="A47" s="587"/>
      <c r="B47" s="394" t="s">
        <v>116</v>
      </c>
      <c r="C47" s="389">
        <v>4.76</v>
      </c>
      <c r="D47" s="390">
        <f>SUM(C45:C47)</f>
        <v>12.45</v>
      </c>
      <c r="O47" s="159"/>
    </row>
    <row r="48" spans="1:15">
      <c r="A48" s="587"/>
      <c r="B48" s="213" t="s">
        <v>464</v>
      </c>
      <c r="C48" s="15">
        <v>0.73</v>
      </c>
      <c r="D48" s="15"/>
      <c r="O48" s="159"/>
    </row>
    <row r="49" spans="1:15" ht="13.5" thickBot="1">
      <c r="A49" s="587"/>
      <c r="B49" s="394" t="s">
        <v>465</v>
      </c>
      <c r="C49" s="389">
        <v>2.87</v>
      </c>
      <c r="D49" s="390">
        <f>SUM(C48:C49)</f>
        <v>3.6</v>
      </c>
      <c r="O49" s="159"/>
    </row>
    <row r="50" spans="1:15">
      <c r="A50" s="590">
        <v>2000</v>
      </c>
      <c r="B50" s="481" t="s">
        <v>467</v>
      </c>
      <c r="C50" s="482">
        <v>1.47</v>
      </c>
      <c r="D50" s="414"/>
      <c r="E50" s="9" t="s">
        <v>468</v>
      </c>
    </row>
    <row r="51" spans="1:15">
      <c r="A51" s="590"/>
      <c r="B51" s="481" t="s">
        <v>117</v>
      </c>
      <c r="C51" s="483">
        <v>1.78</v>
      </c>
      <c r="D51" s="414"/>
    </row>
    <row r="52" spans="1:15" ht="13.5" thickBot="1">
      <c r="A52" s="591"/>
      <c r="B52" s="394" t="s">
        <v>166</v>
      </c>
      <c r="C52" s="390">
        <v>17.11</v>
      </c>
      <c r="D52" s="389"/>
    </row>
    <row r="53" spans="1:15">
      <c r="A53" s="169">
        <v>2001</v>
      </c>
      <c r="B53" s="213"/>
      <c r="C53" s="193"/>
      <c r="D53" s="15"/>
    </row>
    <row r="54" spans="1:15">
      <c r="A54" s="160">
        <v>2002</v>
      </c>
      <c r="C54" s="15"/>
      <c r="D54" s="15"/>
    </row>
    <row r="55" spans="1:15">
      <c r="A55" s="171">
        <v>2003</v>
      </c>
      <c r="C55" s="15"/>
      <c r="D55" s="15"/>
    </row>
    <row r="56" spans="1:15">
      <c r="A56" s="160">
        <v>2004</v>
      </c>
      <c r="C56" s="15"/>
      <c r="D56" s="15"/>
    </row>
    <row r="57" spans="1:15">
      <c r="A57" s="171">
        <v>2005</v>
      </c>
      <c r="C57" s="15"/>
      <c r="D57" s="15"/>
    </row>
    <row r="58" spans="1:15">
      <c r="A58" s="160">
        <v>2006</v>
      </c>
      <c r="C58" s="15"/>
      <c r="D58" s="15"/>
    </row>
    <row r="59" spans="1:15">
      <c r="A59" s="587">
        <v>2007</v>
      </c>
      <c r="B59" s="200" t="s">
        <v>172</v>
      </c>
      <c r="C59" s="193">
        <v>22.3</v>
      </c>
      <c r="D59" s="15"/>
    </row>
    <row r="60" spans="1:15">
      <c r="A60" s="587"/>
      <c r="B60" s="212" t="s">
        <v>121</v>
      </c>
      <c r="C60" s="211">
        <v>78.69</v>
      </c>
      <c r="D60" s="15"/>
    </row>
    <row r="61" spans="1:15">
      <c r="A61" s="587"/>
      <c r="B61" s="9" t="s">
        <v>119</v>
      </c>
      <c r="C61" s="197">
        <v>0.02</v>
      </c>
      <c r="D61" s="193">
        <v>78.709999999999994</v>
      </c>
    </row>
    <row r="62" spans="1:15">
      <c r="A62" s="587"/>
      <c r="B62" s="172" t="s">
        <v>122</v>
      </c>
      <c r="C62" s="193">
        <v>13</v>
      </c>
      <c r="D62" s="193"/>
    </row>
    <row r="63" spans="1:15">
      <c r="A63" s="587"/>
      <c r="B63" s="212" t="s">
        <v>249</v>
      </c>
      <c r="C63" s="193">
        <v>7.32</v>
      </c>
      <c r="D63" s="193"/>
    </row>
    <row r="64" spans="1:15">
      <c r="A64" s="589">
        <v>2008</v>
      </c>
      <c r="B64" s="212" t="s">
        <v>247</v>
      </c>
      <c r="C64" s="193">
        <v>0.59</v>
      </c>
      <c r="D64" s="15"/>
    </row>
    <row r="65" spans="1:5">
      <c r="A65" s="589"/>
      <c r="B65" s="172" t="s">
        <v>123</v>
      </c>
      <c r="C65" s="193">
        <v>0.74</v>
      </c>
      <c r="D65" s="15"/>
    </row>
    <row r="66" spans="1:5">
      <c r="A66" s="589"/>
      <c r="B66" s="172" t="s">
        <v>213</v>
      </c>
      <c r="C66" s="197">
        <v>1.21</v>
      </c>
      <c r="D66" s="15"/>
    </row>
    <row r="67" spans="1:5">
      <c r="A67" s="589"/>
      <c r="B67" s="65" t="s">
        <v>137</v>
      </c>
      <c r="C67" s="197">
        <v>1.21</v>
      </c>
      <c r="D67" s="193">
        <f>C66+C67</f>
        <v>2.42</v>
      </c>
    </row>
    <row r="68" spans="1:5">
      <c r="A68" s="215">
        <v>2009</v>
      </c>
      <c r="B68" s="9" t="s">
        <v>23</v>
      </c>
      <c r="C68" s="193">
        <v>48</v>
      </c>
      <c r="D68" s="15"/>
      <c r="E68" s="9" t="s">
        <v>140</v>
      </c>
    </row>
    <row r="69" spans="1:5">
      <c r="A69" s="589">
        <v>2010</v>
      </c>
      <c r="B69" s="213" t="s">
        <v>20</v>
      </c>
      <c r="C69" s="193">
        <v>35.43</v>
      </c>
      <c r="D69" s="15"/>
    </row>
    <row r="70" spans="1:5">
      <c r="A70" s="589"/>
      <c r="B70" s="213" t="s">
        <v>239</v>
      </c>
      <c r="C70" s="193">
        <v>4.47</v>
      </c>
      <c r="D70" s="15"/>
    </row>
    <row r="71" spans="1:5">
      <c r="A71" s="589"/>
      <c r="B71" s="213" t="s">
        <v>23</v>
      </c>
      <c r="C71" s="193">
        <v>41.2</v>
      </c>
      <c r="D71" s="15"/>
      <c r="E71" s="9" t="s">
        <v>118</v>
      </c>
    </row>
    <row r="72" spans="1:5">
      <c r="A72" s="589"/>
      <c r="B72" s="213" t="s">
        <v>235</v>
      </c>
      <c r="C72" s="197">
        <v>0.87</v>
      </c>
      <c r="D72" s="15"/>
      <c r="E72" s="1"/>
    </row>
    <row r="73" spans="1:5">
      <c r="A73" s="589"/>
      <c r="B73" s="213" t="s">
        <v>26</v>
      </c>
      <c r="C73" s="197">
        <v>34.380000000000003</v>
      </c>
      <c r="D73" s="193">
        <f>C72+C73</f>
        <v>35.25</v>
      </c>
    </row>
    <row r="74" spans="1:5">
      <c r="A74" s="589"/>
      <c r="B74" s="213" t="s">
        <v>148</v>
      </c>
      <c r="C74" s="197">
        <v>5.49</v>
      </c>
      <c r="D74" s="15"/>
    </row>
    <row r="75" spans="1:5">
      <c r="A75" s="589"/>
      <c r="B75" s="213" t="s">
        <v>27</v>
      </c>
      <c r="C75" s="197">
        <v>113.75</v>
      </c>
      <c r="D75" s="193">
        <f>C74+C75</f>
        <v>119.24</v>
      </c>
      <c r="E75" s="1" t="s">
        <v>186</v>
      </c>
    </row>
    <row r="76" spans="1:5">
      <c r="A76" s="589"/>
      <c r="B76" s="213" t="s">
        <v>233</v>
      </c>
      <c r="C76" s="197">
        <v>17.66</v>
      </c>
      <c r="D76" s="193"/>
    </row>
    <row r="77" spans="1:5">
      <c r="A77" s="589"/>
      <c r="B77" s="213" t="s">
        <v>231</v>
      </c>
      <c r="C77" s="197">
        <v>11.4</v>
      </c>
      <c r="D77" s="193"/>
    </row>
    <row r="78" spans="1:5">
      <c r="A78" s="589"/>
      <c r="B78" s="213" t="s">
        <v>234</v>
      </c>
      <c r="C78" s="197">
        <v>11.4</v>
      </c>
      <c r="D78" s="193"/>
    </row>
    <row r="79" spans="1:5">
      <c r="A79" s="589"/>
      <c r="B79" s="213" t="s">
        <v>233</v>
      </c>
      <c r="C79" s="197">
        <v>17.66</v>
      </c>
      <c r="D79" s="193"/>
    </row>
    <row r="80" spans="1:5">
      <c r="A80" s="589"/>
      <c r="B80" s="213" t="s">
        <v>232</v>
      </c>
      <c r="C80" s="197">
        <v>1.89</v>
      </c>
      <c r="D80" s="193"/>
    </row>
    <row r="81" spans="1:13">
      <c r="A81" s="589"/>
      <c r="B81" s="213" t="s">
        <v>28</v>
      </c>
      <c r="C81" s="197">
        <v>397.21</v>
      </c>
      <c r="D81" s="193">
        <f>SUM(C76:C81)</f>
        <v>457.21999999999997</v>
      </c>
      <c r="E81" s="1" t="s">
        <v>182</v>
      </c>
      <c r="M81" s="1"/>
    </row>
    <row r="82" spans="1:13">
      <c r="A82" s="587">
        <v>2011</v>
      </c>
      <c r="B82" s="213" t="s">
        <v>18</v>
      </c>
      <c r="C82" s="193">
        <v>32.25</v>
      </c>
      <c r="D82" s="15"/>
      <c r="E82" s="1" t="s">
        <v>186</v>
      </c>
    </row>
    <row r="83" spans="1:13">
      <c r="A83" s="587"/>
      <c r="B83" s="213" t="s">
        <v>149</v>
      </c>
      <c r="C83" s="197">
        <v>2.68</v>
      </c>
      <c r="D83" s="15"/>
    </row>
    <row r="84" spans="1:13">
      <c r="A84" s="587"/>
      <c r="B84" s="213" t="s">
        <v>19</v>
      </c>
      <c r="C84" s="197">
        <v>11.93</v>
      </c>
      <c r="D84" s="193">
        <f>C83+C84</f>
        <v>14.61</v>
      </c>
      <c r="E84" s="1" t="s">
        <v>186</v>
      </c>
    </row>
    <row r="85" spans="1:13">
      <c r="A85" s="587"/>
      <c r="B85" s="213" t="s">
        <v>20</v>
      </c>
      <c r="C85" s="193">
        <v>14.56</v>
      </c>
      <c r="D85" s="15"/>
      <c r="E85" s="1" t="s">
        <v>186</v>
      </c>
    </row>
    <row r="86" spans="1:13">
      <c r="A86" s="587"/>
      <c r="B86" s="213" t="s">
        <v>214</v>
      </c>
      <c r="C86" s="197">
        <v>3.18</v>
      </c>
      <c r="D86" s="15"/>
      <c r="E86" s="1" t="s">
        <v>215</v>
      </c>
    </row>
    <row r="87" spans="1:13">
      <c r="A87" s="587"/>
      <c r="B87" s="213" t="s">
        <v>21</v>
      </c>
      <c r="C87" s="197">
        <v>23.25</v>
      </c>
      <c r="D87" s="193">
        <f>SUM(C86:C87)</f>
        <v>26.43</v>
      </c>
      <c r="E87" s="1" t="s">
        <v>186</v>
      </c>
    </row>
    <row r="88" spans="1:13">
      <c r="A88" s="587"/>
      <c r="B88" s="213" t="s">
        <v>151</v>
      </c>
      <c r="C88" s="15">
        <v>41.5</v>
      </c>
      <c r="D88" s="15"/>
      <c r="E88" s="1" t="s">
        <v>186</v>
      </c>
    </row>
    <row r="89" spans="1:13">
      <c r="A89" s="587"/>
      <c r="B89" s="213" t="s">
        <v>152</v>
      </c>
      <c r="C89" s="15">
        <v>3</v>
      </c>
      <c r="D89" s="15"/>
    </row>
    <row r="90" spans="1:13">
      <c r="A90" s="587"/>
      <c r="B90" s="213" t="s">
        <v>150</v>
      </c>
      <c r="C90" s="15">
        <v>49.18</v>
      </c>
      <c r="D90" s="193">
        <f>C88+C89+C90</f>
        <v>93.68</v>
      </c>
    </row>
    <row r="91" spans="1:13">
      <c r="A91" s="587"/>
      <c r="B91" s="213" t="s">
        <v>22</v>
      </c>
      <c r="C91" s="214">
        <v>55.47</v>
      </c>
      <c r="D91" s="193"/>
      <c r="E91" s="1" t="s">
        <v>186</v>
      </c>
    </row>
    <row r="92" spans="1:13">
      <c r="A92" s="587"/>
      <c r="B92" s="9" t="s">
        <v>153</v>
      </c>
      <c r="C92" s="193">
        <v>15.78</v>
      </c>
      <c r="D92" s="15"/>
    </row>
    <row r="93" spans="1:13">
      <c r="A93" s="587"/>
      <c r="B93" s="9" t="s">
        <v>154</v>
      </c>
      <c r="C93" s="193">
        <v>10.63</v>
      </c>
      <c r="D93" s="15"/>
    </row>
    <row r="94" spans="1:13">
      <c r="A94" s="589">
        <v>2012</v>
      </c>
      <c r="B94" s="9" t="s">
        <v>20</v>
      </c>
      <c r="C94" s="193">
        <v>126.73</v>
      </c>
      <c r="D94" s="15"/>
      <c r="E94" s="1" t="s">
        <v>186</v>
      </c>
    </row>
    <row r="95" spans="1:13">
      <c r="A95" s="589"/>
      <c r="B95" s="9" t="s">
        <v>156</v>
      </c>
      <c r="C95" s="197">
        <v>4.2699999999999996</v>
      </c>
    </row>
    <row r="96" spans="1:13">
      <c r="A96" s="589"/>
      <c r="B96" s="9" t="s">
        <v>24</v>
      </c>
      <c r="C96" s="211">
        <v>49.25</v>
      </c>
      <c r="D96" s="192">
        <f>C95+C96</f>
        <v>53.519999999999996</v>
      </c>
      <c r="E96" s="1" t="s">
        <v>186</v>
      </c>
    </row>
    <row r="97" spans="1:5">
      <c r="A97" s="589"/>
      <c r="B97" s="9" t="s">
        <v>157</v>
      </c>
      <c r="C97" s="15">
        <v>24.06</v>
      </c>
    </row>
    <row r="98" spans="1:5">
      <c r="A98" s="589"/>
      <c r="B98" s="9" t="s">
        <v>158</v>
      </c>
      <c r="C98" s="15">
        <v>3.44</v>
      </c>
    </row>
    <row r="99" spans="1:5">
      <c r="A99" s="589"/>
      <c r="B99" s="9" t="s">
        <v>159</v>
      </c>
      <c r="C99" s="15">
        <v>8.1</v>
      </c>
      <c r="D99" s="192">
        <f>C97+C98+C99</f>
        <v>35.6</v>
      </c>
    </row>
    <row r="100" spans="1:5">
      <c r="A100" s="587">
        <v>2013</v>
      </c>
      <c r="B100" s="9" t="s">
        <v>19</v>
      </c>
      <c r="C100" s="193">
        <v>16.07</v>
      </c>
      <c r="E100" s="1" t="s">
        <v>186</v>
      </c>
    </row>
    <row r="101" spans="1:5">
      <c r="A101" s="587"/>
      <c r="B101" s="9" t="s">
        <v>20</v>
      </c>
      <c r="C101" s="193">
        <v>17.27</v>
      </c>
      <c r="E101" s="1" t="s">
        <v>186</v>
      </c>
    </row>
    <row r="102" spans="1:5">
      <c r="A102" s="587"/>
      <c r="B102" s="9" t="s">
        <v>160</v>
      </c>
      <c r="C102" s="193">
        <v>26.42</v>
      </c>
      <c r="E102" s="1"/>
    </row>
    <row r="103" spans="1:5">
      <c r="A103" s="587"/>
      <c r="B103" s="213" t="s">
        <v>2</v>
      </c>
      <c r="C103" s="197">
        <v>19.309999999999999</v>
      </c>
      <c r="E103" s="1"/>
    </row>
    <row r="104" spans="1:5">
      <c r="A104" s="587"/>
      <c r="B104" s="213" t="s">
        <v>229</v>
      </c>
      <c r="C104" s="197">
        <v>21.15</v>
      </c>
      <c r="D104" s="192">
        <f>C103+C104</f>
        <v>40.459999999999994</v>
      </c>
      <c r="E104" s="9" t="s">
        <v>230</v>
      </c>
    </row>
    <row r="105" spans="1:5">
      <c r="C105" s="15"/>
    </row>
  </sheetData>
  <mergeCells count="10">
    <mergeCell ref="A94:A99"/>
    <mergeCell ref="A100:A104"/>
    <mergeCell ref="A69:A81"/>
    <mergeCell ref="A64:A67"/>
    <mergeCell ref="A20:O20"/>
    <mergeCell ref="A23:A33"/>
    <mergeCell ref="A59:A63"/>
    <mergeCell ref="A34:A49"/>
    <mergeCell ref="A82:A93"/>
    <mergeCell ref="A50:A5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N27" sqref="N27"/>
    </sheetView>
  </sheetViews>
  <sheetFormatPr defaultRowHeight="15"/>
  <cols>
    <col min="1" max="1" width="5" style="22" bestFit="1" customWidth="1"/>
    <col min="2" max="2" width="8" style="22" bestFit="1" customWidth="1"/>
    <col min="3" max="3" width="9" style="22" bestFit="1" customWidth="1"/>
    <col min="4" max="8" width="8" style="22" bestFit="1" customWidth="1"/>
    <col min="9" max="9" width="8.44140625" style="22" bestFit="1" customWidth="1"/>
    <col min="10" max="11" width="9" style="22" bestFit="1" customWidth="1"/>
    <col min="12" max="12" width="8.44140625" style="22" bestFit="1" customWidth="1"/>
    <col min="13" max="13" width="9" style="22" bestFit="1" customWidth="1"/>
    <col min="14" max="14" width="10.44140625" style="22" bestFit="1" customWidth="1"/>
    <col min="15" max="15" width="11.44140625" style="22" bestFit="1" customWidth="1"/>
    <col min="16" max="16" width="9" style="31" bestFit="1" customWidth="1"/>
    <col min="17" max="17" width="10.44140625" style="22" bestFit="1" customWidth="1"/>
    <col min="18" max="19" width="9" style="22" bestFit="1" customWidth="1"/>
    <col min="20" max="20" width="12.44140625" style="22" bestFit="1" customWidth="1"/>
    <col min="21" max="21" width="8.88671875" style="22"/>
    <col min="22" max="22" width="12.44140625" style="22" bestFit="1" customWidth="1"/>
    <col min="23" max="16384" width="8.88671875" style="22"/>
  </cols>
  <sheetData>
    <row r="1" spans="1:22">
      <c r="A1" s="584"/>
      <c r="B1" s="580" t="s">
        <v>18</v>
      </c>
      <c r="C1" s="582" t="s">
        <v>19</v>
      </c>
      <c r="D1" s="580" t="s">
        <v>20</v>
      </c>
      <c r="E1" s="578" t="s">
        <v>21</v>
      </c>
      <c r="F1" s="580" t="s">
        <v>2</v>
      </c>
      <c r="G1" s="582" t="s">
        <v>22</v>
      </c>
      <c r="H1" s="580" t="s">
        <v>23</v>
      </c>
      <c r="I1" s="578" t="s">
        <v>24</v>
      </c>
      <c r="J1" s="580" t="s">
        <v>25</v>
      </c>
      <c r="K1" s="582" t="s">
        <v>26</v>
      </c>
      <c r="L1" s="580" t="s">
        <v>27</v>
      </c>
      <c r="M1" s="578" t="s">
        <v>28</v>
      </c>
      <c r="N1" s="78"/>
      <c r="O1" s="147"/>
    </row>
    <row r="2" spans="1:22" ht="15.75" thickBot="1">
      <c r="A2" s="585"/>
      <c r="B2" s="581"/>
      <c r="C2" s="583"/>
      <c r="D2" s="581"/>
      <c r="E2" s="579"/>
      <c r="F2" s="581"/>
      <c r="G2" s="583"/>
      <c r="H2" s="581"/>
      <c r="I2" s="579"/>
      <c r="J2" s="581"/>
      <c r="K2" s="583"/>
      <c r="L2" s="581"/>
      <c r="M2" s="579"/>
      <c r="N2" s="37" t="s">
        <v>39</v>
      </c>
      <c r="O2" s="146" t="s">
        <v>74</v>
      </c>
    </row>
    <row r="3" spans="1:22">
      <c r="A3" s="25">
        <v>1998</v>
      </c>
      <c r="B3" s="26"/>
      <c r="C3" s="26"/>
      <c r="D3" s="26"/>
      <c r="E3" s="26"/>
      <c r="F3" s="26"/>
      <c r="G3" s="26"/>
      <c r="H3" s="26"/>
      <c r="I3" s="27"/>
      <c r="J3" s="27">
        <f>'281ι1'!J2*6/9</f>
        <v>72.346666666666664</v>
      </c>
      <c r="K3" s="27">
        <f>'281ι1'!K2*6/9</f>
        <v>97.046666666666667</v>
      </c>
      <c r="L3" s="27">
        <f>'281ι1'!L2*6/9</f>
        <v>10.546666666666667</v>
      </c>
      <c r="M3" s="27">
        <f>'281ι1'!M2*6/9</f>
        <v>19.52</v>
      </c>
      <c r="N3" s="27">
        <f>'281ι1'!N2*6/9</f>
        <v>199.45999999999995</v>
      </c>
      <c r="O3" s="36">
        <f>'281ι1'!O2*6/9</f>
        <v>2283.3333333333335</v>
      </c>
      <c r="Q3" s="31"/>
      <c r="T3" s="31"/>
      <c r="V3" s="66"/>
    </row>
    <row r="4" spans="1:22">
      <c r="A4" s="28">
        <v>1999</v>
      </c>
      <c r="B4" s="27">
        <f>'281ι1'!B3*6/9</f>
        <v>6.9066666666666663</v>
      </c>
      <c r="C4" s="27">
        <f>'281ι1'!C3*6/9</f>
        <v>8.7666666666666675</v>
      </c>
      <c r="D4" s="27">
        <f>'281ι1'!D3*6/9</f>
        <v>11.573333333333332</v>
      </c>
      <c r="E4" s="27">
        <f>'281ι1'!E3*6/9</f>
        <v>23.573333333333334</v>
      </c>
      <c r="F4" s="27">
        <f>'281ι1'!F3*6/9</f>
        <v>8.2999999999999989</v>
      </c>
      <c r="G4" s="27">
        <f>'281ι1'!G3*6/9</f>
        <v>0</v>
      </c>
      <c r="H4" s="27">
        <f>'281ι1'!H3*6/9</f>
        <v>0</v>
      </c>
      <c r="I4" s="27">
        <f>'281ι1'!I3*6/9</f>
        <v>0</v>
      </c>
      <c r="J4" s="27">
        <f>'281ι1'!J3*6/9</f>
        <v>0</v>
      </c>
      <c r="K4" s="27">
        <f>'281ι1'!K3*6/9</f>
        <v>2.4000000000000004</v>
      </c>
      <c r="L4" s="27">
        <f>'281ι1'!L3*6/9</f>
        <v>0</v>
      </c>
      <c r="M4" s="27">
        <f>'281ι1'!M3*6/9</f>
        <v>0</v>
      </c>
      <c r="N4" s="61">
        <f>SUM(B4:M4)</f>
        <v>61.519999999999996</v>
      </c>
      <c r="O4" s="36">
        <f>'281ι1'!O3*6/9</f>
        <v>634.66666666666663</v>
      </c>
      <c r="Q4" s="31"/>
      <c r="R4" s="31"/>
      <c r="T4" s="31"/>
      <c r="V4" s="31"/>
    </row>
    <row r="5" spans="1:22">
      <c r="A5" s="28">
        <v>2000</v>
      </c>
      <c r="B5" s="27">
        <f>'281ι1'!B4*6/9</f>
        <v>0</v>
      </c>
      <c r="C5" s="27">
        <f>'281ι1'!C4*6/9</f>
        <v>0</v>
      </c>
      <c r="D5" s="27">
        <f>'281ι1'!D4*6/9</f>
        <v>0.98</v>
      </c>
      <c r="E5" s="27">
        <f>'281ι1'!E4*6/9</f>
        <v>0</v>
      </c>
      <c r="F5" s="27">
        <f>'281ι1'!F4*6/9</f>
        <v>1.1866666666666665</v>
      </c>
      <c r="G5" s="27">
        <f>'281ι1'!G4*6/9</f>
        <v>0</v>
      </c>
      <c r="H5" s="27">
        <f>'281ι1'!H4*6/9</f>
        <v>0</v>
      </c>
      <c r="I5" s="27">
        <f>'281ι1'!I4*6/9</f>
        <v>0</v>
      </c>
      <c r="J5" s="27">
        <f>'281ι1'!J4*6/9</f>
        <v>0</v>
      </c>
      <c r="K5" s="27">
        <f>'281ι1'!K4*6/9</f>
        <v>11.406666666666666</v>
      </c>
      <c r="L5" s="27">
        <f>'281ι1'!L4*6/9</f>
        <v>0</v>
      </c>
      <c r="M5" s="27">
        <f>'281ι1'!M4*6/9</f>
        <v>0</v>
      </c>
      <c r="N5" s="61">
        <f t="shared" ref="N5:N18" si="0">SUM(B5:M5)</f>
        <v>13.573333333333332</v>
      </c>
      <c r="O5" s="36">
        <f>'281ι1'!O4*6/9</f>
        <v>107.33333333333333</v>
      </c>
      <c r="Q5" s="31"/>
      <c r="R5" s="31"/>
      <c r="S5" s="31"/>
      <c r="T5" s="31"/>
    </row>
    <row r="6" spans="1:22">
      <c r="A6" s="28">
        <v>2001</v>
      </c>
      <c r="B6" s="27">
        <f>'281ι1'!B5*6/9</f>
        <v>0</v>
      </c>
      <c r="C6" s="27">
        <f>'281ι1'!C5*6/9</f>
        <v>0</v>
      </c>
      <c r="D6" s="27">
        <f>'281ι1'!D5*6/9</f>
        <v>0</v>
      </c>
      <c r="E6" s="27">
        <f>'281ι1'!E5*6/9</f>
        <v>0</v>
      </c>
      <c r="F6" s="27">
        <f>'281ι1'!F5*6/9</f>
        <v>0</v>
      </c>
      <c r="G6" s="27">
        <f>'281ι1'!G5*6/9</f>
        <v>0</v>
      </c>
      <c r="H6" s="27">
        <f>'281ι1'!H5*6/9</f>
        <v>0</v>
      </c>
      <c r="I6" s="27">
        <f>'281ι1'!I5*6/9</f>
        <v>0</v>
      </c>
      <c r="J6" s="27">
        <f>'281ι1'!J5*6/9</f>
        <v>0</v>
      </c>
      <c r="K6" s="27">
        <f>'281ι1'!K5*6/9</f>
        <v>0</v>
      </c>
      <c r="L6" s="27">
        <f>'281ι1'!L5*6/9</f>
        <v>0</v>
      </c>
      <c r="M6" s="27">
        <f>'281ι1'!M5*6/9</f>
        <v>0</v>
      </c>
      <c r="N6" s="61">
        <f t="shared" si="0"/>
        <v>0</v>
      </c>
      <c r="O6" s="36">
        <f>'281ι1'!O5*6/9</f>
        <v>0</v>
      </c>
      <c r="R6" s="31"/>
      <c r="S6" s="31"/>
    </row>
    <row r="7" spans="1:22">
      <c r="A7" s="28">
        <v>2002</v>
      </c>
      <c r="B7" s="27">
        <f>'281ι1'!B6*6/9</f>
        <v>0</v>
      </c>
      <c r="C7" s="27">
        <f>'281ι1'!C6*6/9</f>
        <v>0</v>
      </c>
      <c r="D7" s="27">
        <f>'281ι1'!D6*6/9</f>
        <v>0</v>
      </c>
      <c r="E7" s="27">
        <f>'281ι1'!E6*6/9</f>
        <v>0</v>
      </c>
      <c r="F7" s="27">
        <f>'281ι1'!F6*6/9</f>
        <v>0</v>
      </c>
      <c r="G7" s="27">
        <f>'281ι1'!G6*6/9</f>
        <v>0</v>
      </c>
      <c r="H7" s="27">
        <f>'281ι1'!H6*6/9</f>
        <v>0</v>
      </c>
      <c r="I7" s="27">
        <f>'281ι1'!I6*6/9</f>
        <v>0</v>
      </c>
      <c r="J7" s="27">
        <f>'281ι1'!J6*6/9</f>
        <v>0</v>
      </c>
      <c r="K7" s="27">
        <f>'281ι1'!K6*6/9</f>
        <v>0</v>
      </c>
      <c r="L7" s="27">
        <f>'281ι1'!L6*6/9</f>
        <v>0</v>
      </c>
      <c r="M7" s="27">
        <f>'281ι1'!M6*6/9</f>
        <v>0</v>
      </c>
      <c r="N7" s="61">
        <f t="shared" si="0"/>
        <v>0</v>
      </c>
      <c r="O7" s="36">
        <f>'281ι1'!O6*6/9</f>
        <v>0</v>
      </c>
      <c r="S7" s="31"/>
      <c r="T7" s="57"/>
    </row>
    <row r="8" spans="1:22">
      <c r="A8" s="28">
        <v>2003</v>
      </c>
      <c r="B8" s="27">
        <f>'281ι1'!B7*6/9</f>
        <v>0</v>
      </c>
      <c r="C8" s="27">
        <f>'281ι1'!C7*6/9</f>
        <v>0</v>
      </c>
      <c r="D8" s="27">
        <f>'281ι1'!D7*6/9</f>
        <v>0</v>
      </c>
      <c r="E8" s="27">
        <f>'281ι1'!E7*6/9</f>
        <v>0</v>
      </c>
      <c r="F8" s="27">
        <f>'281ι1'!F7*6/9</f>
        <v>0</v>
      </c>
      <c r="G8" s="27">
        <f>'281ι1'!G7*6/9</f>
        <v>0</v>
      </c>
      <c r="H8" s="27">
        <f>'281ι1'!H7*6/9</f>
        <v>0</v>
      </c>
      <c r="I8" s="27">
        <f>'281ι1'!I7*6/9</f>
        <v>0</v>
      </c>
      <c r="J8" s="27">
        <f>'281ι1'!J7*6/9</f>
        <v>0</v>
      </c>
      <c r="K8" s="27">
        <f>'281ι1'!K7*6/9</f>
        <v>0</v>
      </c>
      <c r="L8" s="27">
        <f>'281ι1'!L7*6/9</f>
        <v>0</v>
      </c>
      <c r="M8" s="27">
        <f>'281ι1'!M7*6/9</f>
        <v>0</v>
      </c>
      <c r="N8" s="61">
        <f t="shared" si="0"/>
        <v>0</v>
      </c>
      <c r="O8" s="36">
        <f>'281ι1'!O7*6/9</f>
        <v>0</v>
      </c>
      <c r="S8" s="31"/>
    </row>
    <row r="9" spans="1:22">
      <c r="A9" s="28">
        <v>2004</v>
      </c>
      <c r="B9" s="27">
        <f>'281ι1'!B8*6/9</f>
        <v>0</v>
      </c>
      <c r="C9" s="27">
        <f>'281ι1'!C8*6/9</f>
        <v>0</v>
      </c>
      <c r="D9" s="27">
        <f>'281ι1'!D8*6/9</f>
        <v>0</v>
      </c>
      <c r="E9" s="27">
        <f>'281ι1'!E8*6/9</f>
        <v>0</v>
      </c>
      <c r="F9" s="27">
        <f>'281ι1'!F8*6/9</f>
        <v>0</v>
      </c>
      <c r="G9" s="27">
        <f>'281ι1'!G8*6/9</f>
        <v>0</v>
      </c>
      <c r="H9" s="27">
        <f>'281ι1'!H8*6/9</f>
        <v>0</v>
      </c>
      <c r="I9" s="27">
        <f>'281ι1'!I8*6/9</f>
        <v>0</v>
      </c>
      <c r="J9" s="27">
        <f>'281ι1'!J8*6/9</f>
        <v>0</v>
      </c>
      <c r="K9" s="27">
        <f>'281ι1'!K8*6/9</f>
        <v>0</v>
      </c>
      <c r="L9" s="27">
        <f>'281ι1'!L8*6/9</f>
        <v>0</v>
      </c>
      <c r="M9" s="27">
        <f>'281ι1'!M8*6/9</f>
        <v>0</v>
      </c>
      <c r="N9" s="61">
        <f t="shared" si="0"/>
        <v>0</v>
      </c>
      <c r="O9" s="36">
        <f>'281ι1'!O8*6/9</f>
        <v>0</v>
      </c>
      <c r="S9" s="31"/>
    </row>
    <row r="10" spans="1:22">
      <c r="A10" s="28">
        <v>2005</v>
      </c>
      <c r="B10" s="27">
        <f>'281ι1'!B9*6/9</f>
        <v>0</v>
      </c>
      <c r="C10" s="27">
        <f>'281ι1'!C9*6/9</f>
        <v>0</v>
      </c>
      <c r="D10" s="27">
        <f>'281ι1'!D9*6/9</f>
        <v>0</v>
      </c>
      <c r="E10" s="27">
        <f>'281ι1'!E9*6/9</f>
        <v>0</v>
      </c>
      <c r="F10" s="27">
        <f>'281ι1'!F9*6/9</f>
        <v>0</v>
      </c>
      <c r="G10" s="27">
        <f>'281ι1'!G9*6/9</f>
        <v>0</v>
      </c>
      <c r="H10" s="27">
        <f>'281ι1'!H9*6/9</f>
        <v>0</v>
      </c>
      <c r="I10" s="27">
        <f>'281ι1'!I9*6/9</f>
        <v>0</v>
      </c>
      <c r="J10" s="27">
        <f>'281ι1'!J9*6/9</f>
        <v>0</v>
      </c>
      <c r="K10" s="27">
        <f>'281ι1'!K9*6/9</f>
        <v>0</v>
      </c>
      <c r="L10" s="27">
        <f>'281ι1'!L9*6/9</f>
        <v>0</v>
      </c>
      <c r="M10" s="27">
        <f>'281ι1'!M9*6/9</f>
        <v>0</v>
      </c>
      <c r="N10" s="61">
        <f t="shared" si="0"/>
        <v>0</v>
      </c>
      <c r="O10" s="36">
        <f>'281ι1'!O9*6/9</f>
        <v>0</v>
      </c>
      <c r="S10" s="31"/>
    </row>
    <row r="11" spans="1:22">
      <c r="A11" s="28">
        <v>2006</v>
      </c>
      <c r="B11" s="27">
        <f>'281ι1'!B10*6/9</f>
        <v>0</v>
      </c>
      <c r="C11" s="27">
        <f>'281ι1'!C10*6/9</f>
        <v>0</v>
      </c>
      <c r="D11" s="27">
        <f>'281ι1'!D10*6/9</f>
        <v>0</v>
      </c>
      <c r="E11" s="27">
        <f>'281ι1'!E10*6/9</f>
        <v>0</v>
      </c>
      <c r="F11" s="27">
        <f>'281ι1'!F10*6/9</f>
        <v>0</v>
      </c>
      <c r="G11" s="27">
        <f>'281ι1'!G10*6/9</f>
        <v>0</v>
      </c>
      <c r="H11" s="27">
        <f>'281ι1'!H10*6/9</f>
        <v>0</v>
      </c>
      <c r="I11" s="27">
        <f>'281ι1'!I10*6/9</f>
        <v>0</v>
      </c>
      <c r="J11" s="27">
        <f>'281ι1'!J10*6/9</f>
        <v>0</v>
      </c>
      <c r="K11" s="27">
        <f>'281ι1'!K10*6/9</f>
        <v>0</v>
      </c>
      <c r="L11" s="27">
        <f>'281ι1'!L10*6/9</f>
        <v>0</v>
      </c>
      <c r="M11" s="27">
        <f>'281ι1'!M10*6/9</f>
        <v>0</v>
      </c>
      <c r="N11" s="61">
        <f t="shared" si="0"/>
        <v>0</v>
      </c>
      <c r="O11" s="36">
        <f>'281ι1'!O10*6/9</f>
        <v>0</v>
      </c>
      <c r="S11" s="31"/>
    </row>
    <row r="12" spans="1:22">
      <c r="A12" s="28">
        <v>2007</v>
      </c>
      <c r="B12" s="27">
        <f>'281ι1'!B11*6/9</f>
        <v>0</v>
      </c>
      <c r="C12" s="27">
        <f>'281ι1'!C11*6/9</f>
        <v>0</v>
      </c>
      <c r="D12" s="27">
        <f>'281ι1'!D11*6/9</f>
        <v>0</v>
      </c>
      <c r="E12" s="27">
        <f>'281ι1'!E11*6/9</f>
        <v>0</v>
      </c>
      <c r="F12" s="27">
        <f>'281ι1'!F11*6/9</f>
        <v>14.866666666666667</v>
      </c>
      <c r="G12" s="27">
        <f>'281ι1'!G11*6/9</f>
        <v>52.473333333333329</v>
      </c>
      <c r="H12" s="27">
        <f>'281ι1'!H11*6/9</f>
        <v>8.6666666666666661</v>
      </c>
      <c r="I12" s="27">
        <f>'281ι1'!I11*6/9</f>
        <v>0</v>
      </c>
      <c r="J12" s="27">
        <f>'281ι1'!J11*6/9</f>
        <v>0</v>
      </c>
      <c r="K12" s="27">
        <f>'281ι1'!K11*6/9</f>
        <v>4.88</v>
      </c>
      <c r="L12" s="27">
        <f>'281ι1'!L11*6/9</f>
        <v>0</v>
      </c>
      <c r="M12" s="27">
        <f>'281ι1'!M11*6/9</f>
        <v>0</v>
      </c>
      <c r="N12" s="61">
        <f t="shared" si="0"/>
        <v>80.88666666666667</v>
      </c>
      <c r="O12" s="36">
        <f>'281ι1'!O11*6/9</f>
        <v>301.33333333333331</v>
      </c>
      <c r="S12" s="31"/>
    </row>
    <row r="13" spans="1:22">
      <c r="A13" s="28">
        <v>2008</v>
      </c>
      <c r="B13" s="27">
        <f>'281ι1'!B12*6/9</f>
        <v>0</v>
      </c>
      <c r="C13" s="27">
        <f>'281ι1'!C12*6/9</f>
        <v>0</v>
      </c>
      <c r="D13" s="27">
        <f>'281ι1'!D12*6/9</f>
        <v>0</v>
      </c>
      <c r="E13" s="27">
        <f>'281ι1'!E12*6/9</f>
        <v>0.39333333333333331</v>
      </c>
      <c r="F13" s="27">
        <f>'281ι1'!F12*6/9</f>
        <v>0</v>
      </c>
      <c r="G13" s="27">
        <f>'281ι1'!G12*6/9</f>
        <v>0</v>
      </c>
      <c r="H13" s="27">
        <f>'281ι1'!H12*6/9</f>
        <v>0</v>
      </c>
      <c r="I13" s="27">
        <f>'281ι1'!I12*6/9</f>
        <v>0</v>
      </c>
      <c r="J13" s="27">
        <f>'281ι1'!J12*6/9</f>
        <v>0</v>
      </c>
      <c r="K13" s="27">
        <f>'281ι1'!K12*6/9</f>
        <v>0.49333333333333329</v>
      </c>
      <c r="L13" s="27">
        <f>'281ι1'!L12*6/9</f>
        <v>1.6133333333333333</v>
      </c>
      <c r="M13" s="27">
        <f>'281ι1'!M12*6/9</f>
        <v>0</v>
      </c>
      <c r="N13" s="61">
        <f t="shared" si="0"/>
        <v>2.5</v>
      </c>
      <c r="O13" s="36">
        <f>'281ι1'!O12*6/9</f>
        <v>8</v>
      </c>
      <c r="T13" s="31"/>
    </row>
    <row r="14" spans="1:22">
      <c r="A14" s="28">
        <v>2009</v>
      </c>
      <c r="B14" s="27">
        <f>'281ι1'!B13*6/9</f>
        <v>0</v>
      </c>
      <c r="C14" s="27">
        <f>'281ι1'!C13*6/9</f>
        <v>0</v>
      </c>
      <c r="D14" s="27">
        <f>'281ι1'!D13*6/9</f>
        <v>0</v>
      </c>
      <c r="E14" s="27">
        <f>'281ι1'!E13*6/9</f>
        <v>0</v>
      </c>
      <c r="F14" s="27">
        <f>'281ι1'!F13*6/9</f>
        <v>0</v>
      </c>
      <c r="G14" s="27">
        <f>'281ι1'!G13*6/9</f>
        <v>0</v>
      </c>
      <c r="H14" s="27">
        <f>'281ι1'!H13*6/9</f>
        <v>32</v>
      </c>
      <c r="I14" s="27">
        <f>'281ι1'!I13*6/9</f>
        <v>0</v>
      </c>
      <c r="J14" s="27">
        <f>'281ι1'!J13*6/9</f>
        <v>0</v>
      </c>
      <c r="K14" s="27">
        <f>'281ι1'!K13*6/9</f>
        <v>0</v>
      </c>
      <c r="L14" s="27">
        <f>'281ι1'!L13*6/9</f>
        <v>0</v>
      </c>
      <c r="M14" s="27">
        <f>'281ι1'!M13*6/9</f>
        <v>0</v>
      </c>
      <c r="N14" s="61">
        <f t="shared" si="0"/>
        <v>32</v>
      </c>
      <c r="O14" s="36">
        <f>'281ι1'!O13*6/9</f>
        <v>95.333333333333329</v>
      </c>
      <c r="T14" s="31"/>
    </row>
    <row r="15" spans="1:22">
      <c r="A15" s="28">
        <v>2010</v>
      </c>
      <c r="B15" s="27">
        <f>'281ι1'!B14*6/9</f>
        <v>0</v>
      </c>
      <c r="C15" s="27">
        <f>'281ι1'!C14*6/9</f>
        <v>0</v>
      </c>
      <c r="D15" s="27">
        <f>'281ι1'!D14*6/9</f>
        <v>23.619999999999997</v>
      </c>
      <c r="E15" s="27">
        <f>'281ι1'!E14*6/9</f>
        <v>0</v>
      </c>
      <c r="F15" s="27">
        <f>'281ι1'!F14*6/9</f>
        <v>2.98</v>
      </c>
      <c r="G15" s="27">
        <f>'281ι1'!G14*6/9</f>
        <v>0</v>
      </c>
      <c r="H15" s="27">
        <f>'281ι1'!H14*6/9</f>
        <v>27.466666666666669</v>
      </c>
      <c r="I15" s="27">
        <f>'281ι1'!I14*6/9</f>
        <v>0</v>
      </c>
      <c r="J15" s="27">
        <f>'281ι1'!J14*6/9</f>
        <v>0</v>
      </c>
      <c r="K15" s="27">
        <f>'281ι1'!K14*6/9</f>
        <v>23.5</v>
      </c>
      <c r="L15" s="27">
        <f>'281ι1'!L14*6/9</f>
        <v>79.493333333333325</v>
      </c>
      <c r="M15" s="27">
        <f>'281ι1'!M14*6/9</f>
        <v>304.81333333333333</v>
      </c>
      <c r="N15" s="61">
        <f t="shared" si="0"/>
        <v>461.87333333333333</v>
      </c>
      <c r="O15" s="36">
        <f>'281ι1'!O14*6/9</f>
        <v>1220.6666666666667</v>
      </c>
      <c r="T15" s="31"/>
    </row>
    <row r="16" spans="1:22">
      <c r="A16" s="28">
        <v>2011</v>
      </c>
      <c r="B16" s="27">
        <f>'281ι1'!B15*6/9</f>
        <v>21.5</v>
      </c>
      <c r="C16" s="27">
        <f>'281ι1'!C15*6/9</f>
        <v>9.74</v>
      </c>
      <c r="D16" s="27">
        <f>'281ι1'!D15*6/9</f>
        <v>9.706666666666667</v>
      </c>
      <c r="E16" s="27">
        <f>'281ι1'!E15*6/9</f>
        <v>17.619999999999997</v>
      </c>
      <c r="F16" s="27">
        <f>'281ι1'!F15*6/9</f>
        <v>62.45333333333334</v>
      </c>
      <c r="G16" s="27">
        <f>'281ι1'!G15*6/9</f>
        <v>36.979999999999997</v>
      </c>
      <c r="H16" s="27">
        <f>'281ι1'!H15*6/9</f>
        <v>0</v>
      </c>
      <c r="I16" s="27">
        <f>'281ι1'!I15*6/9</f>
        <v>10.52</v>
      </c>
      <c r="J16" s="27">
        <f>'281ι1'!J15*6/9</f>
        <v>7.0866666666666669</v>
      </c>
      <c r="K16" s="27">
        <f>'281ι1'!K15*6/9</f>
        <v>0</v>
      </c>
      <c r="L16" s="27">
        <f>'281ι1'!L15*6/9</f>
        <v>0</v>
      </c>
      <c r="M16" s="27">
        <f>'281ι1'!M15*6/9</f>
        <v>0</v>
      </c>
      <c r="N16" s="61">
        <f t="shared" si="0"/>
        <v>175.60666666666668</v>
      </c>
      <c r="O16" s="36">
        <f>'281ι1'!O15*6/9</f>
        <v>444.66666666666669</v>
      </c>
      <c r="T16" s="31"/>
    </row>
    <row r="17" spans="1:20">
      <c r="A17" s="28">
        <v>2012</v>
      </c>
      <c r="B17" s="27">
        <f>'281ι1'!B16*6/9</f>
        <v>0</v>
      </c>
      <c r="C17" s="27">
        <f>'281ι1'!C16*6/9</f>
        <v>0</v>
      </c>
      <c r="D17" s="27">
        <f>'281ι1'!D16*6/9</f>
        <v>84.486666666666665</v>
      </c>
      <c r="E17" s="27">
        <f>'281ι1'!E16*6/9</f>
        <v>0</v>
      </c>
      <c r="F17" s="27">
        <f>'281ι1'!F16*6/9</f>
        <v>0</v>
      </c>
      <c r="G17" s="27">
        <f>'281ι1'!G16*6/9</f>
        <v>0</v>
      </c>
      <c r="H17" s="27">
        <f>'281ι1'!H16*6/9</f>
        <v>0</v>
      </c>
      <c r="I17" s="27">
        <f>'281ι1'!I16*6/9</f>
        <v>35.68</v>
      </c>
      <c r="J17" s="27">
        <f>'281ι1'!J16*6/9</f>
        <v>0</v>
      </c>
      <c r="K17" s="27">
        <f>'281ι1'!K16*6/9</f>
        <v>0</v>
      </c>
      <c r="L17" s="27">
        <f>'281ι1'!L16*6/9</f>
        <v>23.733333333333334</v>
      </c>
      <c r="M17" s="27">
        <f>'281ι1'!M16*6/9</f>
        <v>0</v>
      </c>
      <c r="N17" s="61">
        <f t="shared" si="0"/>
        <v>143.89999999999998</v>
      </c>
      <c r="O17" s="36">
        <f>'281ι1'!O16*6/9</f>
        <v>331.33333333333331</v>
      </c>
      <c r="T17" s="31"/>
    </row>
    <row r="18" spans="1:20" ht="15.75">
      <c r="A18" s="28">
        <v>2013</v>
      </c>
      <c r="B18" s="27">
        <f>'281ι1'!B17*6/9</f>
        <v>0</v>
      </c>
      <c r="C18" s="27">
        <f>'281ι1'!C17*6/9</f>
        <v>10.713333333333333</v>
      </c>
      <c r="D18" s="27">
        <f>'281ι1'!D17*6/9</f>
        <v>11.513333333333334</v>
      </c>
      <c r="E18" s="27">
        <f>'281ι1'!E17*6/9</f>
        <v>17.613333333333333</v>
      </c>
      <c r="F18" s="27">
        <f>'281ι1'!F17*6/9</f>
        <v>26.973333333333333</v>
      </c>
      <c r="G18" s="29"/>
      <c r="H18" s="29"/>
      <c r="I18" s="29"/>
      <c r="J18" s="29"/>
      <c r="K18" s="29"/>
      <c r="L18" s="29"/>
      <c r="M18" s="29"/>
      <c r="N18" s="61">
        <f t="shared" si="0"/>
        <v>66.813333333333333</v>
      </c>
      <c r="O18" s="36">
        <f>'281ι1'!O17*6/9</f>
        <v>143.33333333333334</v>
      </c>
      <c r="Q18" s="30"/>
      <c r="R18" s="30"/>
      <c r="T18" s="31"/>
    </row>
    <row r="19" spans="1:20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67">
        <f>SUM(N3:N18)</f>
        <v>1238.1333333333334</v>
      </c>
      <c r="O19" s="106">
        <f>SUM(O3:O18)</f>
        <v>5570</v>
      </c>
    </row>
    <row r="20" spans="1:20">
      <c r="M20" t="s">
        <v>84</v>
      </c>
      <c r="N20" s="57">
        <f>N19*30%</f>
        <v>371.44</v>
      </c>
      <c r="O20" s="86">
        <f>O19*30%</f>
        <v>1671</v>
      </c>
    </row>
    <row r="21" spans="1:20">
      <c r="O21" s="304" t="s">
        <v>470</v>
      </c>
    </row>
    <row r="22" spans="1:20">
      <c r="O22" s="148">
        <v>45324</v>
      </c>
    </row>
    <row r="23" spans="1:20">
      <c r="A23" s="577" t="s">
        <v>101</v>
      </c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</row>
    <row r="24" spans="1:20">
      <c r="A24" s="577"/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</row>
  </sheetData>
  <mergeCells count="14">
    <mergeCell ref="A23:M24"/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95"/>
  <sheetViews>
    <sheetView topLeftCell="C1" workbookViewId="0">
      <pane ySplit="2" topLeftCell="A3" activePane="bottomLeft" state="frozen"/>
      <selection pane="bottomLeft" activeCell="Z35" sqref="Z35"/>
    </sheetView>
  </sheetViews>
  <sheetFormatPr defaultRowHeight="12.75"/>
  <cols>
    <col min="1" max="1" width="5" style="9" bestFit="1" customWidth="1"/>
    <col min="2" max="2" width="6.44140625" style="9" customWidth="1"/>
    <col min="3" max="3" width="8" style="9" bestFit="1" customWidth="1"/>
    <col min="4" max="5" width="9" style="9" bestFit="1" customWidth="1"/>
    <col min="6" max="7" width="7.21875" style="9" bestFit="1" customWidth="1"/>
    <col min="8" max="8" width="7.33203125" style="9" customWidth="1"/>
    <col min="9" max="9" width="7.21875" style="9" bestFit="1" customWidth="1"/>
    <col min="10" max="10" width="6.44140625" style="9" bestFit="1" customWidth="1"/>
    <col min="11" max="11" width="7.21875" style="9" bestFit="1" customWidth="1"/>
    <col min="12" max="12" width="6.44140625" style="9" bestFit="1" customWidth="1"/>
    <col min="13" max="13" width="7.21875" style="9" bestFit="1" customWidth="1"/>
    <col min="14" max="14" width="8.44140625" style="9" bestFit="1" customWidth="1"/>
    <col min="15" max="15" width="7.44140625" style="9" bestFit="1" customWidth="1"/>
    <col min="16" max="19" width="6.44140625" style="9" bestFit="1" customWidth="1"/>
    <col min="20" max="20" width="5.21875" style="9" bestFit="1" customWidth="1"/>
    <col min="21" max="22" width="6.44140625" style="9" bestFit="1" customWidth="1"/>
    <col min="23" max="16384" width="8.88671875" style="9"/>
  </cols>
  <sheetData>
    <row r="1" spans="1:28">
      <c r="A1" s="549"/>
      <c r="B1" s="594" t="s">
        <v>18</v>
      </c>
      <c r="C1" s="592" t="s">
        <v>19</v>
      </c>
      <c r="D1" s="594" t="s">
        <v>20</v>
      </c>
      <c r="E1" s="596" t="s">
        <v>21</v>
      </c>
      <c r="F1" s="594" t="s">
        <v>2</v>
      </c>
      <c r="G1" s="592" t="s">
        <v>22</v>
      </c>
      <c r="H1" s="594" t="s">
        <v>23</v>
      </c>
      <c r="I1" s="596" t="s">
        <v>24</v>
      </c>
      <c r="J1" s="594" t="s">
        <v>25</v>
      </c>
      <c r="K1" s="592" t="s">
        <v>26</v>
      </c>
      <c r="L1" s="594" t="s">
        <v>27</v>
      </c>
      <c r="M1" s="596" t="s">
        <v>28</v>
      </c>
      <c r="N1" s="176"/>
    </row>
    <row r="2" spans="1:28" ht="13.5" thickBot="1">
      <c r="A2" s="550"/>
      <c r="B2" s="595"/>
      <c r="C2" s="593"/>
      <c r="D2" s="595"/>
      <c r="E2" s="597"/>
      <c r="F2" s="595"/>
      <c r="G2" s="593"/>
      <c r="H2" s="595"/>
      <c r="I2" s="597"/>
      <c r="J2" s="595"/>
      <c r="K2" s="593"/>
      <c r="L2" s="595"/>
      <c r="M2" s="597"/>
      <c r="N2" s="190" t="s">
        <v>39</v>
      </c>
      <c r="O2" s="182" t="s">
        <v>74</v>
      </c>
      <c r="P2" s="65">
        <v>1</v>
      </c>
      <c r="Q2" s="9">
        <v>2</v>
      </c>
      <c r="R2" s="9">
        <v>3</v>
      </c>
      <c r="S2" s="9">
        <v>4</v>
      </c>
      <c r="T2" s="9">
        <v>5</v>
      </c>
      <c r="U2" s="9">
        <v>6</v>
      </c>
      <c r="V2" s="9">
        <v>7</v>
      </c>
      <c r="W2" s="9">
        <v>8</v>
      </c>
      <c r="X2" s="9">
        <v>9</v>
      </c>
      <c r="Y2" s="9">
        <v>10</v>
      </c>
      <c r="Z2" s="9">
        <v>11</v>
      </c>
      <c r="AA2" s="9">
        <v>12</v>
      </c>
    </row>
    <row r="3" spans="1:28">
      <c r="A3" s="16">
        <v>1998</v>
      </c>
      <c r="B3" s="189"/>
      <c r="C3" s="189"/>
      <c r="D3" s="189"/>
      <c r="E3" s="189"/>
      <c r="F3" s="189"/>
      <c r="G3" s="189"/>
      <c r="H3" s="189"/>
      <c r="I3" s="155"/>
      <c r="J3" s="155">
        <v>28.51</v>
      </c>
      <c r="K3" s="155">
        <v>26.36</v>
      </c>
      <c r="L3" s="155"/>
      <c r="M3" s="155">
        <v>107.94</v>
      </c>
      <c r="N3" s="156">
        <f>SUM(B3:M3)</f>
        <v>162.81</v>
      </c>
      <c r="O3" s="221">
        <f>AB3</f>
        <v>1820</v>
      </c>
      <c r="P3" s="65"/>
      <c r="Q3" s="65"/>
      <c r="R3" s="173"/>
      <c r="S3" s="219"/>
      <c r="T3" s="191"/>
      <c r="U3" s="173"/>
      <c r="V3" s="65"/>
      <c r="W3" s="173"/>
      <c r="X3" s="173">
        <v>332</v>
      </c>
      <c r="Y3" s="9">
        <v>301</v>
      </c>
      <c r="AA3" s="9">
        <v>1187</v>
      </c>
      <c r="AB3" s="478">
        <f>SUM(P3:AA3)</f>
        <v>1820</v>
      </c>
    </row>
    <row r="4" spans="1:28">
      <c r="A4" s="8">
        <v>1999</v>
      </c>
      <c r="B4" s="10"/>
      <c r="C4" s="10">
        <v>19.07</v>
      </c>
      <c r="D4" s="10"/>
      <c r="E4" s="10"/>
      <c r="F4" s="10">
        <v>4.4000000000000004</v>
      </c>
      <c r="G4" s="10"/>
      <c r="H4" s="10"/>
      <c r="I4" s="10"/>
      <c r="J4" s="10"/>
      <c r="K4" s="10"/>
      <c r="L4" s="10"/>
      <c r="M4" s="10"/>
      <c r="N4" s="156">
        <f t="shared" ref="N4:N18" si="0">SUM(B4:M4)</f>
        <v>23.47</v>
      </c>
      <c r="O4" s="221">
        <f t="shared" ref="O4:O18" si="1">AB4</f>
        <v>246</v>
      </c>
      <c r="P4" s="65"/>
      <c r="Q4" s="65">
        <v>202</v>
      </c>
      <c r="R4" s="173"/>
      <c r="S4" s="219"/>
      <c r="T4" s="191">
        <v>44</v>
      </c>
      <c r="U4" s="173"/>
      <c r="V4" s="65"/>
      <c r="W4" s="173"/>
      <c r="AB4" s="478">
        <f t="shared" ref="AB4:AB18" si="2">SUM(P4:AA4)</f>
        <v>246</v>
      </c>
    </row>
    <row r="5" spans="1:28">
      <c r="A5" s="8">
        <v>2000</v>
      </c>
      <c r="B5" s="10"/>
      <c r="C5" s="10"/>
      <c r="D5" s="10"/>
      <c r="E5" s="10"/>
      <c r="F5" s="10">
        <v>6.84</v>
      </c>
      <c r="G5" s="10"/>
      <c r="H5" s="10"/>
      <c r="I5" s="10"/>
      <c r="J5" s="10"/>
      <c r="K5" s="10">
        <v>122.81</v>
      </c>
      <c r="L5" s="10"/>
      <c r="M5" s="10"/>
      <c r="N5" s="156">
        <f t="shared" si="0"/>
        <v>129.65</v>
      </c>
      <c r="O5" s="221">
        <f t="shared" si="1"/>
        <v>1013</v>
      </c>
      <c r="P5" s="65"/>
      <c r="Q5" s="65"/>
      <c r="R5" s="173"/>
      <c r="S5" s="219"/>
      <c r="T5" s="191">
        <v>58</v>
      </c>
      <c r="U5" s="173"/>
      <c r="V5" s="65"/>
      <c r="W5" s="173"/>
      <c r="Y5" s="9">
        <v>955</v>
      </c>
      <c r="AB5" s="478">
        <f t="shared" si="2"/>
        <v>1013</v>
      </c>
    </row>
    <row r="6" spans="1:28">
      <c r="A6" s="8">
        <v>2001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56">
        <f t="shared" si="0"/>
        <v>0</v>
      </c>
      <c r="O6" s="221">
        <f t="shared" si="1"/>
        <v>0</v>
      </c>
      <c r="P6" s="65"/>
      <c r="Q6" s="65"/>
      <c r="R6" s="173"/>
      <c r="S6" s="219"/>
      <c r="T6" s="191"/>
      <c r="U6" s="173"/>
      <c r="V6" s="65"/>
      <c r="W6" s="173"/>
      <c r="AB6" s="478">
        <f t="shared" si="2"/>
        <v>0</v>
      </c>
    </row>
    <row r="7" spans="1:28">
      <c r="A7" s="8">
        <v>2002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56">
        <f t="shared" si="0"/>
        <v>0</v>
      </c>
      <c r="O7" s="221">
        <f t="shared" si="1"/>
        <v>0</v>
      </c>
      <c r="P7" s="65"/>
      <c r="Q7" s="65"/>
      <c r="R7" s="173"/>
      <c r="S7" s="219"/>
      <c r="T7" s="191"/>
      <c r="U7" s="173"/>
      <c r="V7" s="65"/>
      <c r="W7" s="173"/>
      <c r="AB7" s="478">
        <f t="shared" si="2"/>
        <v>0</v>
      </c>
    </row>
    <row r="8" spans="1:28">
      <c r="A8" s="8">
        <v>2003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56">
        <f t="shared" si="0"/>
        <v>0</v>
      </c>
      <c r="O8" s="221">
        <f t="shared" si="1"/>
        <v>0</v>
      </c>
      <c r="P8" s="65"/>
      <c r="Q8" s="65"/>
      <c r="R8" s="173"/>
      <c r="S8" s="219"/>
      <c r="T8" s="191"/>
      <c r="U8" s="173"/>
      <c r="V8" s="65"/>
      <c r="W8" s="173"/>
      <c r="AB8" s="478">
        <f t="shared" si="2"/>
        <v>0</v>
      </c>
    </row>
    <row r="9" spans="1:28">
      <c r="A9" s="8">
        <v>2004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56">
        <f t="shared" si="0"/>
        <v>0</v>
      </c>
      <c r="O9" s="221">
        <f t="shared" si="1"/>
        <v>0</v>
      </c>
      <c r="P9" s="65"/>
      <c r="Q9" s="65"/>
      <c r="R9" s="173"/>
      <c r="S9" s="219"/>
      <c r="T9" s="191"/>
      <c r="U9" s="173"/>
      <c r="V9" s="65"/>
      <c r="W9" s="173"/>
      <c r="AB9" s="478">
        <f t="shared" si="2"/>
        <v>0</v>
      </c>
    </row>
    <row r="10" spans="1:28">
      <c r="A10" s="8">
        <v>2005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56">
        <f t="shared" si="0"/>
        <v>0</v>
      </c>
      <c r="O10" s="221">
        <f t="shared" si="1"/>
        <v>0</v>
      </c>
      <c r="P10" s="65"/>
      <c r="Q10" s="65"/>
      <c r="R10" s="173"/>
      <c r="S10" s="219"/>
      <c r="T10" s="191"/>
      <c r="U10" s="173"/>
      <c r="V10" s="65"/>
      <c r="W10" s="173"/>
      <c r="AB10" s="478">
        <f t="shared" si="2"/>
        <v>0</v>
      </c>
    </row>
    <row r="11" spans="1:28">
      <c r="A11" s="8">
        <v>2006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56">
        <f t="shared" si="0"/>
        <v>0</v>
      </c>
      <c r="O11" s="221">
        <f t="shared" si="1"/>
        <v>0</v>
      </c>
      <c r="P11" s="65"/>
      <c r="Q11" s="65"/>
      <c r="R11" s="173"/>
      <c r="S11" s="219"/>
      <c r="T11" s="191"/>
      <c r="U11" s="173"/>
      <c r="V11" s="65"/>
      <c r="W11" s="173"/>
      <c r="AB11" s="478">
        <f t="shared" si="2"/>
        <v>0</v>
      </c>
    </row>
    <row r="12" spans="1:28">
      <c r="A12" s="8">
        <v>2007</v>
      </c>
      <c r="B12" s="10"/>
      <c r="C12" s="10"/>
      <c r="D12" s="10"/>
      <c r="E12" s="10">
        <v>117.46</v>
      </c>
      <c r="F12" s="10"/>
      <c r="G12" s="10">
        <v>92.26</v>
      </c>
      <c r="H12" s="10">
        <v>98.8</v>
      </c>
      <c r="I12" s="10">
        <v>1.35</v>
      </c>
      <c r="J12" s="10"/>
      <c r="K12" s="10">
        <v>86.82</v>
      </c>
      <c r="L12" s="10"/>
      <c r="M12" s="10"/>
      <c r="N12" s="156">
        <f t="shared" si="0"/>
        <v>396.69</v>
      </c>
      <c r="O12" s="221">
        <f t="shared" si="1"/>
        <v>1476</v>
      </c>
      <c r="P12" s="65"/>
      <c r="Q12" s="65"/>
      <c r="R12" s="173"/>
      <c r="S12" s="219">
        <v>448</v>
      </c>
      <c r="T12" s="191"/>
      <c r="U12" s="173">
        <v>345</v>
      </c>
      <c r="V12" s="65">
        <v>366</v>
      </c>
      <c r="W12" s="173">
        <v>5</v>
      </c>
      <c r="Y12" s="9">
        <v>312</v>
      </c>
      <c r="AB12" s="478">
        <f t="shared" si="2"/>
        <v>1476</v>
      </c>
    </row>
    <row r="13" spans="1:28">
      <c r="A13" s="8">
        <v>2008</v>
      </c>
      <c r="B13" s="10"/>
      <c r="C13" s="10"/>
      <c r="D13" s="10"/>
      <c r="E13" s="10">
        <v>6.01</v>
      </c>
      <c r="F13" s="10"/>
      <c r="G13" s="10"/>
      <c r="H13" s="10">
        <v>102.86</v>
      </c>
      <c r="I13" s="10"/>
      <c r="J13" s="10">
        <v>51.24</v>
      </c>
      <c r="K13" s="10">
        <v>45.1</v>
      </c>
      <c r="L13" s="10">
        <v>28.51</v>
      </c>
      <c r="M13" s="10">
        <v>13.37</v>
      </c>
      <c r="N13" s="156">
        <f t="shared" si="0"/>
        <v>247.09</v>
      </c>
      <c r="O13" s="221">
        <f t="shared" si="1"/>
        <v>799</v>
      </c>
      <c r="P13" s="65"/>
      <c r="Q13" s="65"/>
      <c r="R13" s="173"/>
      <c r="S13" s="219">
        <v>20</v>
      </c>
      <c r="T13" s="191"/>
      <c r="U13" s="173"/>
      <c r="V13" s="65">
        <v>338</v>
      </c>
      <c r="W13" s="173"/>
      <c r="X13" s="9">
        <v>165</v>
      </c>
      <c r="Y13" s="9">
        <v>144</v>
      </c>
      <c r="Z13" s="9">
        <v>90</v>
      </c>
      <c r="AA13" s="9">
        <v>42</v>
      </c>
      <c r="AB13" s="478">
        <f t="shared" si="2"/>
        <v>799</v>
      </c>
    </row>
    <row r="14" spans="1:28">
      <c r="A14" s="8">
        <v>2009</v>
      </c>
      <c r="B14" s="10"/>
      <c r="C14" s="10"/>
      <c r="D14" s="10"/>
      <c r="E14" s="10">
        <v>108.88</v>
      </c>
      <c r="F14" s="10"/>
      <c r="G14" s="10"/>
      <c r="H14" s="10"/>
      <c r="I14" s="10"/>
      <c r="J14" s="10"/>
      <c r="K14" s="10">
        <v>5.58</v>
      </c>
      <c r="L14" s="10"/>
      <c r="M14" s="10">
        <v>165.18</v>
      </c>
      <c r="N14" s="156">
        <f t="shared" si="0"/>
        <v>279.64</v>
      </c>
      <c r="O14" s="221">
        <f t="shared" si="1"/>
        <v>818</v>
      </c>
      <c r="P14" s="65"/>
      <c r="Q14" s="65"/>
      <c r="R14" s="173"/>
      <c r="S14" s="219">
        <v>330</v>
      </c>
      <c r="T14" s="191"/>
      <c r="U14" s="173"/>
      <c r="V14" s="65"/>
      <c r="W14" s="173"/>
      <c r="Y14" s="9">
        <v>16</v>
      </c>
      <c r="AA14" s="9">
        <v>472</v>
      </c>
      <c r="AB14" s="478">
        <f t="shared" si="2"/>
        <v>818</v>
      </c>
    </row>
    <row r="15" spans="1:28">
      <c r="A15" s="8">
        <v>2010</v>
      </c>
      <c r="B15" s="10"/>
      <c r="C15" s="10">
        <v>286.7</v>
      </c>
      <c r="D15" s="10"/>
      <c r="E15" s="10">
        <v>12.58</v>
      </c>
      <c r="F15" s="10">
        <v>6.76</v>
      </c>
      <c r="G15" s="10"/>
      <c r="H15" s="10"/>
      <c r="I15" s="10">
        <v>676.58</v>
      </c>
      <c r="J15" s="10"/>
      <c r="K15" s="10">
        <v>158.04</v>
      </c>
      <c r="L15" s="10"/>
      <c r="M15" s="10"/>
      <c r="N15" s="156">
        <f t="shared" si="0"/>
        <v>1140.6600000000001</v>
      </c>
      <c r="O15" s="221">
        <f t="shared" si="1"/>
        <v>3108</v>
      </c>
      <c r="P15" s="65"/>
      <c r="Q15" s="65">
        <v>808</v>
      </c>
      <c r="R15" s="173"/>
      <c r="S15" s="219">
        <v>35</v>
      </c>
      <c r="T15" s="191">
        <v>19</v>
      </c>
      <c r="U15" s="173"/>
      <c r="V15" s="65"/>
      <c r="W15" s="173">
        <v>1826</v>
      </c>
      <c r="Y15" s="9">
        <v>420</v>
      </c>
      <c r="AB15" s="478">
        <f t="shared" si="2"/>
        <v>3108</v>
      </c>
    </row>
    <row r="16" spans="1:28">
      <c r="A16" s="8">
        <v>2011</v>
      </c>
      <c r="B16" s="10"/>
      <c r="C16" s="10">
        <v>2.98</v>
      </c>
      <c r="D16" s="10">
        <v>1.05</v>
      </c>
      <c r="E16" s="10"/>
      <c r="F16" s="10">
        <v>0.12</v>
      </c>
      <c r="G16" s="10"/>
      <c r="H16" s="10"/>
      <c r="I16" s="10"/>
      <c r="J16" s="10">
        <v>0.19</v>
      </c>
      <c r="K16" s="10"/>
      <c r="L16" s="10"/>
      <c r="M16" s="10"/>
      <c r="N16" s="156">
        <f t="shared" si="0"/>
        <v>4.3400000000000007</v>
      </c>
      <c r="O16" s="221">
        <f t="shared" si="1"/>
        <v>13</v>
      </c>
      <c r="P16" s="65"/>
      <c r="Q16" s="65">
        <v>8</v>
      </c>
      <c r="R16" s="173">
        <v>3</v>
      </c>
      <c r="S16" s="219"/>
      <c r="T16" s="191">
        <v>1</v>
      </c>
      <c r="U16" s="173"/>
      <c r="V16" s="65"/>
      <c r="W16" s="173"/>
      <c r="X16" s="9">
        <v>1</v>
      </c>
      <c r="AB16" s="478">
        <f t="shared" si="2"/>
        <v>13</v>
      </c>
    </row>
    <row r="17" spans="1:29" s="213" customFormat="1">
      <c r="A17" s="480">
        <v>2012</v>
      </c>
      <c r="B17" s="10"/>
      <c r="C17" s="10"/>
      <c r="D17" s="10"/>
      <c r="E17" s="10">
        <v>1.92</v>
      </c>
      <c r="F17" s="10"/>
      <c r="G17" s="10"/>
      <c r="H17" s="10"/>
      <c r="I17" s="10">
        <v>19.690000000000001</v>
      </c>
      <c r="J17" s="10">
        <v>0.05</v>
      </c>
      <c r="K17" s="10"/>
      <c r="L17" s="10"/>
      <c r="M17" s="10"/>
      <c r="N17" s="156">
        <f t="shared" si="0"/>
        <v>21.66</v>
      </c>
      <c r="O17" s="221">
        <f t="shared" si="1"/>
        <v>50</v>
      </c>
      <c r="P17" s="191"/>
      <c r="Q17" s="191"/>
      <c r="R17" s="219"/>
      <c r="S17" s="219">
        <v>4</v>
      </c>
      <c r="T17" s="191"/>
      <c r="U17" s="219"/>
      <c r="V17" s="191"/>
      <c r="W17" s="219">
        <v>45</v>
      </c>
      <c r="X17" s="213">
        <v>1</v>
      </c>
      <c r="AB17" s="478">
        <f t="shared" si="2"/>
        <v>50</v>
      </c>
    </row>
    <row r="18" spans="1:29">
      <c r="A18" s="8">
        <v>2013</v>
      </c>
      <c r="B18" s="10"/>
      <c r="C18" s="10"/>
      <c r="D18" s="10"/>
      <c r="E18" s="10"/>
      <c r="F18" s="10">
        <v>10.65</v>
      </c>
      <c r="G18" s="157"/>
      <c r="H18" s="157"/>
      <c r="I18" s="157"/>
      <c r="J18" s="157"/>
      <c r="K18" s="157"/>
      <c r="L18" s="157"/>
      <c r="M18" s="157"/>
      <c r="N18" s="156">
        <f t="shared" si="0"/>
        <v>10.65</v>
      </c>
      <c r="O18" s="221">
        <f t="shared" si="1"/>
        <v>23</v>
      </c>
      <c r="P18" s="65"/>
      <c r="Q18" s="65"/>
      <c r="R18" s="173"/>
      <c r="S18" s="219"/>
      <c r="T18" s="191">
        <v>23</v>
      </c>
      <c r="U18" s="173"/>
      <c r="V18" s="65"/>
      <c r="W18" s="173"/>
      <c r="AB18" s="478">
        <f t="shared" si="2"/>
        <v>23</v>
      </c>
    </row>
    <row r="19" spans="1:29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0">
        <f>SUM(N3:N18)</f>
        <v>2416.6600000000003</v>
      </c>
      <c r="O19" s="222">
        <f>SUM(O3:O18)</f>
        <v>9366</v>
      </c>
      <c r="P19" s="174"/>
      <c r="Q19" s="220"/>
      <c r="R19" s="220"/>
      <c r="S19" s="220"/>
      <c r="T19" s="220"/>
      <c r="U19" s="173"/>
      <c r="V19" s="173"/>
      <c r="W19" s="173"/>
      <c r="AC19" s="304" t="s">
        <v>470</v>
      </c>
    </row>
    <row r="20" spans="1:29">
      <c r="M20" s="9" t="s">
        <v>84</v>
      </c>
      <c r="N20" s="12">
        <f>N19*30%</f>
        <v>724.99800000000005</v>
      </c>
      <c r="O20" s="173">
        <f t="shared" ref="O20" si="3">O19*30%</f>
        <v>2809.7999999999997</v>
      </c>
      <c r="P20" s="174"/>
      <c r="Q20" s="220"/>
      <c r="R20" s="220"/>
      <c r="S20" s="220"/>
      <c r="T20" s="220"/>
      <c r="U20" s="173"/>
      <c r="V20" s="173"/>
      <c r="W20" s="173"/>
      <c r="AC20" s="148">
        <v>45324</v>
      </c>
    </row>
    <row r="21" spans="1:29" ht="15.75" customHeight="1">
      <c r="A21" s="588" t="s">
        <v>384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179"/>
      <c r="P21" s="179"/>
      <c r="Q21" s="179"/>
    </row>
    <row r="22" spans="1:29">
      <c r="D22" s="9" t="s">
        <v>46</v>
      </c>
      <c r="E22" s="9" t="s">
        <v>47</v>
      </c>
      <c r="O22" s="304" t="s">
        <v>470</v>
      </c>
    </row>
    <row r="23" spans="1:29" ht="12.75" customHeight="1">
      <c r="A23" s="590">
        <v>1998</v>
      </c>
      <c r="B23" s="380" t="s">
        <v>380</v>
      </c>
      <c r="D23" s="15"/>
      <c r="E23" s="194">
        <v>4.7</v>
      </c>
      <c r="F23" s="198">
        <f t="shared" ref="F23:F36" si="4">D23+E23</f>
        <v>4.7</v>
      </c>
      <c r="G23" s="158"/>
      <c r="O23" s="148">
        <v>45324</v>
      </c>
    </row>
    <row r="24" spans="1:29" ht="12.75" customHeight="1">
      <c r="A24" s="590"/>
      <c r="B24" s="380" t="s">
        <v>385</v>
      </c>
      <c r="D24" s="15"/>
      <c r="E24" s="194">
        <v>3.01</v>
      </c>
      <c r="F24" s="198">
        <f t="shared" si="4"/>
        <v>3.01</v>
      </c>
      <c r="G24" s="158"/>
    </row>
    <row r="25" spans="1:29" ht="12.75" customHeight="1">
      <c r="A25" s="590"/>
      <c r="B25" s="484" t="s">
        <v>163</v>
      </c>
      <c r="C25" s="413"/>
      <c r="D25" s="414"/>
      <c r="E25" s="412">
        <v>20.8</v>
      </c>
      <c r="F25" s="415">
        <f t="shared" ref="F25" si="5">D25+E25</f>
        <v>20.8</v>
      </c>
      <c r="G25" s="485">
        <f>SUM(F23:F25)</f>
        <v>28.51</v>
      </c>
    </row>
    <row r="26" spans="1:29" ht="12.75" customHeight="1">
      <c r="A26" s="590"/>
      <c r="B26" s="484" t="s">
        <v>112</v>
      </c>
      <c r="C26" s="413"/>
      <c r="D26" s="414">
        <v>22.11</v>
      </c>
      <c r="E26" s="412">
        <v>4.25</v>
      </c>
      <c r="F26" s="486">
        <f t="shared" ref="F26" si="6">D26+E26</f>
        <v>26.36</v>
      </c>
      <c r="G26" s="484"/>
    </row>
    <row r="27" spans="1:29" ht="12.75" customHeight="1">
      <c r="A27" s="590"/>
      <c r="B27" s="484" t="s">
        <v>124</v>
      </c>
      <c r="C27" s="484"/>
      <c r="D27" s="412">
        <v>3.99</v>
      </c>
      <c r="E27" s="412">
        <v>9.11</v>
      </c>
      <c r="F27" s="412">
        <f t="shared" si="4"/>
        <v>13.1</v>
      </c>
      <c r="G27" s="484"/>
      <c r="H27" s="9" t="s">
        <v>125</v>
      </c>
    </row>
    <row r="28" spans="1:29" ht="12.75" customHeight="1">
      <c r="A28" s="590"/>
      <c r="B28" s="484" t="s">
        <v>164</v>
      </c>
      <c r="C28" s="484"/>
      <c r="D28" s="412">
        <v>25.18</v>
      </c>
      <c r="E28" s="412">
        <v>4.84</v>
      </c>
      <c r="F28" s="412">
        <f t="shared" si="4"/>
        <v>30.02</v>
      </c>
      <c r="G28" s="484"/>
      <c r="H28" s="9" t="s">
        <v>165</v>
      </c>
    </row>
    <row r="29" spans="1:29" ht="12.75" customHeight="1">
      <c r="A29" s="590"/>
      <c r="B29" s="484" t="s">
        <v>126</v>
      </c>
      <c r="C29" s="484"/>
      <c r="D29" s="412">
        <v>5.72</v>
      </c>
      <c r="E29" s="412">
        <v>1.1000000000000001</v>
      </c>
      <c r="F29" s="412">
        <f t="shared" si="4"/>
        <v>6.82</v>
      </c>
      <c r="G29" s="484"/>
      <c r="H29" s="9" t="s">
        <v>129</v>
      </c>
    </row>
    <row r="30" spans="1:29" ht="12.75" customHeight="1" thickBot="1">
      <c r="A30" s="591"/>
      <c r="B30" s="391" t="s">
        <v>127</v>
      </c>
      <c r="C30" s="391"/>
      <c r="D30" s="393">
        <v>48.65</v>
      </c>
      <c r="E30" s="393">
        <v>9.35</v>
      </c>
      <c r="F30" s="393">
        <f t="shared" si="4"/>
        <v>58</v>
      </c>
      <c r="G30" s="408">
        <f>F30+F28+F29+F27</f>
        <v>107.94</v>
      </c>
      <c r="H30" s="9" t="s">
        <v>128</v>
      </c>
    </row>
    <row r="31" spans="1:29" ht="12.75" customHeight="1">
      <c r="A31" s="598">
        <v>1999</v>
      </c>
      <c r="B31" s="413" t="s">
        <v>428</v>
      </c>
      <c r="C31" s="413"/>
      <c r="D31" s="414">
        <v>10.3</v>
      </c>
      <c r="E31" s="414"/>
      <c r="F31" s="415">
        <f t="shared" ref="F31:F33" si="7">D31+E31</f>
        <v>10.3</v>
      </c>
      <c r="H31" s="9" t="s">
        <v>429</v>
      </c>
      <c r="N31" s="158"/>
      <c r="O31" s="158"/>
      <c r="P31" s="158"/>
    </row>
    <row r="32" spans="1:29" ht="12.75" customHeight="1">
      <c r="A32" s="599"/>
      <c r="B32" s="413" t="s">
        <v>19</v>
      </c>
      <c r="C32" s="413"/>
      <c r="D32" s="414">
        <v>8.77</v>
      </c>
      <c r="E32" s="414"/>
      <c r="F32" s="415">
        <f t="shared" si="7"/>
        <v>8.77</v>
      </c>
      <c r="G32" s="487">
        <f>SUM(F31:F32)</f>
        <v>19.07</v>
      </c>
      <c r="H32" s="9" t="s">
        <v>430</v>
      </c>
      <c r="N32" s="158"/>
      <c r="O32" s="158"/>
      <c r="P32" s="158"/>
    </row>
    <row r="33" spans="1:16" ht="12.75" customHeight="1">
      <c r="A33" s="599"/>
      <c r="B33" s="413" t="s">
        <v>448</v>
      </c>
      <c r="C33" s="413"/>
      <c r="D33" s="414"/>
      <c r="E33" s="414">
        <v>0.66</v>
      </c>
      <c r="F33" s="412">
        <f t="shared" si="7"/>
        <v>0.66</v>
      </c>
      <c r="G33" s="413"/>
      <c r="N33" s="158"/>
      <c r="O33" s="158"/>
      <c r="P33" s="158"/>
    </row>
    <row r="34" spans="1:16" ht="12.75" customHeight="1" thickBot="1">
      <c r="A34" s="600"/>
      <c r="B34" s="392" t="s">
        <v>130</v>
      </c>
      <c r="C34" s="392"/>
      <c r="D34" s="389"/>
      <c r="E34" s="389">
        <v>3.74</v>
      </c>
      <c r="F34" s="393">
        <f t="shared" ref="F34" si="8">D34+E34</f>
        <v>3.74</v>
      </c>
      <c r="G34" s="408">
        <f>SUM(F33:F34)</f>
        <v>4.4000000000000004</v>
      </c>
      <c r="N34" s="158"/>
      <c r="O34" s="158"/>
      <c r="P34" s="158"/>
    </row>
    <row r="35" spans="1:16" ht="12.75" customHeight="1">
      <c r="A35" s="590">
        <v>2000</v>
      </c>
      <c r="B35" s="413" t="s">
        <v>117</v>
      </c>
      <c r="C35" s="413"/>
      <c r="D35" s="414">
        <v>5.74</v>
      </c>
      <c r="E35" s="414">
        <v>1.1000000000000001</v>
      </c>
      <c r="F35" s="488">
        <f t="shared" si="4"/>
        <v>6.84</v>
      </c>
      <c r="G35" s="413"/>
      <c r="N35" s="158"/>
      <c r="O35" s="158"/>
      <c r="P35" s="158"/>
    </row>
    <row r="36" spans="1:16" ht="12.75" customHeight="1" thickBot="1">
      <c r="A36" s="591"/>
      <c r="B36" s="392" t="s">
        <v>166</v>
      </c>
      <c r="C36" s="392"/>
      <c r="D36" s="389">
        <v>103</v>
      </c>
      <c r="E36" s="389">
        <v>19.809999999999999</v>
      </c>
      <c r="F36" s="489">
        <f t="shared" si="4"/>
        <v>122.81</v>
      </c>
      <c r="G36" s="392"/>
      <c r="N36" s="158"/>
    </row>
    <row r="37" spans="1:16" ht="12.75" customHeight="1">
      <c r="N37" s="158"/>
    </row>
    <row r="38" spans="1:16" ht="12.75" customHeight="1">
      <c r="D38" s="15"/>
      <c r="E38" s="15"/>
      <c r="F38" s="15"/>
      <c r="N38" s="158"/>
    </row>
    <row r="39" spans="1:16" ht="12.75" customHeight="1">
      <c r="D39" s="15"/>
      <c r="E39" s="15"/>
      <c r="F39" s="15"/>
      <c r="N39" s="158"/>
    </row>
    <row r="40" spans="1:16" ht="12.75" customHeight="1">
      <c r="D40" s="15"/>
      <c r="E40" s="15"/>
      <c r="F40" s="15"/>
      <c r="N40" s="158"/>
    </row>
    <row r="41" spans="1:16">
      <c r="A41" s="587">
        <v>2006</v>
      </c>
      <c r="B41" s="191">
        <v>7093</v>
      </c>
      <c r="C41" s="15">
        <v>0.02</v>
      </c>
      <c r="D41" s="15"/>
      <c r="E41" s="193"/>
      <c r="F41" s="15"/>
      <c r="G41" s="15"/>
      <c r="H41" s="15"/>
      <c r="I41" s="15"/>
      <c r="J41" s="15"/>
      <c r="K41" s="15"/>
      <c r="L41" s="15"/>
      <c r="N41" s="158"/>
    </row>
    <row r="42" spans="1:16">
      <c r="A42" s="587"/>
      <c r="B42" s="191">
        <v>7095</v>
      </c>
      <c r="C42" s="15">
        <v>0.01</v>
      </c>
      <c r="D42" s="15"/>
      <c r="E42" s="15"/>
      <c r="F42" s="15"/>
    </row>
    <row r="43" spans="1:16">
      <c r="A43" s="587"/>
      <c r="B43" s="191">
        <v>7098</v>
      </c>
      <c r="C43" s="15">
        <v>0.01</v>
      </c>
      <c r="D43" s="15">
        <v>0.01</v>
      </c>
    </row>
    <row r="44" spans="1:16">
      <c r="A44" s="601">
        <v>2007</v>
      </c>
      <c r="B44" s="191" t="s">
        <v>167</v>
      </c>
      <c r="C44" s="15"/>
      <c r="D44" s="15">
        <v>49.26</v>
      </c>
      <c r="E44" s="15">
        <v>9.4700000000000006</v>
      </c>
      <c r="F44" s="197">
        <f>D44+E44</f>
        <v>58.73</v>
      </c>
      <c r="G44" s="15"/>
      <c r="H44" s="15"/>
      <c r="I44" s="15"/>
      <c r="J44" s="15"/>
      <c r="K44" s="15"/>
      <c r="L44" s="15"/>
      <c r="M44" s="15"/>
      <c r="N44" s="15"/>
    </row>
    <row r="45" spans="1:16">
      <c r="A45" s="601"/>
      <c r="B45" s="191" t="s">
        <v>168</v>
      </c>
      <c r="C45" s="15"/>
      <c r="D45" s="15">
        <v>49.08</v>
      </c>
      <c r="E45" s="15">
        <v>9.4700000000000006</v>
      </c>
      <c r="F45" s="197">
        <f>D45+E45</f>
        <v>58.55</v>
      </c>
      <c r="G45" s="192">
        <f>F44+F45</f>
        <v>117.28</v>
      </c>
      <c r="H45" s="15"/>
      <c r="I45" s="15"/>
      <c r="J45" s="15"/>
      <c r="K45" s="15"/>
      <c r="L45" s="15"/>
      <c r="M45" s="15"/>
      <c r="N45" s="15"/>
    </row>
    <row r="46" spans="1:16">
      <c r="A46" s="601"/>
      <c r="B46" s="191" t="s">
        <v>169</v>
      </c>
      <c r="C46" s="15"/>
      <c r="D46" s="196">
        <v>65.989999999999995</v>
      </c>
      <c r="E46" s="196">
        <v>12.69</v>
      </c>
      <c r="F46" s="197">
        <f>D46+E46</f>
        <v>78.679999999999993</v>
      </c>
      <c r="G46" s="192"/>
      <c r="H46" s="15"/>
      <c r="I46" s="15"/>
      <c r="J46" s="15"/>
      <c r="K46" s="15"/>
      <c r="L46" s="15"/>
      <c r="M46" s="15"/>
      <c r="N46" s="15"/>
    </row>
    <row r="47" spans="1:16">
      <c r="A47" s="601"/>
      <c r="B47" s="191" t="s">
        <v>188</v>
      </c>
      <c r="C47" s="15"/>
      <c r="D47" s="196">
        <v>0.17</v>
      </c>
      <c r="E47" s="196">
        <v>0.06</v>
      </c>
      <c r="F47" s="197">
        <f>D47+E47</f>
        <v>0.23</v>
      </c>
      <c r="G47" s="192"/>
      <c r="H47" s="15" t="s">
        <v>120</v>
      </c>
      <c r="I47" s="15"/>
      <c r="J47" s="15"/>
      <c r="K47" s="15"/>
      <c r="L47" s="15"/>
      <c r="M47" s="15"/>
      <c r="N47" s="15"/>
    </row>
    <row r="48" spans="1:16">
      <c r="A48" s="601"/>
      <c r="B48" s="191" t="s">
        <v>254</v>
      </c>
      <c r="C48" s="196"/>
      <c r="D48" s="196">
        <v>11.2</v>
      </c>
      <c r="E48" s="196">
        <v>2.15</v>
      </c>
      <c r="F48" s="197">
        <f t="shared" ref="F48" si="9">D48+E48</f>
        <v>13.35</v>
      </c>
      <c r="G48" s="192">
        <f>F46+F47+F48</f>
        <v>92.259999999999991</v>
      </c>
      <c r="H48" s="15"/>
      <c r="I48" s="15"/>
      <c r="J48" s="15"/>
      <c r="K48" s="15"/>
      <c r="L48" s="15"/>
      <c r="M48" s="15"/>
      <c r="N48" s="15"/>
    </row>
    <row r="49" spans="1:14">
      <c r="A49" s="601"/>
      <c r="B49" s="191" t="s">
        <v>170</v>
      </c>
      <c r="C49" s="15"/>
      <c r="D49" s="15">
        <v>42.9</v>
      </c>
      <c r="E49" s="15"/>
      <c r="F49" s="197">
        <f t="shared" ref="F49:F57" si="10">D49+E49</f>
        <v>42.9</v>
      </c>
      <c r="G49" s="192"/>
      <c r="H49" s="15"/>
      <c r="I49" s="15"/>
      <c r="J49" s="15"/>
      <c r="K49" s="15"/>
      <c r="L49" s="15"/>
      <c r="M49" s="15"/>
      <c r="N49" s="15"/>
    </row>
    <row r="50" spans="1:14">
      <c r="A50" s="601"/>
      <c r="B50" s="191" t="s">
        <v>171</v>
      </c>
      <c r="C50" s="15"/>
      <c r="D50" s="15">
        <v>42.9</v>
      </c>
      <c r="E50" s="15"/>
      <c r="F50" s="197">
        <f t="shared" ref="F50:F55" si="11">D50+E50</f>
        <v>42.9</v>
      </c>
      <c r="G50" s="192"/>
      <c r="H50" s="15"/>
      <c r="I50" s="15"/>
      <c r="J50" s="15"/>
      <c r="K50" s="15"/>
      <c r="L50" s="15"/>
      <c r="M50" s="15"/>
      <c r="N50" s="15"/>
    </row>
    <row r="51" spans="1:14">
      <c r="A51" s="601"/>
      <c r="B51" s="191" t="s">
        <v>194</v>
      </c>
      <c r="C51" s="196"/>
      <c r="D51" s="196">
        <v>13</v>
      </c>
      <c r="E51" s="196"/>
      <c r="F51" s="197">
        <f t="shared" ref="F51" si="12">D51+E51</f>
        <v>13</v>
      </c>
      <c r="G51" s="192">
        <f>F49+F50+F51</f>
        <v>98.8</v>
      </c>
      <c r="H51" s="15"/>
      <c r="I51" s="15"/>
      <c r="J51" s="15"/>
      <c r="K51" s="15"/>
      <c r="L51" s="15"/>
      <c r="M51" s="15"/>
      <c r="N51" s="15"/>
    </row>
    <row r="52" spans="1:14">
      <c r="A52" s="601"/>
      <c r="B52" s="191" t="s">
        <v>252</v>
      </c>
      <c r="C52" s="196"/>
      <c r="D52" s="196">
        <v>0.01</v>
      </c>
      <c r="E52" s="196">
        <v>0.57999999999999996</v>
      </c>
      <c r="F52" s="197">
        <f t="shared" si="11"/>
        <v>0.59</v>
      </c>
      <c r="G52" s="192"/>
      <c r="H52" s="15"/>
      <c r="I52" s="15"/>
      <c r="J52" s="15"/>
      <c r="K52" s="15"/>
      <c r="L52" s="15"/>
      <c r="M52" s="15"/>
      <c r="N52" s="15"/>
    </row>
    <row r="53" spans="1:14">
      <c r="A53" s="601"/>
      <c r="B53" s="191" t="s">
        <v>253</v>
      </c>
      <c r="C53" s="196"/>
      <c r="D53" s="196">
        <v>0.06</v>
      </c>
      <c r="E53" s="196">
        <v>0.7</v>
      </c>
      <c r="F53" s="197">
        <f t="shared" si="11"/>
        <v>0.76</v>
      </c>
      <c r="G53" s="192">
        <f>F52+F53</f>
        <v>1.35</v>
      </c>
      <c r="H53" s="15"/>
      <c r="I53" s="15"/>
      <c r="J53" s="15"/>
      <c r="K53" s="15"/>
      <c r="L53" s="15"/>
      <c r="M53" s="15"/>
      <c r="N53" s="15"/>
    </row>
    <row r="54" spans="1:14">
      <c r="A54" s="601"/>
      <c r="B54" s="191" t="s">
        <v>250</v>
      </c>
      <c r="C54" s="196"/>
      <c r="D54" s="196">
        <v>11.12</v>
      </c>
      <c r="E54" s="196">
        <v>2.13</v>
      </c>
      <c r="F54" s="197">
        <f t="shared" si="11"/>
        <v>13.25</v>
      </c>
      <c r="G54" s="192"/>
      <c r="H54" s="15"/>
      <c r="I54" s="15"/>
      <c r="J54" s="15"/>
      <c r="K54" s="15"/>
      <c r="L54" s="15"/>
      <c r="M54" s="15"/>
      <c r="N54" s="15"/>
    </row>
    <row r="55" spans="1:14">
      <c r="A55" s="601"/>
      <c r="B55" s="191" t="s">
        <v>251</v>
      </c>
      <c r="C55" s="196"/>
      <c r="D55" s="196">
        <v>17.66</v>
      </c>
      <c r="E55" s="196">
        <v>3.38</v>
      </c>
      <c r="F55" s="197">
        <f t="shared" si="11"/>
        <v>21.04</v>
      </c>
      <c r="G55" s="192"/>
      <c r="H55" s="15"/>
      <c r="I55" s="15"/>
      <c r="J55" s="15"/>
      <c r="K55" s="15"/>
      <c r="L55" s="15"/>
      <c r="M55" s="15"/>
      <c r="N55" s="15"/>
    </row>
    <row r="56" spans="1:14">
      <c r="A56" s="601"/>
      <c r="B56" s="191" t="s">
        <v>249</v>
      </c>
      <c r="C56" s="196"/>
      <c r="D56" s="196">
        <v>44.06</v>
      </c>
      <c r="E56" s="196">
        <v>8.4700000000000006</v>
      </c>
      <c r="F56" s="211">
        <f t="shared" si="10"/>
        <v>52.53</v>
      </c>
      <c r="G56" s="192">
        <f>F54+F55+F56</f>
        <v>86.82</v>
      </c>
      <c r="H56" s="15"/>
      <c r="I56" s="15"/>
      <c r="J56" s="15"/>
      <c r="K56" s="15"/>
      <c r="L56" s="15"/>
      <c r="M56" s="15"/>
      <c r="N56" s="15"/>
    </row>
    <row r="57" spans="1:14">
      <c r="A57" s="587">
        <v>2008</v>
      </c>
      <c r="B57" s="191" t="s">
        <v>248</v>
      </c>
      <c r="C57" s="196"/>
      <c r="D57" s="196"/>
      <c r="E57" s="213">
        <v>6.01</v>
      </c>
      <c r="F57" s="195">
        <f t="shared" si="10"/>
        <v>6.01</v>
      </c>
      <c r="G57" s="13"/>
    </row>
    <row r="58" spans="1:14">
      <c r="A58" s="587"/>
      <c r="B58" s="191" t="s">
        <v>134</v>
      </c>
      <c r="C58" s="196"/>
      <c r="D58" s="15">
        <v>87.84</v>
      </c>
      <c r="E58" s="9">
        <v>9.34</v>
      </c>
      <c r="F58" s="198">
        <f t="shared" ref="F58" si="13">D58+E58</f>
        <v>97.18</v>
      </c>
      <c r="G58" s="13"/>
    </row>
    <row r="59" spans="1:14">
      <c r="A59" s="587"/>
      <c r="B59" s="191" t="s">
        <v>246</v>
      </c>
      <c r="C59" s="196"/>
      <c r="D59" s="196"/>
      <c r="E59" s="213">
        <v>0.33</v>
      </c>
      <c r="F59" s="198">
        <f t="shared" ref="F59:F72" si="14">D59+E59</f>
        <v>0.33</v>
      </c>
      <c r="G59" s="13"/>
    </row>
    <row r="60" spans="1:14">
      <c r="A60" s="587"/>
      <c r="B60" s="191" t="s">
        <v>245</v>
      </c>
      <c r="C60" s="196"/>
      <c r="D60" s="196"/>
      <c r="E60" s="213">
        <v>3.58</v>
      </c>
      <c r="F60" s="198">
        <f t="shared" si="14"/>
        <v>3.58</v>
      </c>
      <c r="G60" s="13"/>
    </row>
    <row r="61" spans="1:14">
      <c r="A61" s="587"/>
      <c r="B61" s="191" t="s">
        <v>244</v>
      </c>
      <c r="C61" s="196"/>
      <c r="D61" s="196"/>
      <c r="E61" s="213">
        <v>1.57</v>
      </c>
      <c r="F61" s="198">
        <f t="shared" si="14"/>
        <v>1.57</v>
      </c>
      <c r="G61" s="192">
        <f>F58+F59+F60+F61</f>
        <v>102.66</v>
      </c>
    </row>
    <row r="62" spans="1:14">
      <c r="A62" s="587"/>
      <c r="B62" s="191" t="s">
        <v>243</v>
      </c>
      <c r="C62" s="196"/>
      <c r="D62" s="196">
        <v>20.54</v>
      </c>
      <c r="E62" s="213">
        <v>3.95</v>
      </c>
      <c r="F62" s="198">
        <f t="shared" si="14"/>
        <v>24.49</v>
      </c>
      <c r="G62" s="13"/>
    </row>
    <row r="63" spans="1:14">
      <c r="A63" s="587"/>
      <c r="B63" s="191" t="s">
        <v>136</v>
      </c>
      <c r="C63" s="196"/>
      <c r="D63" s="15">
        <v>0.39</v>
      </c>
      <c r="E63" s="9">
        <v>0.7</v>
      </c>
      <c r="F63" s="198">
        <f t="shared" ref="F63:F65" si="15">D63+E63</f>
        <v>1.0899999999999999</v>
      </c>
    </row>
    <row r="64" spans="1:14">
      <c r="A64" s="587"/>
      <c r="B64" s="191" t="s">
        <v>255</v>
      </c>
      <c r="C64" s="196"/>
      <c r="D64" s="196">
        <v>20.23</v>
      </c>
      <c r="E64" s="213">
        <v>5.43</v>
      </c>
      <c r="F64" s="198">
        <f t="shared" si="15"/>
        <v>25.66</v>
      </c>
      <c r="G64" s="192">
        <f>F62+F63+F64</f>
        <v>51.239999999999995</v>
      </c>
    </row>
    <row r="65" spans="1:8">
      <c r="A65" s="587"/>
      <c r="B65" s="191" t="s">
        <v>133</v>
      </c>
      <c r="C65" s="196"/>
      <c r="D65" s="15">
        <v>19.5</v>
      </c>
      <c r="E65" s="9">
        <v>3.75</v>
      </c>
      <c r="F65" s="198">
        <f t="shared" si="15"/>
        <v>23.25</v>
      </c>
    </row>
    <row r="66" spans="1:8">
      <c r="A66" s="587"/>
      <c r="B66" s="191" t="s">
        <v>135</v>
      </c>
      <c r="C66" s="15"/>
      <c r="D66" s="15">
        <v>21.85</v>
      </c>
      <c r="F66" s="198">
        <f t="shared" si="14"/>
        <v>21.85</v>
      </c>
      <c r="G66" s="192">
        <f>F65+F66</f>
        <v>45.1</v>
      </c>
    </row>
    <row r="67" spans="1:8">
      <c r="A67" s="587"/>
      <c r="B67" s="65" t="s">
        <v>138</v>
      </c>
      <c r="C67" s="15"/>
      <c r="D67" s="15">
        <v>28.51</v>
      </c>
      <c r="F67" s="195">
        <f t="shared" si="14"/>
        <v>28.51</v>
      </c>
    </row>
    <row r="68" spans="1:8">
      <c r="A68" s="587"/>
      <c r="B68" s="65" t="s">
        <v>139</v>
      </c>
      <c r="C68" s="15"/>
      <c r="D68" s="15">
        <v>11.21</v>
      </c>
      <c r="E68" s="9">
        <v>2.16</v>
      </c>
      <c r="F68" s="195">
        <f t="shared" si="14"/>
        <v>13.370000000000001</v>
      </c>
    </row>
    <row r="69" spans="1:8">
      <c r="A69" s="589">
        <v>2009</v>
      </c>
      <c r="B69" s="65" t="s">
        <v>161</v>
      </c>
      <c r="C69" s="15"/>
      <c r="D69" s="15">
        <v>108.88</v>
      </c>
      <c r="F69" s="195">
        <f t="shared" si="14"/>
        <v>108.88</v>
      </c>
      <c r="H69" s="9" t="s">
        <v>162</v>
      </c>
    </row>
    <row r="70" spans="1:8">
      <c r="A70" s="589"/>
      <c r="B70" s="65" t="s">
        <v>142</v>
      </c>
      <c r="C70" s="15"/>
      <c r="D70" s="15">
        <v>4.68</v>
      </c>
      <c r="E70" s="9">
        <v>0.9</v>
      </c>
      <c r="F70" s="195">
        <f t="shared" si="14"/>
        <v>5.58</v>
      </c>
    </row>
    <row r="71" spans="1:8">
      <c r="A71" s="589"/>
      <c r="B71" s="65" t="s">
        <v>141</v>
      </c>
      <c r="C71" s="15"/>
      <c r="D71" s="15">
        <v>138.54</v>
      </c>
      <c r="E71" s="9">
        <v>26.64</v>
      </c>
      <c r="F71" s="195">
        <f t="shared" si="14"/>
        <v>165.18</v>
      </c>
    </row>
    <row r="72" spans="1:8">
      <c r="A72" s="587">
        <v>2010</v>
      </c>
      <c r="B72" s="191" t="s">
        <v>241</v>
      </c>
      <c r="C72" s="196"/>
      <c r="D72" s="196">
        <v>240.46</v>
      </c>
      <c r="E72" s="213">
        <v>46.24</v>
      </c>
      <c r="F72" s="193">
        <f t="shared" si="14"/>
        <v>286.7</v>
      </c>
      <c r="H72" s="9" t="s">
        <v>242</v>
      </c>
    </row>
    <row r="73" spans="1:8">
      <c r="A73" s="587"/>
      <c r="B73" s="191" t="s">
        <v>240</v>
      </c>
      <c r="C73" s="196"/>
      <c r="D73" s="196">
        <v>3.25</v>
      </c>
      <c r="E73" s="213">
        <v>0.63</v>
      </c>
      <c r="F73" s="197">
        <f t="shared" ref="F73" si="16">D73+E73</f>
        <v>3.88</v>
      </c>
    </row>
    <row r="74" spans="1:8">
      <c r="A74" s="587"/>
      <c r="B74" s="65" t="s">
        <v>143</v>
      </c>
      <c r="C74" s="15"/>
      <c r="D74" s="15">
        <v>7.3</v>
      </c>
      <c r="E74" s="9">
        <v>1.4</v>
      </c>
      <c r="F74" s="197">
        <f t="shared" ref="F74" si="17">D74+E74</f>
        <v>8.6999999999999993</v>
      </c>
      <c r="G74" s="192">
        <f>F73+F74</f>
        <v>12.579999999999998</v>
      </c>
    </row>
    <row r="75" spans="1:8">
      <c r="A75" s="587"/>
      <c r="B75" s="65" t="s">
        <v>144</v>
      </c>
      <c r="C75" s="15"/>
      <c r="D75" s="15">
        <v>6.76</v>
      </c>
      <c r="F75" s="193">
        <f t="shared" ref="F75:F93" si="18">D75+E75</f>
        <v>6.76</v>
      </c>
    </row>
    <row r="76" spans="1:8">
      <c r="A76" s="587"/>
      <c r="B76" s="191" t="s">
        <v>238</v>
      </c>
      <c r="C76" s="15"/>
      <c r="D76" s="15">
        <v>567.45000000000005</v>
      </c>
      <c r="E76" s="9">
        <v>109.13</v>
      </c>
      <c r="F76" s="193">
        <f t="shared" si="18"/>
        <v>676.58</v>
      </c>
    </row>
    <row r="77" spans="1:8">
      <c r="A77" s="587"/>
      <c r="B77" s="65" t="s">
        <v>145</v>
      </c>
      <c r="C77" s="15"/>
      <c r="D77" s="15">
        <v>44.06</v>
      </c>
      <c r="E77" s="9">
        <v>8.4700000000000006</v>
      </c>
      <c r="F77" s="15">
        <f t="shared" si="18"/>
        <v>52.53</v>
      </c>
      <c r="H77" s="9" t="s">
        <v>146</v>
      </c>
    </row>
    <row r="78" spans="1:8">
      <c r="A78" s="587"/>
      <c r="B78" s="65" t="s">
        <v>147</v>
      </c>
      <c r="C78" s="15"/>
      <c r="D78" s="15">
        <v>88.16</v>
      </c>
      <c r="E78" s="9">
        <v>16.95</v>
      </c>
      <c r="F78" s="15">
        <f t="shared" ref="F78" si="19">D78+E78</f>
        <v>105.11</v>
      </c>
      <c r="G78" s="192"/>
      <c r="H78" s="9" t="s">
        <v>204</v>
      </c>
    </row>
    <row r="79" spans="1:8">
      <c r="A79" s="587"/>
      <c r="B79" s="191" t="s">
        <v>237</v>
      </c>
      <c r="C79" s="196"/>
      <c r="D79" s="196">
        <v>0.4</v>
      </c>
      <c r="E79" s="213"/>
      <c r="F79" s="197">
        <f t="shared" si="18"/>
        <v>0.4</v>
      </c>
      <c r="G79" s="192">
        <f>F77+F78+F79</f>
        <v>158.04</v>
      </c>
    </row>
    <row r="80" spans="1:8">
      <c r="A80" s="589">
        <v>2011</v>
      </c>
      <c r="B80" s="191" t="s">
        <v>225</v>
      </c>
      <c r="C80" s="196"/>
      <c r="D80" s="196"/>
      <c r="E80" s="213">
        <v>2.72</v>
      </c>
      <c r="F80" s="197">
        <f t="shared" si="18"/>
        <v>2.72</v>
      </c>
    </row>
    <row r="81" spans="1:13">
      <c r="A81" s="589"/>
      <c r="B81" s="191" t="s">
        <v>224</v>
      </c>
      <c r="C81" s="196"/>
      <c r="D81" s="196">
        <v>0.26</v>
      </c>
      <c r="E81" s="213"/>
      <c r="F81" s="197">
        <f t="shared" si="18"/>
        <v>0.26</v>
      </c>
      <c r="G81" s="192">
        <f>F80+F81</f>
        <v>2.9800000000000004</v>
      </c>
    </row>
    <row r="82" spans="1:13">
      <c r="A82" s="589"/>
      <c r="B82" s="191" t="s">
        <v>226</v>
      </c>
      <c r="C82" s="196"/>
      <c r="D82" s="196">
        <v>1.05</v>
      </c>
      <c r="E82" s="213"/>
      <c r="F82" s="193">
        <f t="shared" si="18"/>
        <v>1.05</v>
      </c>
      <c r="H82" s="9" t="s">
        <v>227</v>
      </c>
    </row>
    <row r="83" spans="1:13">
      <c r="A83" s="589"/>
      <c r="B83" s="191" t="s">
        <v>155</v>
      </c>
      <c r="C83" s="196"/>
      <c r="D83" s="196"/>
      <c r="E83" s="213">
        <v>0.12</v>
      </c>
      <c r="F83" s="193">
        <f t="shared" ref="F83" si="20">D83+E83</f>
        <v>0.12</v>
      </c>
    </row>
    <row r="84" spans="1:13">
      <c r="A84" s="589"/>
      <c r="B84" s="191" t="s">
        <v>222</v>
      </c>
      <c r="C84" s="196"/>
      <c r="D84" s="196">
        <v>0.02</v>
      </c>
      <c r="E84" s="213">
        <v>0.01</v>
      </c>
      <c r="F84" s="197">
        <f t="shared" si="18"/>
        <v>0.03</v>
      </c>
    </row>
    <row r="85" spans="1:13">
      <c r="A85" s="589"/>
      <c r="B85" s="191" t="s">
        <v>221</v>
      </c>
      <c r="C85" s="196"/>
      <c r="D85" s="196">
        <v>7.0000000000000007E-2</v>
      </c>
      <c r="E85" s="213">
        <v>0.01</v>
      </c>
      <c r="F85" s="197">
        <f t="shared" ref="F85" si="21">D85+E85</f>
        <v>0.08</v>
      </c>
    </row>
    <row r="86" spans="1:13">
      <c r="A86" s="589"/>
      <c r="B86" s="191" t="s">
        <v>220</v>
      </c>
      <c r="C86" s="196"/>
      <c r="D86" s="196">
        <v>7.0000000000000007E-2</v>
      </c>
      <c r="E86" s="213">
        <v>0.01</v>
      </c>
      <c r="F86" s="197">
        <f t="shared" si="18"/>
        <v>0.08</v>
      </c>
      <c r="G86" s="192">
        <f>F85+F86+F84</f>
        <v>0.19</v>
      </c>
    </row>
    <row r="87" spans="1:13">
      <c r="A87" s="169">
        <v>2012</v>
      </c>
      <c r="B87" s="191" t="s">
        <v>219</v>
      </c>
      <c r="C87" s="196"/>
      <c r="D87" s="196">
        <v>1.6</v>
      </c>
      <c r="E87" s="213">
        <v>0.32</v>
      </c>
      <c r="F87" s="193">
        <f t="shared" si="18"/>
        <v>1.9200000000000002</v>
      </c>
    </row>
    <row r="88" spans="1:13">
      <c r="A88" s="169"/>
      <c r="B88" s="191" t="s">
        <v>223</v>
      </c>
      <c r="C88" s="196"/>
      <c r="D88" s="196"/>
      <c r="E88" s="213">
        <v>19.690000000000001</v>
      </c>
      <c r="F88" s="193">
        <f t="shared" si="18"/>
        <v>19.690000000000001</v>
      </c>
    </row>
    <row r="89" spans="1:13">
      <c r="A89" s="169"/>
      <c r="B89" s="191" t="s">
        <v>218</v>
      </c>
      <c r="C89" s="196"/>
      <c r="D89" s="196"/>
      <c r="E89" s="213">
        <v>0.05</v>
      </c>
      <c r="F89" s="193">
        <f t="shared" si="18"/>
        <v>0.05</v>
      </c>
    </row>
    <row r="90" spans="1:13">
      <c r="A90" s="135">
        <v>2013</v>
      </c>
      <c r="B90" s="65" t="s">
        <v>217</v>
      </c>
      <c r="C90" s="15"/>
      <c r="D90" s="15">
        <v>9.1999999999999993</v>
      </c>
      <c r="E90" s="9">
        <v>1.45</v>
      </c>
      <c r="F90" s="193">
        <f t="shared" si="18"/>
        <v>10.649999999999999</v>
      </c>
      <c r="H90" s="69"/>
    </row>
    <row r="91" spans="1:13">
      <c r="B91" s="65"/>
      <c r="C91" s="15"/>
      <c r="D91" s="15"/>
      <c r="F91" s="15">
        <f t="shared" si="18"/>
        <v>0</v>
      </c>
    </row>
    <row r="92" spans="1:13">
      <c r="C92" s="15"/>
      <c r="D92" s="15"/>
      <c r="F92" s="15">
        <f t="shared" si="18"/>
        <v>0</v>
      </c>
    </row>
    <row r="93" spans="1:13">
      <c r="D93" s="15"/>
      <c r="F93" s="15">
        <f t="shared" si="18"/>
        <v>0</v>
      </c>
    </row>
    <row r="94" spans="1:13">
      <c r="B94" s="58"/>
      <c r="C94" s="58"/>
      <c r="D94" s="199"/>
      <c r="E94" s="199"/>
      <c r="F94" s="199"/>
      <c r="G94" s="58"/>
      <c r="H94" s="1"/>
      <c r="I94" s="1"/>
      <c r="J94" s="1"/>
      <c r="K94" s="1"/>
      <c r="L94" s="1"/>
      <c r="M94" s="1"/>
    </row>
    <row r="95" spans="1:13">
      <c r="D95" s="15"/>
    </row>
  </sheetData>
  <mergeCells count="23">
    <mergeCell ref="A35:A36"/>
    <mergeCell ref="A80:A86"/>
    <mergeCell ref="M1:M2"/>
    <mergeCell ref="A31:A34"/>
    <mergeCell ref="A57:A68"/>
    <mergeCell ref="A69:A71"/>
    <mergeCell ref="A41:A43"/>
    <mergeCell ref="A23:A30"/>
    <mergeCell ref="A21:N21"/>
    <mergeCell ref="A1:A2"/>
    <mergeCell ref="B1:B2"/>
    <mergeCell ref="C1:C2"/>
    <mergeCell ref="D1:D2"/>
    <mergeCell ref="E1:E2"/>
    <mergeCell ref="A72:A79"/>
    <mergeCell ref="A44:A56"/>
    <mergeCell ref="K1:K2"/>
    <mergeCell ref="L1:L2"/>
    <mergeCell ref="H1:H2"/>
    <mergeCell ref="I1:I2"/>
    <mergeCell ref="F1:F2"/>
    <mergeCell ref="G1:G2"/>
    <mergeCell ref="J1:J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6"/>
  <sheetViews>
    <sheetView workbookViewId="0">
      <selection activeCell="A5" sqref="A5:XFD5"/>
    </sheetView>
  </sheetViews>
  <sheetFormatPr defaultRowHeight="12.75"/>
  <cols>
    <col min="1" max="1" width="5" style="9" bestFit="1" customWidth="1"/>
    <col min="2" max="3" width="5.6640625" style="9" bestFit="1" customWidth="1"/>
    <col min="4" max="4" width="6.44140625" style="9" bestFit="1" customWidth="1"/>
    <col min="5" max="10" width="5.6640625" style="9" bestFit="1" customWidth="1"/>
    <col min="11" max="13" width="6.44140625" style="9" bestFit="1" customWidth="1"/>
    <col min="14" max="14" width="7.21875" style="9" bestFit="1" customWidth="1"/>
    <col min="15" max="15" width="7.44140625" style="9" bestFit="1" customWidth="1"/>
    <col min="16" max="16" width="6.6640625" style="9" customWidth="1"/>
    <col min="17" max="17" width="4.44140625" style="9" bestFit="1" customWidth="1"/>
    <col min="18" max="18" width="3.6640625" style="9" bestFit="1" customWidth="1"/>
    <col min="19" max="19" width="5.21875" style="9" bestFit="1" customWidth="1"/>
    <col min="20" max="20" width="4.44140625" style="9" bestFit="1" customWidth="1"/>
    <col min="21" max="21" width="3.6640625" style="9" bestFit="1" customWidth="1"/>
    <col min="22" max="24" width="4.44140625" style="9" bestFit="1" customWidth="1"/>
    <col min="25" max="26" width="3.6640625" style="9" bestFit="1" customWidth="1"/>
    <col min="27" max="28" width="4.44140625" style="9" bestFit="1" customWidth="1"/>
    <col min="29" max="16384" width="8.88671875" style="9"/>
  </cols>
  <sheetData>
    <row r="1" spans="1:29" ht="15" customHeight="1" thickBot="1">
      <c r="A1" s="184"/>
      <c r="B1" s="164" t="s">
        <v>18</v>
      </c>
      <c r="C1" s="166" t="s">
        <v>19</v>
      </c>
      <c r="D1" s="164" t="s">
        <v>20</v>
      </c>
      <c r="E1" s="165" t="s">
        <v>21</v>
      </c>
      <c r="F1" s="164" t="s">
        <v>2</v>
      </c>
      <c r="G1" s="166" t="s">
        <v>22</v>
      </c>
      <c r="H1" s="164" t="s">
        <v>23</v>
      </c>
      <c r="I1" s="165" t="s">
        <v>24</v>
      </c>
      <c r="J1" s="164" t="s">
        <v>25</v>
      </c>
      <c r="K1" s="166" t="s">
        <v>26</v>
      </c>
      <c r="L1" s="164" t="s">
        <v>27</v>
      </c>
      <c r="M1" s="165" t="s">
        <v>28</v>
      </c>
      <c r="N1" s="185" t="s">
        <v>16</v>
      </c>
      <c r="O1" s="182" t="s">
        <v>74</v>
      </c>
      <c r="Q1" s="186">
        <v>1</v>
      </c>
      <c r="R1" s="186">
        <v>2</v>
      </c>
      <c r="S1" s="9">
        <v>3</v>
      </c>
      <c r="T1" s="9">
        <v>4</v>
      </c>
      <c r="U1" s="9">
        <v>5</v>
      </c>
      <c r="V1" s="9">
        <v>6</v>
      </c>
      <c r="W1" s="9">
        <v>7</v>
      </c>
      <c r="X1" s="9">
        <v>8</v>
      </c>
      <c r="Y1" s="9">
        <v>9</v>
      </c>
      <c r="Z1" s="9">
        <v>10</v>
      </c>
      <c r="AA1" s="9">
        <v>11</v>
      </c>
      <c r="AB1" s="9">
        <v>12</v>
      </c>
    </row>
    <row r="2" spans="1:29">
      <c r="A2" s="16">
        <v>1998</v>
      </c>
      <c r="B2" s="154"/>
      <c r="C2" s="154"/>
      <c r="D2" s="154"/>
      <c r="E2" s="154"/>
      <c r="F2" s="154"/>
      <c r="G2" s="154"/>
      <c r="H2" s="154"/>
      <c r="I2" s="155"/>
      <c r="J2" s="155"/>
      <c r="K2" s="155">
        <v>17.11</v>
      </c>
      <c r="L2" s="155">
        <v>15.14</v>
      </c>
      <c r="M2" s="155">
        <v>21.13</v>
      </c>
      <c r="N2" s="155">
        <f>SUM(B2:M2)</f>
        <v>53.379999999999995</v>
      </c>
      <c r="O2" s="497">
        <f>AC2</f>
        <v>594</v>
      </c>
      <c r="P2" s="15"/>
      <c r="Q2" s="498"/>
      <c r="R2" s="498"/>
      <c r="S2" s="499"/>
      <c r="T2" s="500"/>
      <c r="U2" s="500"/>
      <c r="V2" s="500"/>
      <c r="W2" s="500"/>
      <c r="Z2" s="9">
        <v>194</v>
      </c>
      <c r="AA2" s="9">
        <v>169</v>
      </c>
      <c r="AB2" s="9">
        <v>231</v>
      </c>
      <c r="AC2" s="501">
        <f>SUM(Q2:AB2)</f>
        <v>594</v>
      </c>
    </row>
    <row r="3" spans="1:29">
      <c r="A3" s="8">
        <v>1999</v>
      </c>
      <c r="B3" s="10">
        <v>8.98</v>
      </c>
      <c r="C3" s="10"/>
      <c r="D3" s="10">
        <v>24.56</v>
      </c>
      <c r="E3" s="10"/>
      <c r="F3" s="10"/>
      <c r="G3" s="10">
        <v>2.0499999999999998</v>
      </c>
      <c r="H3" s="10">
        <v>4.67</v>
      </c>
      <c r="I3" s="10">
        <v>1.76</v>
      </c>
      <c r="J3" s="10"/>
      <c r="K3" s="10"/>
      <c r="L3" s="10">
        <v>0.67</v>
      </c>
      <c r="M3" s="10"/>
      <c r="N3" s="155">
        <f>SUM(B3:M3)</f>
        <v>42.69</v>
      </c>
      <c r="O3" s="497">
        <f t="shared" ref="O3:O7" si="0">AC3</f>
        <v>437</v>
      </c>
      <c r="P3" s="15"/>
      <c r="Q3" s="65">
        <v>95</v>
      </c>
      <c r="R3" s="65"/>
      <c r="S3" s="65">
        <v>254</v>
      </c>
      <c r="T3" s="65"/>
      <c r="U3" s="65"/>
      <c r="V3" s="65">
        <v>20</v>
      </c>
      <c r="W3" s="65">
        <v>45</v>
      </c>
      <c r="X3" s="65">
        <v>17</v>
      </c>
      <c r="Y3" s="65"/>
      <c r="Z3" s="65"/>
      <c r="AA3" s="65">
        <v>6</v>
      </c>
      <c r="AB3" s="65"/>
      <c r="AC3" s="501">
        <f>SUM(Q3:AB3)</f>
        <v>437</v>
      </c>
    </row>
    <row r="4" spans="1:29">
      <c r="A4" s="8">
        <v>2000</v>
      </c>
      <c r="B4" s="10"/>
      <c r="C4" s="10"/>
      <c r="D4" s="10"/>
      <c r="E4" s="10"/>
      <c r="F4" s="10"/>
      <c r="G4" s="10">
        <v>0.6</v>
      </c>
      <c r="H4" s="10"/>
      <c r="I4" s="10"/>
      <c r="J4" s="10"/>
      <c r="K4" s="10"/>
      <c r="L4" s="10"/>
      <c r="M4" s="10"/>
      <c r="N4" s="155">
        <f>SUM(B4:M4)</f>
        <v>0.6</v>
      </c>
      <c r="O4" s="497">
        <f t="shared" si="0"/>
        <v>5</v>
      </c>
      <c r="P4" s="15"/>
      <c r="Q4" s="65"/>
      <c r="R4" s="65"/>
      <c r="S4" s="65"/>
      <c r="T4" s="65"/>
      <c r="U4" s="65"/>
      <c r="V4" s="65">
        <v>5</v>
      </c>
      <c r="W4" s="65"/>
      <c r="X4" s="65"/>
      <c r="Y4" s="65"/>
      <c r="Z4" s="65"/>
      <c r="AA4" s="65"/>
      <c r="AB4" s="65"/>
      <c r="AC4" s="501">
        <f t="shared" ref="AC4:AC7" si="1">SUM(Q4:AB4)</f>
        <v>5</v>
      </c>
    </row>
    <row r="5" spans="1:29">
      <c r="A5" s="8">
        <v>2001</v>
      </c>
      <c r="B5" s="10">
        <v>1.6</v>
      </c>
      <c r="C5" s="10"/>
      <c r="D5" s="10"/>
      <c r="E5" s="10">
        <v>6.71</v>
      </c>
      <c r="F5" s="10"/>
      <c r="G5" s="10"/>
      <c r="H5" s="10"/>
      <c r="I5" s="10">
        <v>1.35</v>
      </c>
      <c r="J5" s="10"/>
      <c r="K5" s="10"/>
      <c r="L5" s="10">
        <v>6.37</v>
      </c>
      <c r="M5" s="10">
        <v>2.85</v>
      </c>
      <c r="N5" s="155">
        <f>SUM(B5:M5)</f>
        <v>18.880000000000003</v>
      </c>
      <c r="O5" s="497">
        <f t="shared" si="0"/>
        <v>139</v>
      </c>
      <c r="P5" s="15"/>
      <c r="Q5" s="65">
        <v>12</v>
      </c>
      <c r="R5" s="65"/>
      <c r="S5" s="65"/>
      <c r="T5" s="65">
        <v>48</v>
      </c>
      <c r="U5" s="65"/>
      <c r="V5" s="65"/>
      <c r="W5" s="65"/>
      <c r="X5" s="65">
        <v>17</v>
      </c>
      <c r="Y5" s="65"/>
      <c r="Z5" s="65"/>
      <c r="AA5" s="65">
        <v>43</v>
      </c>
      <c r="AB5" s="65">
        <v>19</v>
      </c>
      <c r="AC5" s="501">
        <f t="shared" si="1"/>
        <v>139</v>
      </c>
    </row>
    <row r="6" spans="1:29">
      <c r="A6" s="8">
        <v>2002</v>
      </c>
      <c r="B6" s="178">
        <v>1.29</v>
      </c>
      <c r="C6" s="178">
        <v>1.29</v>
      </c>
      <c r="D6" s="178">
        <v>1.23</v>
      </c>
      <c r="E6" s="178">
        <v>1.1100000000000001</v>
      </c>
      <c r="F6" s="178">
        <v>1.1100000000000001</v>
      </c>
      <c r="G6" s="178">
        <v>1.1100000000000001</v>
      </c>
      <c r="H6" s="178">
        <v>1.1100000000000001</v>
      </c>
      <c r="I6" s="178">
        <v>1.1100000000000001</v>
      </c>
      <c r="J6" s="178">
        <v>1.1100000000000001</v>
      </c>
      <c r="K6" s="178">
        <v>1.1100000000000001</v>
      </c>
      <c r="L6" s="178">
        <v>1.1100000000000001</v>
      </c>
      <c r="M6" s="178">
        <v>1.1100000000000001</v>
      </c>
      <c r="N6" s="187">
        <f t="shared" ref="N6:N7" si="2">SUM(B6:M6)</f>
        <v>13.799999999999997</v>
      </c>
      <c r="O6" s="502">
        <f t="shared" si="0"/>
        <v>38</v>
      </c>
      <c r="P6" s="15"/>
      <c r="Q6" s="65">
        <v>8</v>
      </c>
      <c r="R6" s="65">
        <v>8</v>
      </c>
      <c r="S6" s="65">
        <v>8</v>
      </c>
      <c r="T6" s="65">
        <v>7</v>
      </c>
      <c r="U6" s="65">
        <v>7</v>
      </c>
      <c r="V6" s="65"/>
      <c r="W6" s="65"/>
      <c r="X6" s="65"/>
      <c r="Y6" s="65"/>
      <c r="Z6" s="65"/>
      <c r="AA6" s="65"/>
      <c r="AB6" s="65"/>
      <c r="AC6" s="501">
        <f t="shared" si="1"/>
        <v>38</v>
      </c>
    </row>
    <row r="7" spans="1:29">
      <c r="A7" s="8">
        <v>2003</v>
      </c>
      <c r="B7" s="178">
        <v>0.25</v>
      </c>
      <c r="C7" s="178">
        <v>1.1100000000000001</v>
      </c>
      <c r="D7" s="178">
        <v>1.1100000000000001</v>
      </c>
      <c r="E7" s="178">
        <v>1.1100000000000001</v>
      </c>
      <c r="F7" s="178">
        <v>1.1100000000000001</v>
      </c>
      <c r="G7" s="178">
        <v>1.1100000000000001</v>
      </c>
      <c r="H7" s="178">
        <v>1.1100000000000001</v>
      </c>
      <c r="I7" s="178">
        <v>1.1100000000000001</v>
      </c>
      <c r="J7" s="178">
        <v>1.1100000000000001</v>
      </c>
      <c r="K7" s="178">
        <v>1.1100000000000001</v>
      </c>
      <c r="L7" s="178">
        <v>1.1100000000000001</v>
      </c>
      <c r="M7" s="178">
        <v>1.1100000000000001</v>
      </c>
      <c r="N7" s="187">
        <f t="shared" si="2"/>
        <v>12.459999999999999</v>
      </c>
      <c r="O7" s="502">
        <f t="shared" si="0"/>
        <v>66</v>
      </c>
      <c r="P7" s="15"/>
      <c r="Q7" s="65">
        <v>1</v>
      </c>
      <c r="R7" s="65">
        <v>8</v>
      </c>
      <c r="S7" s="65">
        <v>7</v>
      </c>
      <c r="T7" s="65">
        <v>6</v>
      </c>
      <c r="U7" s="65">
        <v>6</v>
      </c>
      <c r="V7" s="65">
        <v>6</v>
      </c>
      <c r="W7" s="65">
        <v>6</v>
      </c>
      <c r="X7" s="65">
        <v>6</v>
      </c>
      <c r="Y7" s="65">
        <v>5</v>
      </c>
      <c r="Z7" s="65">
        <v>5</v>
      </c>
      <c r="AA7" s="65">
        <v>5</v>
      </c>
      <c r="AB7" s="65">
        <v>5</v>
      </c>
      <c r="AC7" s="501">
        <f t="shared" si="1"/>
        <v>66</v>
      </c>
    </row>
    <row r="8" spans="1:29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8">
        <f>SUM(N2:N7)</f>
        <v>141.80999999999997</v>
      </c>
      <c r="O8" s="496">
        <f>SUM(O2:O7)</f>
        <v>1279</v>
      </c>
    </row>
    <row r="9" spans="1:29">
      <c r="O9" s="148">
        <v>45324</v>
      </c>
    </row>
    <row r="10" spans="1:29">
      <c r="O10" s="304" t="s">
        <v>470</v>
      </c>
    </row>
    <row r="11" spans="1:29">
      <c r="A11" s="588" t="s">
        <v>336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179"/>
      <c r="P11" s="188" t="s">
        <v>87</v>
      </c>
      <c r="Q11" s="179"/>
      <c r="R11" s="179"/>
    </row>
    <row r="15" spans="1:29">
      <c r="K15" s="15"/>
    </row>
    <row r="16" spans="1:29">
      <c r="G16" s="15"/>
    </row>
  </sheetData>
  <mergeCells count="1">
    <mergeCell ref="A11:N1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40"/>
  <sheetViews>
    <sheetView topLeftCell="M1" workbookViewId="0">
      <pane ySplit="2" topLeftCell="A3" activePane="bottomLeft" state="frozen"/>
      <selection pane="bottomLeft" activeCell="AF27" sqref="AF27"/>
    </sheetView>
  </sheetViews>
  <sheetFormatPr defaultRowHeight="11.25"/>
  <cols>
    <col min="1" max="1" width="3.44140625" style="1" bestFit="1" customWidth="1"/>
    <col min="2" max="2" width="6.33203125" style="1" bestFit="1" customWidth="1"/>
    <col min="3" max="3" width="8" style="1" bestFit="1" customWidth="1"/>
    <col min="4" max="4" width="3.109375" style="1" bestFit="1" customWidth="1"/>
    <col min="5" max="6" width="6.33203125" style="1" bestFit="1" customWidth="1"/>
    <col min="7" max="7" width="7.33203125" style="1" bestFit="1" customWidth="1"/>
    <col min="8" max="8" width="8" style="1" bestFit="1" customWidth="1"/>
    <col min="9" max="9" width="6.33203125" style="1" bestFit="1" customWidth="1"/>
    <col min="10" max="10" width="7.33203125" style="1" bestFit="1" customWidth="1"/>
    <col min="11" max="11" width="6.33203125" style="1" bestFit="1" customWidth="1"/>
    <col min="12" max="12" width="7.33203125" style="1" bestFit="1" customWidth="1"/>
    <col min="13" max="13" width="5.6640625" style="1" bestFit="1" customWidth="1"/>
    <col min="14" max="14" width="7.33203125" style="1" bestFit="1" customWidth="1"/>
    <col min="15" max="15" width="6.33203125" style="1" bestFit="1" customWidth="1"/>
    <col min="16" max="16" width="7.33203125" style="1" bestFit="1" customWidth="1"/>
    <col min="17" max="17" width="6.33203125" style="1" bestFit="1" customWidth="1"/>
    <col min="18" max="19" width="7.33203125" style="1" bestFit="1" customWidth="1"/>
    <col min="20" max="20" width="6.33203125" style="1" bestFit="1" customWidth="1"/>
    <col min="21" max="21" width="7.33203125" style="1" bestFit="1" customWidth="1"/>
    <col min="22" max="22" width="6.33203125" style="1" bestFit="1" customWidth="1"/>
    <col min="23" max="23" width="7.109375" style="1" bestFit="1" customWidth="1"/>
    <col min="24" max="24" width="6.33203125" style="1" bestFit="1" customWidth="1"/>
    <col min="25" max="25" width="8.6640625" style="1" bestFit="1" customWidth="1"/>
    <col min="26" max="26" width="7.33203125" style="1" bestFit="1" customWidth="1"/>
    <col min="27" max="27" width="6.33203125" style="1" bestFit="1" customWidth="1"/>
    <col min="28" max="28" width="7.33203125" style="1" bestFit="1" customWidth="1"/>
    <col min="29" max="29" width="6.33203125" style="1" bestFit="1" customWidth="1"/>
    <col min="30" max="30" width="8" style="1" bestFit="1" customWidth="1"/>
    <col min="31" max="31" width="8" style="1" customWidth="1"/>
    <col min="32" max="32" width="8.6640625" style="1" bestFit="1" customWidth="1"/>
    <col min="33" max="33" width="8" style="1" bestFit="1" customWidth="1"/>
    <col min="34" max="34" width="8" style="1" customWidth="1"/>
    <col min="35" max="35" width="8.6640625" style="1" bestFit="1" customWidth="1"/>
    <col min="36" max="36" width="10.44140625" style="1" bestFit="1" customWidth="1"/>
    <col min="37" max="37" width="9.88671875" style="1" bestFit="1" customWidth="1"/>
    <col min="38" max="38" width="11.88671875" style="1" customWidth="1"/>
    <col min="39" max="16384" width="8.88671875" style="1"/>
  </cols>
  <sheetData>
    <row r="1" spans="1:37">
      <c r="A1" s="114"/>
      <c r="B1" s="527" t="s">
        <v>18</v>
      </c>
      <c r="C1" s="551"/>
      <c r="D1" s="551"/>
      <c r="E1" s="522" t="s">
        <v>19</v>
      </c>
      <c r="F1" s="524"/>
      <c r="G1" s="527" t="s">
        <v>20</v>
      </c>
      <c r="H1" s="551"/>
      <c r="I1" s="528"/>
      <c r="J1" s="520" t="s">
        <v>21</v>
      </c>
      <c r="K1" s="521"/>
      <c r="L1" s="527" t="s">
        <v>2</v>
      </c>
      <c r="M1" s="528"/>
      <c r="N1" s="522" t="s">
        <v>22</v>
      </c>
      <c r="O1" s="524"/>
      <c r="P1" s="527" t="s">
        <v>23</v>
      </c>
      <c r="Q1" s="528"/>
      <c r="R1" s="520" t="s">
        <v>24</v>
      </c>
      <c r="S1" s="521"/>
      <c r="T1" s="527" t="s">
        <v>25</v>
      </c>
      <c r="U1" s="528"/>
      <c r="V1" s="522" t="s">
        <v>26</v>
      </c>
      <c r="W1" s="523"/>
      <c r="X1" s="524"/>
      <c r="Y1" s="527" t="s">
        <v>27</v>
      </c>
      <c r="Z1" s="551"/>
      <c r="AA1" s="528"/>
      <c r="AB1" s="520" t="s">
        <v>28</v>
      </c>
      <c r="AC1" s="521"/>
      <c r="AD1" s="516" t="s">
        <v>45</v>
      </c>
      <c r="AE1" s="516" t="s">
        <v>84</v>
      </c>
      <c r="AF1" s="516" t="s">
        <v>74</v>
      </c>
      <c r="AG1" s="516" t="s">
        <v>73</v>
      </c>
      <c r="AH1" s="516" t="s">
        <v>84</v>
      </c>
      <c r="AI1" s="516" t="s">
        <v>74</v>
      </c>
      <c r="AK1" s="603" t="s">
        <v>75</v>
      </c>
    </row>
    <row r="2" spans="1:37">
      <c r="A2" s="114"/>
      <c r="B2" s="113" t="s">
        <v>45</v>
      </c>
      <c r="C2" s="113" t="s">
        <v>76</v>
      </c>
      <c r="D2" s="113" t="s">
        <v>73</v>
      </c>
      <c r="E2" s="115" t="s">
        <v>45</v>
      </c>
      <c r="F2" s="115" t="s">
        <v>73</v>
      </c>
      <c r="G2" s="113" t="s">
        <v>45</v>
      </c>
      <c r="H2" s="113" t="s">
        <v>77</v>
      </c>
      <c r="I2" s="113" t="s">
        <v>73</v>
      </c>
      <c r="J2" s="116" t="s">
        <v>45</v>
      </c>
      <c r="K2" s="116" t="s">
        <v>73</v>
      </c>
      <c r="L2" s="113" t="s">
        <v>45</v>
      </c>
      <c r="M2" s="113" t="s">
        <v>73</v>
      </c>
      <c r="N2" s="115" t="s">
        <v>45</v>
      </c>
      <c r="O2" s="115" t="s">
        <v>73</v>
      </c>
      <c r="P2" s="113" t="s">
        <v>45</v>
      </c>
      <c r="Q2" s="113" t="s">
        <v>73</v>
      </c>
      <c r="R2" s="116" t="s">
        <v>45</v>
      </c>
      <c r="S2" s="116" t="s">
        <v>73</v>
      </c>
      <c r="T2" s="113" t="s">
        <v>45</v>
      </c>
      <c r="U2" s="113" t="s">
        <v>73</v>
      </c>
      <c r="V2" s="115" t="s">
        <v>45</v>
      </c>
      <c r="W2" s="115" t="s">
        <v>33</v>
      </c>
      <c r="X2" s="115" t="s">
        <v>73</v>
      </c>
      <c r="Y2" s="113" t="s">
        <v>45</v>
      </c>
      <c r="Z2" s="113" t="s">
        <v>33</v>
      </c>
      <c r="AA2" s="113" t="s">
        <v>73</v>
      </c>
      <c r="AB2" s="116" t="s">
        <v>45</v>
      </c>
      <c r="AC2" s="116" t="s">
        <v>73</v>
      </c>
      <c r="AD2" s="602"/>
      <c r="AE2" s="602"/>
      <c r="AF2" s="602"/>
      <c r="AG2" s="602"/>
      <c r="AH2" s="602"/>
      <c r="AI2" s="602"/>
      <c r="AK2" s="603"/>
    </row>
    <row r="3" spans="1:37">
      <c r="A3" s="23">
        <v>1998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>
        <v>436.92</v>
      </c>
      <c r="T3" s="42">
        <v>89.36</v>
      </c>
      <c r="U3" s="42">
        <v>118.19</v>
      </c>
      <c r="V3" s="42"/>
      <c r="W3" s="53"/>
      <c r="X3" s="42">
        <v>199.27</v>
      </c>
      <c r="Y3" s="42"/>
      <c r="Z3" s="53"/>
      <c r="AA3" s="42"/>
      <c r="AB3" s="42"/>
      <c r="AC3" s="42"/>
      <c r="AD3" s="42">
        <f>B3+E3+G3+J3+L3+N3+P3+R3+T3+V3+Y3+AB3</f>
        <v>89.36</v>
      </c>
      <c r="AE3" s="42">
        <f>AD3*30%</f>
        <v>26.808</v>
      </c>
      <c r="AF3" s="302">
        <v>263</v>
      </c>
      <c r="AG3" s="42">
        <f t="shared" ref="AG3:AG17" si="0">D3+F3+I3+K3+M3+O3+Q3+S3+U3+X3+AA3+AC3</f>
        <v>754.38</v>
      </c>
      <c r="AH3" s="42">
        <f>AG3*30%</f>
        <v>226.31399999999999</v>
      </c>
      <c r="AI3" s="302">
        <v>2223</v>
      </c>
    </row>
    <row r="4" spans="1:37">
      <c r="A4" s="2">
        <v>1999</v>
      </c>
      <c r="B4" s="43"/>
      <c r="C4" s="5"/>
      <c r="D4" s="43"/>
      <c r="E4" s="43">
        <v>359.72</v>
      </c>
      <c r="F4" s="43">
        <v>851.56</v>
      </c>
      <c r="G4" s="43">
        <v>58.76</v>
      </c>
      <c r="H4" s="5"/>
      <c r="I4" s="43"/>
      <c r="J4" s="43"/>
      <c r="K4" s="43">
        <v>178.48</v>
      </c>
      <c r="L4" s="43"/>
      <c r="M4" s="43">
        <v>90.21</v>
      </c>
      <c r="N4" s="43"/>
      <c r="O4" s="43">
        <v>108.2</v>
      </c>
      <c r="P4" s="43"/>
      <c r="Q4" s="43">
        <v>175.04</v>
      </c>
      <c r="R4" s="43"/>
      <c r="S4" s="43">
        <v>216.61</v>
      </c>
      <c r="T4" s="43"/>
      <c r="U4" s="43">
        <v>375.34</v>
      </c>
      <c r="V4" s="43"/>
      <c r="W4" s="5"/>
      <c r="X4" s="43">
        <v>186.13</v>
      </c>
      <c r="Y4" s="43"/>
      <c r="Z4" s="5"/>
      <c r="AA4" s="43">
        <v>175.46</v>
      </c>
      <c r="AB4" s="43"/>
      <c r="AC4" s="43">
        <v>69.69</v>
      </c>
      <c r="AD4" s="42">
        <f t="shared" ref="AD4:AD17" si="1">B4+E4+G4+J4+L4+N4+P4+R4+T4+V4+Y4+AB4</f>
        <v>418.48</v>
      </c>
      <c r="AE4" s="42">
        <f t="shared" ref="AE4:AE18" si="2">AD4*30%</f>
        <v>125.544</v>
      </c>
      <c r="AF4" s="302">
        <v>1017</v>
      </c>
      <c r="AG4" s="42">
        <f t="shared" si="0"/>
        <v>2426.7199999999998</v>
      </c>
      <c r="AH4" s="42">
        <f t="shared" ref="AH4:AH18" si="3">AG4*30%</f>
        <v>728.01599999999996</v>
      </c>
      <c r="AI4" s="302">
        <v>5897</v>
      </c>
    </row>
    <row r="5" spans="1:37">
      <c r="A5" s="2">
        <v>2000</v>
      </c>
      <c r="B5" s="43"/>
      <c r="C5" s="5"/>
      <c r="D5" s="43"/>
      <c r="E5" s="43"/>
      <c r="F5" s="43"/>
      <c r="G5" s="43">
        <v>364.25</v>
      </c>
      <c r="H5" s="53"/>
      <c r="I5" s="42">
        <v>138.52000000000001</v>
      </c>
      <c r="J5" s="43">
        <v>413.28</v>
      </c>
      <c r="K5" s="43">
        <v>85.17</v>
      </c>
      <c r="L5" s="43">
        <v>137.11000000000001</v>
      </c>
      <c r="M5" s="43">
        <v>83.84</v>
      </c>
      <c r="N5" s="43"/>
      <c r="O5" s="43">
        <v>310.44</v>
      </c>
      <c r="P5" s="43">
        <v>1291.05</v>
      </c>
      <c r="Q5" s="43">
        <v>139.36000000000001</v>
      </c>
      <c r="R5" s="43"/>
      <c r="S5" s="43">
        <v>310.44</v>
      </c>
      <c r="T5" s="43"/>
      <c r="U5" s="43"/>
      <c r="V5" s="43"/>
      <c r="W5" s="5"/>
      <c r="X5" s="43"/>
      <c r="Y5" s="43"/>
      <c r="Z5" s="5"/>
      <c r="AA5" s="43"/>
      <c r="AB5" s="43"/>
      <c r="AC5" s="42"/>
      <c r="AD5" s="42">
        <f t="shared" si="1"/>
        <v>2205.69</v>
      </c>
      <c r="AE5" s="42">
        <f t="shared" si="2"/>
        <v>661.70699999999999</v>
      </c>
      <c r="AF5" s="302">
        <v>4657</v>
      </c>
      <c r="AG5" s="42">
        <f t="shared" si="0"/>
        <v>1067.77</v>
      </c>
      <c r="AH5" s="42">
        <f t="shared" si="3"/>
        <v>320.33099999999996</v>
      </c>
      <c r="AI5" s="302">
        <v>2255</v>
      </c>
    </row>
    <row r="6" spans="1:37">
      <c r="A6" s="2">
        <v>2001</v>
      </c>
      <c r="B6" s="43"/>
      <c r="C6" s="5"/>
      <c r="D6" s="43"/>
      <c r="E6" s="43">
        <v>108.95</v>
      </c>
      <c r="F6" s="43"/>
      <c r="G6" s="43">
        <v>628.26</v>
      </c>
      <c r="H6" s="5"/>
      <c r="I6" s="43"/>
      <c r="J6" s="43">
        <v>123.07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"/>
      <c r="X6" s="43"/>
      <c r="Y6" s="43"/>
      <c r="Z6" s="5"/>
      <c r="AA6" s="43"/>
      <c r="AB6" s="43"/>
      <c r="AC6" s="42"/>
      <c r="AD6" s="42">
        <f t="shared" si="1"/>
        <v>860.28</v>
      </c>
      <c r="AE6" s="42">
        <f t="shared" si="2"/>
        <v>258.084</v>
      </c>
      <c r="AF6" s="302">
        <v>1618</v>
      </c>
      <c r="AG6" s="42">
        <f t="shared" si="0"/>
        <v>0</v>
      </c>
      <c r="AH6" s="42">
        <f t="shared" si="3"/>
        <v>0</v>
      </c>
      <c r="AI6" s="302"/>
    </row>
    <row r="7" spans="1:37">
      <c r="A7" s="2">
        <v>2002</v>
      </c>
      <c r="B7" s="43"/>
      <c r="C7" s="5"/>
      <c r="D7" s="43"/>
      <c r="E7" s="43"/>
      <c r="F7" s="43"/>
      <c r="G7" s="43"/>
      <c r="H7" s="5"/>
      <c r="I7" s="43"/>
      <c r="J7" s="43"/>
      <c r="K7" s="43"/>
      <c r="L7" s="43">
        <v>1298.55</v>
      </c>
      <c r="M7" s="43"/>
      <c r="N7" s="43">
        <v>190.06</v>
      </c>
      <c r="O7" s="43">
        <v>127.7</v>
      </c>
      <c r="P7" s="43"/>
      <c r="Q7" s="43"/>
      <c r="R7" s="43"/>
      <c r="S7" s="43"/>
      <c r="T7" s="43"/>
      <c r="U7" s="43"/>
      <c r="V7" s="43"/>
      <c r="W7" s="5"/>
      <c r="X7" s="43"/>
      <c r="Y7" s="43"/>
      <c r="Z7" s="5"/>
      <c r="AA7" s="43"/>
      <c r="AB7" s="43"/>
      <c r="AC7" s="42"/>
      <c r="AD7" s="42">
        <f t="shared" si="1"/>
        <v>1488.61</v>
      </c>
      <c r="AE7" s="42">
        <f t="shared" si="2"/>
        <v>446.58299999999997</v>
      </c>
      <c r="AF7" s="302">
        <v>2515</v>
      </c>
      <c r="AG7" s="42">
        <f t="shared" si="0"/>
        <v>127.7</v>
      </c>
      <c r="AH7" s="42">
        <f t="shared" si="3"/>
        <v>38.31</v>
      </c>
      <c r="AI7" s="302">
        <v>216</v>
      </c>
    </row>
    <row r="8" spans="1:37">
      <c r="A8" s="2">
        <v>2003</v>
      </c>
      <c r="B8" s="44"/>
      <c r="C8" s="117"/>
      <c r="D8" s="44"/>
      <c r="E8" s="44"/>
      <c r="F8" s="44"/>
      <c r="G8" s="44"/>
      <c r="H8" s="117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117"/>
      <c r="X8" s="44"/>
      <c r="Y8" s="44"/>
      <c r="Z8" s="117"/>
      <c r="AA8" s="44"/>
      <c r="AB8" s="44"/>
      <c r="AC8" s="118"/>
      <c r="AD8" s="42">
        <f t="shared" si="1"/>
        <v>0</v>
      </c>
      <c r="AE8" s="42">
        <f t="shared" si="2"/>
        <v>0</v>
      </c>
      <c r="AF8" s="302"/>
      <c r="AG8" s="42">
        <f t="shared" si="0"/>
        <v>0</v>
      </c>
      <c r="AH8" s="42">
        <f t="shared" si="3"/>
        <v>0</v>
      </c>
      <c r="AI8" s="302"/>
    </row>
    <row r="9" spans="1:37">
      <c r="A9" s="2">
        <v>2004</v>
      </c>
      <c r="B9" s="44"/>
      <c r="C9" s="117"/>
      <c r="D9" s="44"/>
      <c r="E9" s="44"/>
      <c r="F9" s="44"/>
      <c r="G9" s="44"/>
      <c r="H9" s="117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117"/>
      <c r="X9" s="44"/>
      <c r="Y9" s="44"/>
      <c r="Z9" s="117"/>
      <c r="AA9" s="44"/>
      <c r="AB9" s="44"/>
      <c r="AC9" s="118"/>
      <c r="AD9" s="42">
        <f t="shared" si="1"/>
        <v>0</v>
      </c>
      <c r="AE9" s="42">
        <f t="shared" si="2"/>
        <v>0</v>
      </c>
      <c r="AF9" s="302"/>
      <c r="AG9" s="42">
        <f t="shared" si="0"/>
        <v>0</v>
      </c>
      <c r="AH9" s="42">
        <f t="shared" si="3"/>
        <v>0</v>
      </c>
      <c r="AI9" s="302"/>
    </row>
    <row r="10" spans="1:37">
      <c r="A10" s="2">
        <v>2005</v>
      </c>
      <c r="B10" s="43"/>
      <c r="C10" s="5"/>
      <c r="D10" s="43"/>
      <c r="E10" s="43"/>
      <c r="F10" s="43"/>
      <c r="G10" s="43"/>
      <c r="H10" s="5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5"/>
      <c r="X10" s="43"/>
      <c r="Y10" s="43"/>
      <c r="Z10" s="5"/>
      <c r="AA10" s="43"/>
      <c r="AB10" s="43"/>
      <c r="AC10" s="42"/>
      <c r="AD10" s="42">
        <f t="shared" si="1"/>
        <v>0</v>
      </c>
      <c r="AE10" s="42">
        <f t="shared" si="2"/>
        <v>0</v>
      </c>
      <c r="AF10" s="302"/>
      <c r="AG10" s="42">
        <f t="shared" si="0"/>
        <v>0</v>
      </c>
      <c r="AH10" s="42">
        <f t="shared" si="3"/>
        <v>0</v>
      </c>
      <c r="AI10" s="302"/>
    </row>
    <row r="11" spans="1:37">
      <c r="A11" s="2">
        <v>2006</v>
      </c>
      <c r="B11" s="43"/>
      <c r="C11" s="5"/>
      <c r="D11" s="43"/>
      <c r="E11" s="43"/>
      <c r="F11" s="43"/>
      <c r="G11" s="43"/>
      <c r="H11" s="5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5"/>
      <c r="X11" s="43"/>
      <c r="Y11" s="43"/>
      <c r="Z11" s="5"/>
      <c r="AA11" s="43"/>
      <c r="AB11" s="43"/>
      <c r="AC11" s="42"/>
      <c r="AD11" s="42">
        <f t="shared" si="1"/>
        <v>0</v>
      </c>
      <c r="AE11" s="42">
        <f t="shared" si="2"/>
        <v>0</v>
      </c>
      <c r="AF11" s="302"/>
      <c r="AG11" s="42">
        <f t="shared" si="0"/>
        <v>0</v>
      </c>
      <c r="AH11" s="42">
        <f t="shared" si="3"/>
        <v>0</v>
      </c>
      <c r="AI11" s="302"/>
    </row>
    <row r="12" spans="1:37">
      <c r="A12" s="2">
        <v>2007</v>
      </c>
      <c r="B12" s="43"/>
      <c r="C12" s="5"/>
      <c r="D12" s="43"/>
      <c r="E12" s="43"/>
      <c r="F12" s="43"/>
      <c r="G12" s="43"/>
      <c r="H12" s="5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5"/>
      <c r="X12" s="43"/>
      <c r="Y12" s="43"/>
      <c r="Z12" s="5"/>
      <c r="AA12" s="43"/>
      <c r="AB12" s="43"/>
      <c r="AC12" s="42"/>
      <c r="AD12" s="42">
        <f t="shared" si="1"/>
        <v>0</v>
      </c>
      <c r="AE12" s="42">
        <f t="shared" si="2"/>
        <v>0</v>
      </c>
      <c r="AF12" s="302"/>
      <c r="AG12" s="42">
        <f t="shared" si="0"/>
        <v>0</v>
      </c>
      <c r="AH12" s="42">
        <f t="shared" si="3"/>
        <v>0</v>
      </c>
      <c r="AI12" s="302"/>
    </row>
    <row r="13" spans="1:37">
      <c r="A13" s="2">
        <v>2008</v>
      </c>
      <c r="B13" s="43"/>
      <c r="C13" s="5"/>
      <c r="D13" s="43"/>
      <c r="E13" s="43"/>
      <c r="F13" s="43"/>
      <c r="G13" s="44">
        <v>1287.4100000000001</v>
      </c>
      <c r="H13" s="117"/>
      <c r="I13" s="44">
        <v>652.96</v>
      </c>
      <c r="J13" s="43">
        <v>543.55999999999995</v>
      </c>
      <c r="K13" s="43"/>
      <c r="L13" s="43"/>
      <c r="M13" s="43"/>
      <c r="N13" s="43"/>
      <c r="O13" s="43"/>
      <c r="P13" s="43"/>
      <c r="Q13" s="43"/>
      <c r="R13" s="43">
        <v>227.17</v>
      </c>
      <c r="S13" s="43"/>
      <c r="T13" s="43"/>
      <c r="U13" s="43"/>
      <c r="V13" s="43"/>
      <c r="W13" s="5"/>
      <c r="X13" s="43"/>
      <c r="Y13" s="43"/>
      <c r="Z13" s="5"/>
      <c r="AA13" s="43"/>
      <c r="AB13" s="43"/>
      <c r="AC13" s="42">
        <v>606.33000000000004</v>
      </c>
      <c r="AD13" s="42">
        <f t="shared" si="1"/>
        <v>2058.14</v>
      </c>
      <c r="AE13" s="42">
        <f t="shared" si="2"/>
        <v>617.44199999999989</v>
      </c>
      <c r="AF13" s="302">
        <v>1385</v>
      </c>
      <c r="AG13" s="42">
        <f t="shared" si="0"/>
        <v>1259.29</v>
      </c>
      <c r="AH13" s="42">
        <f t="shared" si="3"/>
        <v>377.78699999999998</v>
      </c>
      <c r="AI13" s="302">
        <v>1123</v>
      </c>
    </row>
    <row r="14" spans="1:37">
      <c r="A14" s="2">
        <v>2009</v>
      </c>
      <c r="B14" s="43"/>
      <c r="C14" s="5"/>
      <c r="D14" s="43"/>
      <c r="E14" s="43"/>
      <c r="F14" s="43"/>
      <c r="G14" s="43"/>
      <c r="H14" s="5"/>
      <c r="I14" s="43"/>
      <c r="J14" s="43"/>
      <c r="K14" s="43"/>
      <c r="L14" s="43"/>
      <c r="M14" s="43"/>
      <c r="N14" s="43">
        <v>1796.96</v>
      </c>
      <c r="O14" s="43"/>
      <c r="P14" s="43"/>
      <c r="Q14" s="43"/>
      <c r="R14" s="43">
        <v>4376.25</v>
      </c>
      <c r="S14" s="43">
        <v>2038.78</v>
      </c>
      <c r="T14" s="43"/>
      <c r="U14" s="43">
        <v>1893.95</v>
      </c>
      <c r="V14" s="43"/>
      <c r="W14" s="5"/>
      <c r="X14" s="43"/>
      <c r="Y14" s="43"/>
      <c r="Z14" s="5"/>
      <c r="AA14" s="43"/>
      <c r="AB14" s="43"/>
      <c r="AC14" s="42"/>
      <c r="AD14" s="42">
        <f t="shared" si="1"/>
        <v>6173.21</v>
      </c>
      <c r="AE14" s="42">
        <f t="shared" si="2"/>
        <v>1851.963</v>
      </c>
      <c r="AF14" s="302">
        <v>5044</v>
      </c>
      <c r="AG14" s="42">
        <f t="shared" si="0"/>
        <v>3932.73</v>
      </c>
      <c r="AH14" s="42">
        <f t="shared" si="3"/>
        <v>1179.819</v>
      </c>
      <c r="AI14" s="302">
        <v>3213</v>
      </c>
    </row>
    <row r="15" spans="1:37">
      <c r="A15" s="2">
        <v>2010</v>
      </c>
      <c r="B15" s="43">
        <v>115.64</v>
      </c>
      <c r="C15" s="5"/>
      <c r="D15" s="43"/>
      <c r="E15" s="43"/>
      <c r="F15" s="43"/>
      <c r="G15" s="43"/>
      <c r="H15" s="5"/>
      <c r="I15" s="43"/>
      <c r="J15" s="43">
        <v>4847.93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5"/>
      <c r="X15" s="43"/>
      <c r="Y15" s="43"/>
      <c r="Z15" s="5"/>
      <c r="AA15" s="43"/>
      <c r="AB15" s="43">
        <v>949.55</v>
      </c>
      <c r="AC15" s="42"/>
      <c r="AD15" s="42">
        <f t="shared" si="1"/>
        <v>5913.1200000000008</v>
      </c>
      <c r="AE15" s="42">
        <f t="shared" si="2"/>
        <v>1773.9360000000001</v>
      </c>
      <c r="AF15" s="302">
        <v>4425</v>
      </c>
      <c r="AG15" s="42">
        <f t="shared" si="0"/>
        <v>0</v>
      </c>
      <c r="AH15" s="42">
        <f t="shared" si="3"/>
        <v>0</v>
      </c>
      <c r="AI15" s="302"/>
    </row>
    <row r="16" spans="1:37">
      <c r="A16" s="2">
        <v>2011</v>
      </c>
      <c r="B16" s="43">
        <v>936.84</v>
      </c>
      <c r="C16" s="5"/>
      <c r="D16" s="43"/>
      <c r="E16" s="43"/>
      <c r="F16" s="43"/>
      <c r="G16" s="43"/>
      <c r="H16" s="5"/>
      <c r="I16" s="43"/>
      <c r="J16" s="43"/>
      <c r="K16" s="43"/>
      <c r="L16" s="43">
        <v>2115.19</v>
      </c>
      <c r="M16" s="43"/>
      <c r="N16" s="43">
        <v>1166.7</v>
      </c>
      <c r="O16" s="43"/>
      <c r="P16" s="43">
        <v>357.27</v>
      </c>
      <c r="Q16" s="43"/>
      <c r="R16" s="43">
        <v>293</v>
      </c>
      <c r="S16" s="43"/>
      <c r="T16" s="43">
        <v>578</v>
      </c>
      <c r="U16" s="43"/>
      <c r="V16" s="43">
        <v>297.44</v>
      </c>
      <c r="W16" s="5"/>
      <c r="X16" s="43"/>
      <c r="Y16" s="43">
        <v>50.42</v>
      </c>
      <c r="Z16" s="5"/>
      <c r="AA16" s="43"/>
      <c r="AB16" s="43">
        <v>261.22000000000003</v>
      </c>
      <c r="AC16" s="42"/>
      <c r="AD16" s="42">
        <f t="shared" si="1"/>
        <v>6056.08</v>
      </c>
      <c r="AE16" s="42">
        <f t="shared" si="2"/>
        <v>1816.8239999999998</v>
      </c>
      <c r="AF16" s="302">
        <v>4150</v>
      </c>
      <c r="AG16" s="42">
        <f t="shared" si="0"/>
        <v>0</v>
      </c>
      <c r="AH16" s="42">
        <f t="shared" si="3"/>
        <v>0</v>
      </c>
      <c r="AI16" s="302"/>
    </row>
    <row r="17" spans="1:39">
      <c r="A17" s="2">
        <v>2012</v>
      </c>
      <c r="B17" s="43">
        <v>660</v>
      </c>
      <c r="C17" s="5"/>
      <c r="D17" s="43"/>
      <c r="E17" s="43"/>
      <c r="F17" s="43"/>
      <c r="G17" s="43"/>
      <c r="H17" s="5"/>
      <c r="I17" s="43"/>
      <c r="J17" s="43"/>
      <c r="K17" s="43"/>
      <c r="L17" s="43"/>
      <c r="M17" s="43"/>
      <c r="N17" s="43">
        <v>160.58000000000001</v>
      </c>
      <c r="O17" s="43"/>
      <c r="P17" s="43">
        <v>86</v>
      </c>
      <c r="Q17" s="43"/>
      <c r="R17" s="43"/>
      <c r="S17" s="43"/>
      <c r="T17" s="43">
        <v>459</v>
      </c>
      <c r="U17" s="43"/>
      <c r="V17" s="43">
        <v>311.73</v>
      </c>
      <c r="W17" s="5"/>
      <c r="X17" s="43"/>
      <c r="Y17" s="43">
        <v>137.78</v>
      </c>
      <c r="Z17" s="5"/>
      <c r="AA17" s="43"/>
      <c r="AB17" s="43">
        <v>576.57000000000005</v>
      </c>
      <c r="AC17" s="42"/>
      <c r="AD17" s="42">
        <f t="shared" si="1"/>
        <v>2391.66</v>
      </c>
      <c r="AE17" s="42">
        <f t="shared" si="2"/>
        <v>717.49799999999993</v>
      </c>
      <c r="AF17" s="302">
        <v>1507</v>
      </c>
      <c r="AG17" s="42">
        <f t="shared" si="0"/>
        <v>0</v>
      </c>
      <c r="AH17" s="42">
        <f t="shared" si="3"/>
        <v>0</v>
      </c>
      <c r="AI17" s="302"/>
    </row>
    <row r="18" spans="1:39">
      <c r="A18" s="2">
        <v>2013</v>
      </c>
      <c r="B18" s="43">
        <v>323.85000000000002</v>
      </c>
      <c r="C18" s="43">
        <v>10000</v>
      </c>
      <c r="D18" s="43"/>
      <c r="E18" s="43">
        <v>324.05</v>
      </c>
      <c r="F18" s="43"/>
      <c r="G18" s="43">
        <v>150</v>
      </c>
      <c r="H18" s="43">
        <v>13536.04</v>
      </c>
      <c r="I18" s="43"/>
      <c r="J18" s="43">
        <v>295</v>
      </c>
      <c r="K18" s="43"/>
      <c r="L18" s="43">
        <v>500</v>
      </c>
      <c r="M18" s="43"/>
      <c r="N18" s="43">
        <v>506</v>
      </c>
      <c r="O18" s="43"/>
      <c r="P18" s="43">
        <v>115</v>
      </c>
      <c r="Q18" s="43"/>
      <c r="R18" s="43">
        <v>151.66999999999999</v>
      </c>
      <c r="S18" s="43"/>
      <c r="T18" s="43">
        <v>462</v>
      </c>
      <c r="U18" s="43"/>
      <c r="V18" s="43">
        <v>262.25</v>
      </c>
      <c r="W18" s="120">
        <v>75.61</v>
      </c>
      <c r="X18" s="43">
        <v>204.02</v>
      </c>
      <c r="Y18" s="43">
        <v>258.97000000000003</v>
      </c>
      <c r="Z18" s="120">
        <v>1009.18</v>
      </c>
      <c r="AA18" s="43">
        <v>248.85</v>
      </c>
      <c r="AB18" s="43">
        <v>276.73</v>
      </c>
      <c r="AC18" s="42">
        <v>184.47</v>
      </c>
      <c r="AD18" s="121">
        <v>21946.87</v>
      </c>
      <c r="AE18" s="42">
        <f t="shared" si="2"/>
        <v>6584.0609999999997</v>
      </c>
      <c r="AF18" s="302">
        <v>12794</v>
      </c>
      <c r="AG18" s="42"/>
      <c r="AH18" s="42">
        <f t="shared" si="3"/>
        <v>0</v>
      </c>
      <c r="AI18" s="302"/>
      <c r="AJ18" s="68"/>
    </row>
    <row r="19" spans="1:39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43">
        <f t="shared" ref="AD19:AH19" si="4">SUM(AD3:AD18)</f>
        <v>49601.5</v>
      </c>
      <c r="AE19" s="43">
        <f t="shared" si="4"/>
        <v>14880.45</v>
      </c>
      <c r="AF19" s="299">
        <f t="shared" si="4"/>
        <v>39375</v>
      </c>
      <c r="AG19" s="43">
        <f t="shared" si="4"/>
        <v>9568.59</v>
      </c>
      <c r="AH19" s="43">
        <f t="shared" si="4"/>
        <v>2870.5769999999998</v>
      </c>
      <c r="AI19" s="299">
        <f>SUM(AI3:AI18)</f>
        <v>14927</v>
      </c>
      <c r="AK19" s="119"/>
    </row>
    <row r="20" spans="1:39">
      <c r="Y20" s="1" t="s">
        <v>78</v>
      </c>
      <c r="AH20" s="6">
        <f>AE19+AH19</f>
        <v>17751.027000000002</v>
      </c>
      <c r="AI20" s="310">
        <f>AF19+AI19</f>
        <v>54302</v>
      </c>
    </row>
    <row r="21" spans="1:39" ht="18">
      <c r="AD21" s="122">
        <v>28393.87</v>
      </c>
      <c r="AE21" s="122"/>
      <c r="AG21" s="123" t="s">
        <v>79</v>
      </c>
      <c r="AH21" s="123"/>
      <c r="AJ21" s="124" t="s">
        <v>80</v>
      </c>
      <c r="AL21" s="125" t="s">
        <v>81</v>
      </c>
    </row>
    <row r="22" spans="1:39" ht="15.75">
      <c r="A22" s="538" t="s">
        <v>103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8"/>
      <c r="AK22" s="124" t="s">
        <v>82</v>
      </c>
      <c r="AL22" s="127"/>
      <c r="AM22" s="128"/>
    </row>
    <row r="24" spans="1:39">
      <c r="L24" s="58"/>
      <c r="AI24" s="58"/>
      <c r="AK24" s="6"/>
    </row>
    <row r="25" spans="1:39">
      <c r="B25" s="126"/>
      <c r="C25" s="126"/>
      <c r="D25" s="126"/>
      <c r="E25" s="126"/>
      <c r="F25" s="72"/>
      <c r="G25" s="72"/>
      <c r="H25" s="72"/>
      <c r="I25" s="72"/>
      <c r="L25" s="6"/>
      <c r="N25" s="6"/>
      <c r="AE25" s="6">
        <f>AE19+AH19</f>
        <v>17751.027000000002</v>
      </c>
      <c r="AF25" s="6">
        <f>AF19+AI19</f>
        <v>54302</v>
      </c>
    </row>
    <row r="26" spans="1:39">
      <c r="N26" s="1">
        <v>84817</v>
      </c>
      <c r="AB26" s="70"/>
    </row>
    <row r="27" spans="1:39">
      <c r="F27" s="70"/>
      <c r="G27" s="70"/>
      <c r="H27" s="70"/>
      <c r="I27" s="70"/>
      <c r="J27" s="58"/>
      <c r="N27" s="6">
        <f>N26/340.75</f>
        <v>248.91269258987526</v>
      </c>
      <c r="P27" s="1">
        <v>249.78</v>
      </c>
      <c r="AF27" s="304" t="s">
        <v>470</v>
      </c>
      <c r="AI27" s="304" t="s">
        <v>470</v>
      </c>
    </row>
    <row r="28" spans="1:39">
      <c r="P28" s="1">
        <v>123.07</v>
      </c>
      <c r="R28" s="6"/>
      <c r="S28" s="6"/>
      <c r="AF28" s="148">
        <v>45127</v>
      </c>
      <c r="AI28" s="148">
        <v>45127</v>
      </c>
    </row>
    <row r="29" spans="1:39">
      <c r="P29" s="1">
        <v>248.91</v>
      </c>
    </row>
    <row r="30" spans="1:39">
      <c r="P30" s="58">
        <f>SUM(P27:P29)</f>
        <v>621.76</v>
      </c>
    </row>
    <row r="32" spans="1:39" ht="15.75">
      <c r="A32" s="538" t="s">
        <v>104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8"/>
    </row>
    <row r="40" spans="25:25">
      <c r="Y40" s="6">
        <f>S3*30%</f>
        <v>131.07599999999999</v>
      </c>
    </row>
  </sheetData>
  <mergeCells count="21">
    <mergeCell ref="AK1:AK2"/>
    <mergeCell ref="P1:Q1"/>
    <mergeCell ref="R1:S1"/>
    <mergeCell ref="T1:U1"/>
    <mergeCell ref="V1:X1"/>
    <mergeCell ref="Y1:AA1"/>
    <mergeCell ref="AB1:AC1"/>
    <mergeCell ref="A32:AI32"/>
    <mergeCell ref="A22:AI22"/>
    <mergeCell ref="AF1:AF2"/>
    <mergeCell ref="AE1:AE2"/>
    <mergeCell ref="AD1:AD2"/>
    <mergeCell ref="AG1:AG2"/>
    <mergeCell ref="AH1:AH2"/>
    <mergeCell ref="AI1:AI2"/>
    <mergeCell ref="B1:D1"/>
    <mergeCell ref="E1:F1"/>
    <mergeCell ref="G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2"/>
  <sheetViews>
    <sheetView workbookViewId="0">
      <selection activeCell="P5" sqref="P5"/>
    </sheetView>
  </sheetViews>
  <sheetFormatPr defaultRowHeight="11.25"/>
  <cols>
    <col min="1" max="1" width="3.44140625" style="284" bestFit="1" customWidth="1"/>
    <col min="2" max="2" width="7" style="284" bestFit="1" customWidth="1"/>
    <col min="3" max="4" width="7.33203125" style="284" bestFit="1" customWidth="1"/>
    <col min="5" max="7" width="7" style="284" bestFit="1" customWidth="1"/>
    <col min="8" max="8" width="7.33203125" style="284" bestFit="1" customWidth="1"/>
    <col min="9" max="11" width="7" style="284" bestFit="1" customWidth="1"/>
    <col min="12" max="12" width="7.33203125" style="284" bestFit="1" customWidth="1"/>
    <col min="13" max="13" width="6.33203125" style="284" bestFit="1" customWidth="1"/>
    <col min="14" max="15" width="7" style="284" bestFit="1" customWidth="1"/>
    <col min="16" max="16" width="7.33203125" style="284" bestFit="1" customWidth="1"/>
    <col min="17" max="17" width="7" style="284" bestFit="1" customWidth="1"/>
    <col min="18" max="18" width="8" style="284" bestFit="1" customWidth="1"/>
    <col min="19" max="19" width="6.33203125" style="284" bestFit="1" customWidth="1"/>
    <col min="20" max="20" width="8.6640625" style="284" bestFit="1" customWidth="1"/>
    <col min="21" max="21" width="7" style="284" bestFit="1" customWidth="1"/>
    <col min="22" max="22" width="8" style="284" bestFit="1" customWidth="1"/>
    <col min="23" max="23" width="7.33203125" style="284" bestFit="1" customWidth="1"/>
    <col min="24" max="24" width="8" style="284" bestFit="1" customWidth="1"/>
    <col min="25" max="25" width="7.33203125" style="284" bestFit="1" customWidth="1"/>
    <col min="26" max="26" width="8" style="284" bestFit="1" customWidth="1"/>
    <col min="27" max="27" width="8.6640625" style="284" bestFit="1" customWidth="1"/>
    <col min="28" max="28" width="8" style="284" bestFit="1" customWidth="1"/>
    <col min="29" max="29" width="6.5546875" style="284" bestFit="1" customWidth="1"/>
    <col min="30" max="30" width="4.44140625" style="284" customWidth="1"/>
    <col min="31" max="31" width="9.77734375" style="284" bestFit="1" customWidth="1"/>
    <col min="32" max="32" width="10.6640625" style="284" customWidth="1"/>
    <col min="33" max="16384" width="8.88671875" style="284"/>
  </cols>
  <sheetData>
    <row r="1" spans="1:32">
      <c r="A1" s="298"/>
      <c r="B1" s="527" t="s">
        <v>18</v>
      </c>
      <c r="C1" s="528"/>
      <c r="D1" s="522" t="s">
        <v>19</v>
      </c>
      <c r="E1" s="524"/>
      <c r="F1" s="527" t="s">
        <v>20</v>
      </c>
      <c r="G1" s="528"/>
      <c r="H1" s="520" t="s">
        <v>21</v>
      </c>
      <c r="I1" s="521"/>
      <c r="J1" s="527" t="s">
        <v>2</v>
      </c>
      <c r="K1" s="528"/>
      <c r="L1" s="522" t="s">
        <v>22</v>
      </c>
      <c r="M1" s="524"/>
      <c r="N1" s="527" t="s">
        <v>23</v>
      </c>
      <c r="O1" s="528"/>
      <c r="P1" s="520" t="s">
        <v>24</v>
      </c>
      <c r="Q1" s="521"/>
      <c r="R1" s="527" t="s">
        <v>25</v>
      </c>
      <c r="S1" s="528"/>
      <c r="T1" s="522" t="s">
        <v>26</v>
      </c>
      <c r="U1" s="524"/>
      <c r="V1" s="527" t="s">
        <v>27</v>
      </c>
      <c r="W1" s="528"/>
      <c r="X1" s="520" t="s">
        <v>28</v>
      </c>
      <c r="Y1" s="521"/>
      <c r="Z1" s="516" t="s">
        <v>107</v>
      </c>
      <c r="AA1" s="516" t="s">
        <v>261</v>
      </c>
      <c r="AB1" s="516" t="s">
        <v>329</v>
      </c>
      <c r="AC1" s="516" t="s">
        <v>74</v>
      </c>
      <c r="AE1" s="604" t="s">
        <v>333</v>
      </c>
      <c r="AF1" s="605" t="s">
        <v>334</v>
      </c>
    </row>
    <row r="2" spans="1:32">
      <c r="A2" s="298"/>
      <c r="B2" s="309" t="s">
        <v>45</v>
      </c>
      <c r="C2" s="309" t="s">
        <v>73</v>
      </c>
      <c r="D2" s="308" t="s">
        <v>45</v>
      </c>
      <c r="E2" s="308" t="s">
        <v>73</v>
      </c>
      <c r="F2" s="309" t="s">
        <v>45</v>
      </c>
      <c r="G2" s="309" t="s">
        <v>73</v>
      </c>
      <c r="H2" s="307" t="s">
        <v>45</v>
      </c>
      <c r="I2" s="307" t="s">
        <v>73</v>
      </c>
      <c r="J2" s="309" t="s">
        <v>45</v>
      </c>
      <c r="K2" s="309" t="s">
        <v>73</v>
      </c>
      <c r="L2" s="308" t="s">
        <v>45</v>
      </c>
      <c r="M2" s="308" t="s">
        <v>73</v>
      </c>
      <c r="N2" s="309" t="s">
        <v>45</v>
      </c>
      <c r="O2" s="309" t="s">
        <v>73</v>
      </c>
      <c r="P2" s="307" t="s">
        <v>45</v>
      </c>
      <c r="Q2" s="307" t="s">
        <v>73</v>
      </c>
      <c r="R2" s="309" t="s">
        <v>45</v>
      </c>
      <c r="S2" s="309" t="s">
        <v>73</v>
      </c>
      <c r="T2" s="308" t="s">
        <v>45</v>
      </c>
      <c r="U2" s="308" t="s">
        <v>73</v>
      </c>
      <c r="V2" s="309" t="s">
        <v>45</v>
      </c>
      <c r="W2" s="309" t="s">
        <v>73</v>
      </c>
      <c r="X2" s="307" t="s">
        <v>45</v>
      </c>
      <c r="Y2" s="307" t="s">
        <v>73</v>
      </c>
      <c r="Z2" s="602"/>
      <c r="AA2" s="602"/>
      <c r="AB2" s="602"/>
      <c r="AC2" s="602"/>
      <c r="AE2" s="604"/>
      <c r="AF2" s="605"/>
    </row>
    <row r="3" spans="1:32">
      <c r="A3" s="288">
        <v>1998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302">
        <v>30549</v>
      </c>
      <c r="Q3" s="303">
        <v>19803</v>
      </c>
      <c r="R3" s="303">
        <v>122983</v>
      </c>
      <c r="S3" s="303">
        <v>67900</v>
      </c>
      <c r="T3" s="303">
        <v>117476</v>
      </c>
      <c r="U3" s="303">
        <v>122575</v>
      </c>
      <c r="V3" s="303">
        <v>49135</v>
      </c>
      <c r="W3" s="303">
        <v>35831</v>
      </c>
      <c r="X3" s="303">
        <v>150131</v>
      </c>
      <c r="Y3" s="303">
        <v>117738</v>
      </c>
      <c r="Z3" s="302">
        <f>SUM(P3:Y3)</f>
        <v>834121</v>
      </c>
      <c r="AA3" s="290">
        <f>Z3/340.75</f>
        <v>2447.8972853998534</v>
      </c>
      <c r="AB3" s="290">
        <f>AA3*30%</f>
        <v>734.36918561995606</v>
      </c>
      <c r="AC3" s="290"/>
      <c r="AE3" s="294">
        <v>1422</v>
      </c>
    </row>
    <row r="4" spans="1:32">
      <c r="A4" s="285">
        <v>1999</v>
      </c>
      <c r="B4" s="299">
        <v>80050</v>
      </c>
      <c r="C4" s="311">
        <v>48110</v>
      </c>
      <c r="D4" s="311">
        <v>85112</v>
      </c>
      <c r="E4" s="311">
        <v>20021</v>
      </c>
      <c r="F4" s="299">
        <v>88250</v>
      </c>
      <c r="G4" s="311">
        <v>60816</v>
      </c>
      <c r="H4" s="311">
        <v>44149</v>
      </c>
      <c r="I4" s="311">
        <v>30740</v>
      </c>
      <c r="J4" s="311">
        <v>41937</v>
      </c>
      <c r="K4" s="311">
        <v>26869</v>
      </c>
      <c r="L4" s="299">
        <v>90373</v>
      </c>
      <c r="M4" s="311">
        <v>59644</v>
      </c>
      <c r="N4" s="299">
        <v>120961</v>
      </c>
      <c r="O4" s="311">
        <v>73809</v>
      </c>
      <c r="P4" s="299">
        <v>187995</v>
      </c>
      <c r="Q4" s="311">
        <v>127896</v>
      </c>
      <c r="R4" s="299">
        <v>116427</v>
      </c>
      <c r="S4" s="311">
        <v>63424</v>
      </c>
      <c r="T4" s="311">
        <v>84817</v>
      </c>
      <c r="U4" s="311">
        <v>59789</v>
      </c>
      <c r="V4" s="311">
        <v>37124</v>
      </c>
      <c r="W4" s="311">
        <v>23746</v>
      </c>
      <c r="X4" s="299">
        <v>80931</v>
      </c>
      <c r="Y4" s="303">
        <v>124177</v>
      </c>
      <c r="Z4" s="302">
        <f>SUM(B4:Y4)</f>
        <v>1777167</v>
      </c>
      <c r="AA4" s="290">
        <f t="shared" ref="AA4:AA6" si="0">Z4/340.75</f>
        <v>5215.4570799706526</v>
      </c>
      <c r="AB4" s="290">
        <f t="shared" ref="AB4:AB7" si="1">AA4*30%</f>
        <v>1564.6371239911957</v>
      </c>
      <c r="AC4" s="290"/>
      <c r="AE4" s="294">
        <v>2332</v>
      </c>
    </row>
    <row r="5" spans="1:32">
      <c r="A5" s="285">
        <v>2000</v>
      </c>
      <c r="B5" s="311">
        <v>20303</v>
      </c>
      <c r="C5" s="311">
        <v>15476</v>
      </c>
      <c r="D5" s="311">
        <v>53244</v>
      </c>
      <c r="E5" s="311">
        <v>33725</v>
      </c>
      <c r="F5" s="311">
        <v>67278</v>
      </c>
      <c r="G5" s="311">
        <v>33725</v>
      </c>
      <c r="H5" s="311">
        <v>46719</v>
      </c>
      <c r="I5" s="311">
        <v>28570</v>
      </c>
      <c r="J5" s="299">
        <v>112726</v>
      </c>
      <c r="K5" s="299">
        <v>105783</v>
      </c>
      <c r="L5" s="299">
        <v>86278</v>
      </c>
      <c r="M5" s="311">
        <v>47487</v>
      </c>
      <c r="N5" s="299">
        <v>65130</v>
      </c>
      <c r="O5" s="311">
        <v>105783</v>
      </c>
      <c r="P5" s="312">
        <v>191501</v>
      </c>
      <c r="Q5" s="313">
        <f>P5*3/5</f>
        <v>114900.6</v>
      </c>
      <c r="R5" s="312">
        <v>119262</v>
      </c>
      <c r="S5" s="313">
        <f>R5*3/5</f>
        <v>71557.2</v>
      </c>
      <c r="T5" s="312">
        <v>160493</v>
      </c>
      <c r="U5" s="313">
        <f>T5*3/5</f>
        <v>96295.8</v>
      </c>
      <c r="V5" s="312">
        <v>137663</v>
      </c>
      <c r="W5" s="313">
        <f>V5*3/5</f>
        <v>82597.8</v>
      </c>
      <c r="X5" s="312">
        <v>70876</v>
      </c>
      <c r="Y5" s="313">
        <f>X5*3/5</f>
        <v>42525.599999999999</v>
      </c>
      <c r="Z5" s="302">
        <f>SUM(B5:Y5)</f>
        <v>1909899.0000000002</v>
      </c>
      <c r="AA5" s="290">
        <f t="shared" si="0"/>
        <v>5604.9860601614091</v>
      </c>
      <c r="AB5" s="290">
        <f t="shared" si="1"/>
        <v>1681.4958180484227</v>
      </c>
      <c r="AC5" s="290"/>
      <c r="AE5" s="294">
        <v>3055</v>
      </c>
    </row>
    <row r="6" spans="1:32">
      <c r="A6" s="285">
        <v>2001</v>
      </c>
      <c r="B6" s="312">
        <v>104020</v>
      </c>
      <c r="C6" s="313">
        <f>B6*3/5</f>
        <v>62412</v>
      </c>
      <c r="D6" s="312">
        <v>176379</v>
      </c>
      <c r="E6" s="313">
        <f>D6*3/5</f>
        <v>105827.4</v>
      </c>
      <c r="F6" s="312">
        <v>180935</v>
      </c>
      <c r="G6" s="313">
        <f>F6*3/5</f>
        <v>108561</v>
      </c>
      <c r="H6" s="312">
        <v>112209</v>
      </c>
      <c r="I6" s="313">
        <f>H6*3/5</f>
        <v>67325.399999999994</v>
      </c>
      <c r="J6" s="312">
        <v>67608</v>
      </c>
      <c r="K6" s="313">
        <f>J6*3/5</f>
        <v>40564.800000000003</v>
      </c>
      <c r="L6" s="312">
        <v>131380</v>
      </c>
      <c r="M6" s="313">
        <f>L6*3/5</f>
        <v>78828</v>
      </c>
      <c r="N6" s="312">
        <v>98283</v>
      </c>
      <c r="O6" s="313">
        <f>N6*3/5</f>
        <v>58969.8</v>
      </c>
      <c r="P6" s="312">
        <v>193471</v>
      </c>
      <c r="Q6" s="313">
        <f>P6*3/5</f>
        <v>116082.6</v>
      </c>
      <c r="R6" s="312">
        <v>62088</v>
      </c>
      <c r="S6" s="313">
        <f>R6*3/5</f>
        <v>37252.800000000003</v>
      </c>
      <c r="T6" s="312">
        <v>41183</v>
      </c>
      <c r="U6" s="313">
        <f>T6*3/5</f>
        <v>24709.8</v>
      </c>
      <c r="V6" s="312">
        <v>152584</v>
      </c>
      <c r="W6" s="313">
        <f>V6*3/5</f>
        <v>91550.399999999994</v>
      </c>
      <c r="X6" s="312">
        <v>193941</v>
      </c>
      <c r="Y6" s="313">
        <f>X6*3/5</f>
        <v>116364.6</v>
      </c>
      <c r="Z6" s="302">
        <f>SUM(B6:Y6)</f>
        <v>2422529.6000000006</v>
      </c>
      <c r="AA6" s="290">
        <f t="shared" si="0"/>
        <v>7109.4045487894364</v>
      </c>
      <c r="AB6" s="290">
        <f t="shared" si="1"/>
        <v>2132.8213646368308</v>
      </c>
      <c r="AC6" s="290"/>
      <c r="AE6" s="294">
        <v>4440</v>
      </c>
    </row>
    <row r="7" spans="1:32">
      <c r="A7" s="285">
        <v>2002</v>
      </c>
      <c r="B7" s="300">
        <v>121.33</v>
      </c>
      <c r="C7" s="315">
        <f>B7*3/5</f>
        <v>72.798000000000002</v>
      </c>
      <c r="D7" s="300">
        <v>187.28</v>
      </c>
      <c r="E7" s="315">
        <f>D7*3/5</f>
        <v>112.36800000000001</v>
      </c>
      <c r="F7" s="300">
        <v>242.04</v>
      </c>
      <c r="G7" s="315">
        <f>F7*3/5</f>
        <v>145.22399999999999</v>
      </c>
      <c r="H7" s="314">
        <v>778.79</v>
      </c>
      <c r="I7" s="314">
        <v>519.76</v>
      </c>
      <c r="J7" s="314">
        <v>190.06</v>
      </c>
      <c r="K7" s="314">
        <v>127.71</v>
      </c>
      <c r="L7" s="300">
        <v>252.34</v>
      </c>
      <c r="M7" s="315">
        <f>L7*3/5</f>
        <v>151.404</v>
      </c>
      <c r="N7" s="300">
        <v>484.15</v>
      </c>
      <c r="O7" s="315">
        <f>N7*3/5</f>
        <v>290.48999999999995</v>
      </c>
      <c r="P7" s="300">
        <v>433.79</v>
      </c>
      <c r="Q7" s="315">
        <f>P7*3/5</f>
        <v>260.274</v>
      </c>
      <c r="R7" s="300">
        <v>213.51</v>
      </c>
      <c r="S7" s="315">
        <f>R7*3/5</f>
        <v>128.10599999999999</v>
      </c>
      <c r="T7" s="300">
        <v>311.39</v>
      </c>
      <c r="U7" s="315">
        <f>T7*3/5</f>
        <v>186.834</v>
      </c>
      <c r="V7" s="300">
        <v>409.58</v>
      </c>
      <c r="W7" s="315">
        <f>V7*3/5</f>
        <v>245.74799999999999</v>
      </c>
      <c r="X7" s="300">
        <v>460.27</v>
      </c>
      <c r="Y7" s="315">
        <f>X7*3/5</f>
        <v>276.16199999999998</v>
      </c>
      <c r="Z7" s="289"/>
      <c r="AA7" s="290">
        <f>SUM(B7:Y7)</f>
        <v>6601.4080000000013</v>
      </c>
      <c r="AB7" s="290">
        <f t="shared" si="1"/>
        <v>1980.4224000000004</v>
      </c>
      <c r="AC7" s="290"/>
      <c r="AE7" s="294">
        <v>3125</v>
      </c>
    </row>
    <row r="8" spans="1:32">
      <c r="A8" s="285">
        <v>2003</v>
      </c>
      <c r="B8" s="292">
        <v>179.4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316">
        <v>6681.6</v>
      </c>
      <c r="Y8" s="315">
        <f t="shared" ref="Y8:Y11" si="2">X8*3/5</f>
        <v>4008.9600000000005</v>
      </c>
      <c r="Z8" s="317"/>
      <c r="AA8" s="290">
        <f t="shared" ref="AA8:AA11" si="3">SUM(B8:Y8)</f>
        <v>10869.960000000001</v>
      </c>
      <c r="AB8" s="297">
        <f>AA8*3/5*30%</f>
        <v>1956.5928000000001</v>
      </c>
      <c r="AC8" s="290"/>
      <c r="AE8" s="294">
        <v>6861</v>
      </c>
    </row>
    <row r="9" spans="1:32">
      <c r="A9" s="285">
        <v>2004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316">
        <v>9847</v>
      </c>
      <c r="Y9" s="315">
        <f t="shared" si="2"/>
        <v>5908.2</v>
      </c>
      <c r="Z9" s="317"/>
      <c r="AA9" s="290">
        <f t="shared" si="3"/>
        <v>15755.2</v>
      </c>
      <c r="AB9" s="297">
        <f t="shared" ref="AB9:AB12" si="4">AA9*3/5*30%</f>
        <v>2835.9360000000001</v>
      </c>
      <c r="AC9" s="290"/>
      <c r="AE9" s="294">
        <v>9847</v>
      </c>
    </row>
    <row r="10" spans="1:32">
      <c r="A10" s="285">
        <v>2005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300">
        <v>8622</v>
      </c>
      <c r="Y10" s="315">
        <f t="shared" si="2"/>
        <v>5173.2</v>
      </c>
      <c r="Z10" s="289"/>
      <c r="AA10" s="290">
        <f t="shared" si="3"/>
        <v>13795.2</v>
      </c>
      <c r="AB10" s="297">
        <f t="shared" si="4"/>
        <v>2483.136</v>
      </c>
      <c r="AC10" s="290"/>
      <c r="AE10" s="294">
        <v>8622</v>
      </c>
    </row>
    <row r="11" spans="1:32">
      <c r="A11" s="285">
        <v>2006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300">
        <v>10832</v>
      </c>
      <c r="Y11" s="315">
        <f t="shared" si="2"/>
        <v>6499.2</v>
      </c>
      <c r="Z11" s="289"/>
      <c r="AA11" s="290">
        <f t="shared" si="3"/>
        <v>17331.2</v>
      </c>
      <c r="AB11" s="297">
        <f t="shared" si="4"/>
        <v>3119.6160000000004</v>
      </c>
      <c r="AC11" s="290"/>
      <c r="AE11" s="294">
        <v>10832</v>
      </c>
    </row>
    <row r="12" spans="1:32">
      <c r="A12" s="285">
        <v>2007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300">
        <v>10472.83</v>
      </c>
      <c r="W12" s="291"/>
      <c r="X12" s="314">
        <v>227.17</v>
      </c>
      <c r="Y12" s="315">
        <v>6420</v>
      </c>
      <c r="Z12" s="289"/>
      <c r="AA12" s="290">
        <f>SUM(V12:Y12)</f>
        <v>17120</v>
      </c>
      <c r="AB12" s="297">
        <f t="shared" si="4"/>
        <v>3081.6</v>
      </c>
      <c r="AC12" s="290"/>
      <c r="AE12" s="294">
        <v>10700</v>
      </c>
      <c r="AF12" s="295">
        <v>90.87</v>
      </c>
    </row>
    <row r="13" spans="1:32">
      <c r="A13" s="285">
        <v>2008</v>
      </c>
      <c r="B13" s="314">
        <v>557.23</v>
      </c>
      <c r="C13" s="314">
        <v>329.9</v>
      </c>
      <c r="D13" s="314">
        <v>1060.24</v>
      </c>
      <c r="E13" s="314">
        <v>652.96</v>
      </c>
      <c r="F13" s="314">
        <v>543.51</v>
      </c>
      <c r="G13" s="314">
        <v>407.28</v>
      </c>
      <c r="H13" s="314">
        <v>381.6</v>
      </c>
      <c r="I13" s="314">
        <v>246.67</v>
      </c>
      <c r="J13" s="314">
        <v>758.11</v>
      </c>
      <c r="K13" s="314">
        <v>501.36</v>
      </c>
      <c r="L13" s="314">
        <v>426.49</v>
      </c>
      <c r="M13" s="314">
        <v>369.83</v>
      </c>
      <c r="N13" s="314">
        <v>431.97</v>
      </c>
      <c r="O13" s="314">
        <v>273.22000000000003</v>
      </c>
      <c r="P13" s="314">
        <v>1115.3699999999999</v>
      </c>
      <c r="Q13" s="314">
        <v>740.97</v>
      </c>
      <c r="R13" s="314">
        <v>357.58</v>
      </c>
      <c r="S13" s="314">
        <v>364.55</v>
      </c>
      <c r="T13" s="314">
        <v>614.20000000000005</v>
      </c>
      <c r="U13" s="314">
        <v>316.66000000000003</v>
      </c>
      <c r="V13" s="314">
        <v>899.37</v>
      </c>
      <c r="W13" s="314">
        <v>611.03</v>
      </c>
      <c r="X13" s="314">
        <v>631.29</v>
      </c>
      <c r="Y13" s="314">
        <v>423.23</v>
      </c>
      <c r="Z13" s="289"/>
      <c r="AA13" s="290">
        <f>SUM(B13:Y13)</f>
        <v>13014.619999999999</v>
      </c>
      <c r="AB13" s="290">
        <f>AA13*30%</f>
        <v>3904.3859999999995</v>
      </c>
      <c r="AC13" s="290"/>
      <c r="AE13" s="294">
        <v>7143</v>
      </c>
      <c r="AF13" s="295">
        <v>2877.49</v>
      </c>
    </row>
    <row r="14" spans="1:32">
      <c r="A14" s="285">
        <v>2009</v>
      </c>
      <c r="B14" s="314">
        <v>339.94</v>
      </c>
      <c r="C14" s="315">
        <f>B14*3/5</f>
        <v>203.964</v>
      </c>
      <c r="D14" s="314">
        <v>367.03</v>
      </c>
      <c r="E14" s="315">
        <f>D14*3/5</f>
        <v>220.21799999999999</v>
      </c>
      <c r="F14" s="314">
        <v>382.88</v>
      </c>
      <c r="G14" s="315">
        <f>F14*3/5</f>
        <v>229.72799999999998</v>
      </c>
      <c r="H14" s="314">
        <v>230.3</v>
      </c>
      <c r="I14" s="315">
        <f>H14*3/5</f>
        <v>138.18</v>
      </c>
      <c r="J14" s="314">
        <v>338.36</v>
      </c>
      <c r="K14" s="315">
        <f>J14*3/5</f>
        <v>203.01600000000002</v>
      </c>
      <c r="L14" s="314">
        <v>115.69</v>
      </c>
      <c r="M14" s="315">
        <f>L14*3/5</f>
        <v>69.414000000000001</v>
      </c>
      <c r="N14" s="314">
        <v>366.7</v>
      </c>
      <c r="O14" s="315">
        <f>N14*3/5</f>
        <v>220.01999999999998</v>
      </c>
      <c r="P14" s="314">
        <v>585.99</v>
      </c>
      <c r="Q14" s="315">
        <f>P14*3/5</f>
        <v>351.59399999999999</v>
      </c>
      <c r="R14" s="314">
        <v>537.55999999999995</v>
      </c>
      <c r="S14" s="315">
        <f>R14*3/5</f>
        <v>322.53599999999994</v>
      </c>
      <c r="T14" s="314">
        <v>431.03</v>
      </c>
      <c r="U14" s="315">
        <f>T14*3/5</f>
        <v>258.61799999999999</v>
      </c>
      <c r="V14" s="314">
        <v>761.9</v>
      </c>
      <c r="W14" s="315">
        <f>V14*3/5</f>
        <v>457.14</v>
      </c>
      <c r="X14" s="314">
        <v>506.24</v>
      </c>
      <c r="Y14" s="315">
        <f>X14*3/5</f>
        <v>303.74400000000003</v>
      </c>
      <c r="Z14" s="289"/>
      <c r="AA14" s="290">
        <f>SUM(B14:Y14)</f>
        <v>7941.7920000000004</v>
      </c>
      <c r="AB14" s="290">
        <f>AA14*30%</f>
        <v>2382.5376000000001</v>
      </c>
      <c r="AC14" s="290"/>
      <c r="AE14" s="294">
        <v>6400</v>
      </c>
      <c r="AF14" s="301">
        <v>1737.25</v>
      </c>
    </row>
    <row r="15" spans="1:32">
      <c r="A15" s="285">
        <v>2010</v>
      </c>
      <c r="B15" s="300">
        <v>494.05</v>
      </c>
      <c r="C15" s="315">
        <f>B15*3/5</f>
        <v>296.43</v>
      </c>
      <c r="D15" s="300">
        <v>520.02</v>
      </c>
      <c r="E15" s="315">
        <f>D15*3/5</f>
        <v>312.012</v>
      </c>
      <c r="F15" s="300">
        <v>776.9</v>
      </c>
      <c r="G15" s="315">
        <f>F15*3/5</f>
        <v>466.14</v>
      </c>
      <c r="H15" s="300">
        <v>1203.4100000000001</v>
      </c>
      <c r="I15" s="315">
        <f>H15*3/5</f>
        <v>722.04600000000005</v>
      </c>
      <c r="J15" s="300">
        <v>767.95</v>
      </c>
      <c r="K15" s="315">
        <f>J15*3/5</f>
        <v>460.7700000000001</v>
      </c>
      <c r="L15" s="300">
        <v>1034.7</v>
      </c>
      <c r="M15" s="315">
        <f>L15*3/5</f>
        <v>620.82000000000005</v>
      </c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9"/>
      <c r="Z15" s="289"/>
      <c r="AA15" s="290">
        <f t="shared" ref="AA15" si="5">SUM(B15:Y15)</f>
        <v>7675.2479999999996</v>
      </c>
      <c r="AB15" s="297">
        <f t="shared" ref="AB15" si="6">AA15*3/5*30%</f>
        <v>1381.5446399999998</v>
      </c>
      <c r="AC15" s="290"/>
      <c r="AE15" s="294"/>
      <c r="AF15" s="301">
        <v>1251.6300000000001</v>
      </c>
    </row>
    <row r="16" spans="1:32">
      <c r="A16" s="285">
        <v>2011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89"/>
      <c r="Z16" s="289"/>
      <c r="AA16" s="289"/>
      <c r="AB16" s="289">
        <f t="shared" ref="AB16" si="7">AA16*30%</f>
        <v>0</v>
      </c>
      <c r="AC16" s="293">
        <f>SUM(B16:X16)</f>
        <v>0</v>
      </c>
      <c r="AE16" s="294"/>
      <c r="AF16" s="301">
        <v>1191.32</v>
      </c>
    </row>
    <row r="17" spans="1:32">
      <c r="A17" s="285">
        <v>2012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89"/>
      <c r="Z17" s="289"/>
      <c r="AA17" s="289"/>
      <c r="AB17" s="289"/>
      <c r="AC17" s="293">
        <f>SUM(B17:X17)</f>
        <v>0</v>
      </c>
      <c r="AE17" s="294"/>
      <c r="AF17" s="301">
        <v>698.64</v>
      </c>
    </row>
    <row r="18" spans="1:32">
      <c r="A18" s="285">
        <v>2013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89"/>
      <c r="Z18" s="289"/>
      <c r="AA18" s="289"/>
      <c r="AB18" s="289"/>
      <c r="AC18" s="293">
        <f>SUM(B18:X18)</f>
        <v>0</v>
      </c>
      <c r="AD18" s="304"/>
      <c r="AE18" s="306"/>
      <c r="AF18" s="304"/>
    </row>
    <row r="19" spans="1:32"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1">
        <f t="shared" ref="AA19:AB19" si="8">SUM(AA3:AA18)</f>
        <v>130482.37297432133</v>
      </c>
      <c r="AB19" s="291">
        <f t="shared" si="8"/>
        <v>29239.094932296404</v>
      </c>
      <c r="AC19" s="291">
        <f>SUM(AC3:AC18)</f>
        <v>0</v>
      </c>
      <c r="AE19" s="287">
        <f>SUM(AE3:AE18)</f>
        <v>74779</v>
      </c>
    </row>
    <row r="22" spans="1:32" ht="15.75">
      <c r="A22" s="538" t="s">
        <v>335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</row>
    <row r="23" spans="1:32">
      <c r="X23" s="287">
        <f>X8-B8</f>
        <v>6502.2000000000007</v>
      </c>
    </row>
    <row r="25" spans="1:32">
      <c r="B25" s="305"/>
      <c r="C25" s="305"/>
      <c r="D25" s="305"/>
      <c r="E25" s="305"/>
      <c r="F25" s="305"/>
      <c r="G25" s="305"/>
    </row>
    <row r="27" spans="1:32">
      <c r="B27" s="310"/>
      <c r="C27" s="294"/>
    </row>
    <row r="32" spans="1:32">
      <c r="I32" s="296"/>
      <c r="T32" s="294">
        <f>404*340.75</f>
        <v>137663</v>
      </c>
    </row>
  </sheetData>
  <mergeCells count="19">
    <mergeCell ref="A22:AC22"/>
    <mergeCell ref="Z1:Z2"/>
    <mergeCell ref="AA1:AA2"/>
    <mergeCell ref="AB1:AB2"/>
    <mergeCell ref="AC1:AC2"/>
    <mergeCell ref="B1:C1"/>
    <mergeCell ref="D1:E1"/>
    <mergeCell ref="F1:G1"/>
    <mergeCell ref="H1:I1"/>
    <mergeCell ref="J1:K1"/>
    <mergeCell ref="L1:M1"/>
    <mergeCell ref="AE1:AE2"/>
    <mergeCell ref="AF1:AF2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2"/>
  <sheetViews>
    <sheetView workbookViewId="0">
      <selection activeCell="K30" sqref="K30"/>
    </sheetView>
  </sheetViews>
  <sheetFormatPr defaultRowHeight="15"/>
  <cols>
    <col min="1" max="1" width="5" style="22" bestFit="1" customWidth="1"/>
    <col min="2" max="2" width="4" style="22" bestFit="1" customWidth="1"/>
    <col min="3" max="3" width="7.109375" style="22" bestFit="1" customWidth="1"/>
    <col min="4" max="4" width="6.5546875" style="22" bestFit="1" customWidth="1"/>
    <col min="5" max="5" width="4.88671875" style="22" customWidth="1"/>
    <col min="6" max="6" width="5.33203125" style="22" customWidth="1"/>
    <col min="7" max="7" width="5.5546875" style="22" bestFit="1" customWidth="1"/>
    <col min="8" max="8" width="5.33203125" style="22" bestFit="1" customWidth="1"/>
    <col min="9" max="10" width="10.44140625" style="22" bestFit="1" customWidth="1"/>
    <col min="11" max="13" width="11.44140625" style="22" bestFit="1" customWidth="1"/>
    <col min="14" max="14" width="12.44140625" style="22" bestFit="1" customWidth="1"/>
    <col min="15" max="15" width="16.5546875" style="22" customWidth="1"/>
    <col min="16" max="16" width="11.44140625" style="22" bestFit="1" customWidth="1"/>
    <col min="17" max="17" width="14.109375" style="22" bestFit="1" customWidth="1"/>
    <col min="18" max="19" width="9.44140625" style="22" customWidth="1"/>
    <col min="20" max="20" width="12.44140625" style="22" bestFit="1" customWidth="1"/>
    <col min="21" max="16384" width="8.88671875" style="22"/>
  </cols>
  <sheetData>
    <row r="1" spans="1:20">
      <c r="A1" s="82"/>
      <c r="B1" s="87" t="s">
        <v>18</v>
      </c>
      <c r="C1" s="88" t="s">
        <v>19</v>
      </c>
      <c r="D1" s="87" t="s">
        <v>20</v>
      </c>
      <c r="E1" s="89" t="s">
        <v>21</v>
      </c>
      <c r="F1" s="87" t="s">
        <v>2</v>
      </c>
      <c r="G1" s="88" t="s">
        <v>22</v>
      </c>
      <c r="H1" s="87" t="s">
        <v>23</v>
      </c>
      <c r="I1" s="89" t="s">
        <v>24</v>
      </c>
      <c r="J1" s="87" t="s">
        <v>25</v>
      </c>
      <c r="K1" s="88" t="s">
        <v>26</v>
      </c>
      <c r="L1" s="87" t="s">
        <v>27</v>
      </c>
      <c r="M1" s="89" t="s">
        <v>28</v>
      </c>
      <c r="N1" s="90" t="s">
        <v>16</v>
      </c>
      <c r="Q1" s="1" t="s">
        <v>49</v>
      </c>
      <c r="R1" s="84" t="s">
        <v>1</v>
      </c>
      <c r="S1" s="84" t="s">
        <v>50</v>
      </c>
      <c r="T1" s="1" t="s">
        <v>51</v>
      </c>
    </row>
    <row r="2" spans="1:20">
      <c r="A2" s="25">
        <v>1998</v>
      </c>
      <c r="B2" s="26"/>
      <c r="C2" s="26"/>
      <c r="D2" s="26"/>
      <c r="E2" s="26"/>
      <c r="F2" s="26"/>
      <c r="G2" s="26"/>
      <c r="H2" s="26"/>
      <c r="I2" s="27">
        <v>0.59</v>
      </c>
      <c r="J2" s="27">
        <v>3.17</v>
      </c>
      <c r="K2" s="27">
        <v>2.82</v>
      </c>
      <c r="L2" s="27">
        <v>2.11</v>
      </c>
      <c r="M2" s="27">
        <v>6.46</v>
      </c>
      <c r="N2" s="27">
        <f t="shared" ref="N2:N17" si="0">SUM(B2:M2)</f>
        <v>15.149999999999999</v>
      </c>
      <c r="Q2" s="31">
        <f>N2/240</f>
        <v>6.3125000000000001E-2</v>
      </c>
      <c r="R2" s="85">
        <v>240</v>
      </c>
      <c r="S2" s="85"/>
      <c r="T2" s="57">
        <f>N2/4</f>
        <v>3.7874999999999996</v>
      </c>
    </row>
    <row r="3" spans="1:20">
      <c r="A3" s="28">
        <v>1999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>
        <f>Q3</f>
        <v>36.170625000000001</v>
      </c>
      <c r="N3" s="35">
        <f t="shared" si="0"/>
        <v>36.170625000000001</v>
      </c>
      <c r="O3" s="31"/>
      <c r="Q3" s="31">
        <f>S3*Q2</f>
        <v>36.170625000000001</v>
      </c>
      <c r="R3" s="66">
        <v>813</v>
      </c>
      <c r="S3" s="66">
        <f>R3-R2</f>
        <v>573</v>
      </c>
      <c r="T3" s="57">
        <f>T2*12</f>
        <v>45.449999999999996</v>
      </c>
    </row>
    <row r="4" spans="1:20">
      <c r="A4" s="28">
        <v>2000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>
        <f t="shared" ref="M4:M9" si="1">Q4</f>
        <v>36.044375000000002</v>
      </c>
      <c r="N4" s="35">
        <f t="shared" si="0"/>
        <v>36.044375000000002</v>
      </c>
      <c r="O4" s="31"/>
      <c r="Q4" s="31">
        <f>S4*Q2</f>
        <v>36.044375000000002</v>
      </c>
      <c r="R4" s="66">
        <v>1384</v>
      </c>
      <c r="S4" s="66">
        <f t="shared" ref="S4:S17" si="2">R4-R3</f>
        <v>571</v>
      </c>
      <c r="T4" s="57">
        <v>45.45</v>
      </c>
    </row>
    <row r="5" spans="1:20">
      <c r="A5" s="28">
        <v>2001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>
        <f t="shared" si="1"/>
        <v>36.170625000000001</v>
      </c>
      <c r="N5" s="35">
        <f t="shared" si="0"/>
        <v>36.170625000000001</v>
      </c>
      <c r="O5" s="31"/>
      <c r="Q5" s="31">
        <f>S5*Q2</f>
        <v>36.170625000000001</v>
      </c>
      <c r="R5" s="66">
        <v>1957</v>
      </c>
      <c r="S5" s="66">
        <f t="shared" si="2"/>
        <v>573</v>
      </c>
      <c r="T5" s="57">
        <v>45.45</v>
      </c>
    </row>
    <row r="6" spans="1:20">
      <c r="A6" s="28">
        <v>2002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>
        <f t="shared" si="1"/>
        <v>41.094374999999999</v>
      </c>
      <c r="N6" s="35">
        <f t="shared" si="0"/>
        <v>41.094374999999999</v>
      </c>
      <c r="O6" s="31"/>
      <c r="Q6" s="31">
        <f>S6*Q2</f>
        <v>41.094374999999999</v>
      </c>
      <c r="R6" s="66">
        <v>2608</v>
      </c>
      <c r="S6" s="66">
        <f t="shared" si="2"/>
        <v>651</v>
      </c>
      <c r="T6" s="57">
        <v>45.45</v>
      </c>
    </row>
    <row r="7" spans="1:20">
      <c r="A7" s="28">
        <v>2003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3"/>
      <c r="M7" s="33">
        <f t="shared" si="1"/>
        <v>60.789375</v>
      </c>
      <c r="N7" s="35">
        <f t="shared" si="0"/>
        <v>60.789375</v>
      </c>
      <c r="O7" s="31"/>
      <c r="Q7" s="31">
        <f>S7*Q2</f>
        <v>60.789375</v>
      </c>
      <c r="R7" s="66">
        <v>3571</v>
      </c>
      <c r="S7" s="66">
        <f t="shared" si="2"/>
        <v>963</v>
      </c>
      <c r="T7" s="57">
        <v>45.45</v>
      </c>
    </row>
    <row r="8" spans="1:20">
      <c r="A8" s="28">
        <v>2004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3"/>
      <c r="M8" s="33">
        <f t="shared" si="1"/>
        <v>62.115000000000002</v>
      </c>
      <c r="N8" s="35">
        <f t="shared" si="0"/>
        <v>62.115000000000002</v>
      </c>
      <c r="O8" s="31">
        <v>12</v>
      </c>
      <c r="Q8" s="31">
        <f>S8*Q2</f>
        <v>62.115000000000002</v>
      </c>
      <c r="R8" s="66">
        <v>4555</v>
      </c>
      <c r="S8" s="66">
        <f t="shared" si="2"/>
        <v>984</v>
      </c>
      <c r="T8" s="57">
        <v>45.45</v>
      </c>
    </row>
    <row r="9" spans="1:20">
      <c r="A9" s="28">
        <v>2005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>
        <f t="shared" si="1"/>
        <v>66.596874999999997</v>
      </c>
      <c r="N9" s="35">
        <f t="shared" si="0"/>
        <v>66.596874999999997</v>
      </c>
      <c r="O9" s="58" t="s">
        <v>54</v>
      </c>
      <c r="Q9" s="31">
        <f>S9*Q2</f>
        <v>66.596874999999997</v>
      </c>
      <c r="R9" s="66">
        <v>5610</v>
      </c>
      <c r="S9" s="66">
        <f t="shared" si="2"/>
        <v>1055</v>
      </c>
      <c r="T9" s="57">
        <v>45.45</v>
      </c>
    </row>
    <row r="10" spans="1:20">
      <c r="A10" s="28">
        <v>2006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f>P10</f>
        <v>252.08337499999999</v>
      </c>
      <c r="N10" s="35">
        <f t="shared" si="0"/>
        <v>252.08337499999999</v>
      </c>
      <c r="O10" s="31">
        <f>12/2.93</f>
        <v>4.0955631399317403</v>
      </c>
      <c r="P10" s="31">
        <f>Q10*4.1</f>
        <v>252.08337499999999</v>
      </c>
      <c r="Q10" s="31">
        <f>S10*Q2</f>
        <v>61.483750000000001</v>
      </c>
      <c r="R10" s="66">
        <v>6584</v>
      </c>
      <c r="S10" s="66">
        <f t="shared" si="2"/>
        <v>974</v>
      </c>
      <c r="T10" s="57">
        <f>T7*2.72</f>
        <v>123.62400000000002</v>
      </c>
    </row>
    <row r="11" spans="1:20">
      <c r="A11" s="28">
        <v>2007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>
        <f t="shared" ref="M11:M13" si="3">P11</f>
        <v>241.47206249999999</v>
      </c>
      <c r="N11" s="35">
        <f t="shared" si="0"/>
        <v>241.47206249999999</v>
      </c>
      <c r="O11" s="31"/>
      <c r="P11" s="31">
        <f t="shared" ref="P11:P13" si="4">Q11*4.1</f>
        <v>241.47206249999999</v>
      </c>
      <c r="Q11" s="31">
        <f>S11*Q2</f>
        <v>58.895625000000003</v>
      </c>
      <c r="R11" s="66">
        <v>7517</v>
      </c>
      <c r="S11" s="66">
        <f t="shared" si="2"/>
        <v>933</v>
      </c>
      <c r="T11" s="57">
        <f t="shared" ref="T11" si="5">T8*2.72</f>
        <v>123.62400000000002</v>
      </c>
    </row>
    <row r="12" spans="1:20">
      <c r="A12" s="28">
        <v>2008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>
        <f t="shared" si="3"/>
        <v>227.75499999999997</v>
      </c>
      <c r="N12" s="35">
        <f t="shared" si="0"/>
        <v>227.75499999999997</v>
      </c>
      <c r="O12" s="31">
        <v>20</v>
      </c>
      <c r="P12" s="31">
        <f t="shared" si="4"/>
        <v>227.75499999999997</v>
      </c>
      <c r="Q12" s="31">
        <f>S12*Q2</f>
        <v>55.55</v>
      </c>
      <c r="R12" s="66">
        <v>8397</v>
      </c>
      <c r="S12" s="66">
        <f t="shared" si="2"/>
        <v>880</v>
      </c>
      <c r="T12" s="57">
        <v>123.62</v>
      </c>
    </row>
    <row r="13" spans="1:20">
      <c r="A13" s="28">
        <v>2009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>
        <f t="shared" si="3"/>
        <v>233.70768749999996</v>
      </c>
      <c r="N13" s="35">
        <f t="shared" si="0"/>
        <v>233.70768749999996</v>
      </c>
      <c r="O13" s="58" t="s">
        <v>55</v>
      </c>
      <c r="P13" s="31">
        <f t="shared" si="4"/>
        <v>233.70768749999996</v>
      </c>
      <c r="Q13" s="31">
        <f>S13*Q2</f>
        <v>57.001874999999998</v>
      </c>
      <c r="R13" s="66">
        <v>9300</v>
      </c>
      <c r="S13" s="66">
        <f t="shared" si="2"/>
        <v>903</v>
      </c>
      <c r="T13" s="57">
        <v>123.62</v>
      </c>
    </row>
    <row r="14" spans="1:20">
      <c r="A14" s="28">
        <v>2010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f>P14</f>
        <v>260.41082499999999</v>
      </c>
      <c r="N14" s="35">
        <f t="shared" si="0"/>
        <v>260.41082499999999</v>
      </c>
      <c r="O14" s="31">
        <f>20/2.93</f>
        <v>6.8259385665529004</v>
      </c>
      <c r="P14" s="31">
        <f>Q14*6.83</f>
        <v>260.41082499999999</v>
      </c>
      <c r="Q14" s="31">
        <f>S14*Q2</f>
        <v>38.127499999999998</v>
      </c>
      <c r="R14" s="66">
        <v>9904</v>
      </c>
      <c r="S14" s="66">
        <f t="shared" si="2"/>
        <v>604</v>
      </c>
      <c r="T14" s="57">
        <f>T6*6.83</f>
        <v>310.42350000000005</v>
      </c>
    </row>
    <row r="15" spans="1:20">
      <c r="A15" s="28">
        <v>2011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f t="shared" ref="M15:M17" si="6">P15</f>
        <v>249.2010875</v>
      </c>
      <c r="N15" s="35">
        <f t="shared" si="0"/>
        <v>249.2010875</v>
      </c>
      <c r="O15" s="31"/>
      <c r="P15" s="31">
        <f t="shared" ref="P15:P17" si="7">Q15*6.83</f>
        <v>249.2010875</v>
      </c>
      <c r="Q15" s="31">
        <f>S15*Q2</f>
        <v>36.486249999999998</v>
      </c>
      <c r="R15" s="66">
        <v>10482</v>
      </c>
      <c r="S15" s="66">
        <f t="shared" si="2"/>
        <v>578</v>
      </c>
      <c r="T15" s="57">
        <v>310.42</v>
      </c>
    </row>
    <row r="16" spans="1:20">
      <c r="A16" s="28">
        <v>2012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>
        <f t="shared" si="6"/>
        <v>200.48184375</v>
      </c>
      <c r="N16" s="35">
        <f t="shared" si="0"/>
        <v>200.48184375</v>
      </c>
      <c r="O16" s="31"/>
      <c r="P16" s="31">
        <f t="shared" si="7"/>
        <v>200.48184375</v>
      </c>
      <c r="Q16" s="31">
        <f>S16*Q2</f>
        <v>29.353124999999999</v>
      </c>
      <c r="R16" s="66">
        <v>10947</v>
      </c>
      <c r="S16" s="66">
        <f t="shared" si="2"/>
        <v>465</v>
      </c>
      <c r="T16" s="57">
        <v>310.42</v>
      </c>
    </row>
    <row r="17" spans="1:25" ht="15.75">
      <c r="A17" s="28">
        <v>2013</v>
      </c>
      <c r="B17" s="33"/>
      <c r="C17" s="33"/>
      <c r="D17" s="33"/>
      <c r="E17" s="33"/>
      <c r="F17" s="33"/>
      <c r="G17" s="29"/>
      <c r="H17" s="29"/>
      <c r="I17" s="29"/>
      <c r="J17" s="29"/>
      <c r="K17" s="29"/>
      <c r="L17" s="29"/>
      <c r="M17" s="29">
        <f t="shared" si="6"/>
        <v>100.8876375</v>
      </c>
      <c r="N17" s="35">
        <f t="shared" si="0"/>
        <v>100.8876375</v>
      </c>
      <c r="O17" s="30" t="s">
        <v>48</v>
      </c>
      <c r="P17" s="31">
        <f t="shared" si="7"/>
        <v>100.8876375</v>
      </c>
      <c r="Q17" s="31">
        <f>S17*Q2</f>
        <v>14.77125</v>
      </c>
      <c r="R17" s="66">
        <v>11181</v>
      </c>
      <c r="S17" s="66">
        <f t="shared" si="2"/>
        <v>234</v>
      </c>
      <c r="T17" s="57">
        <v>150</v>
      </c>
    </row>
    <row r="18" spans="1: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71">
        <f>SUM(N2:N17)</f>
        <v>2120.1307687500002</v>
      </c>
      <c r="Q18" s="31"/>
      <c r="T18" s="57"/>
    </row>
    <row r="19" spans="1:25">
      <c r="Y19"/>
    </row>
    <row r="20" spans="1:25" ht="15.75" customHeight="1">
      <c r="A20" s="577" t="s">
        <v>85</v>
      </c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Y20"/>
    </row>
    <row r="21" spans="1:25" ht="15.75">
      <c r="C21" s="91" t="s">
        <v>66</v>
      </c>
      <c r="D21" s="91"/>
      <c r="E21" s="91"/>
      <c r="L21" s="30"/>
      <c r="Y21"/>
    </row>
    <row r="22" spans="1:25" ht="15.75">
      <c r="A22"/>
      <c r="C22" s="91" t="s">
        <v>67</v>
      </c>
      <c r="L22" s="30"/>
    </row>
    <row r="23" spans="1:25" ht="15.75">
      <c r="A23"/>
      <c r="C23" s="91" t="s">
        <v>68</v>
      </c>
      <c r="K23" s="30" t="s">
        <v>56</v>
      </c>
    </row>
    <row r="24" spans="1:25" ht="15.75">
      <c r="B24"/>
      <c r="L24" s="30"/>
    </row>
    <row r="26" spans="1:25">
      <c r="A26" s="92" t="s">
        <v>57</v>
      </c>
      <c r="B26" s="93" t="s">
        <v>58</v>
      </c>
      <c r="C26" s="94" t="s">
        <v>59</v>
      </c>
      <c r="D26" s="95" t="s">
        <v>60</v>
      </c>
      <c r="E26" s="607" t="s">
        <v>61</v>
      </c>
      <c r="F26" s="607"/>
      <c r="G26" s="96" t="s">
        <v>62</v>
      </c>
      <c r="H26" s="97" t="s">
        <v>63</v>
      </c>
      <c r="I26" s="97" t="s">
        <v>64</v>
      </c>
      <c r="J26" s="98" t="s">
        <v>65</v>
      </c>
      <c r="K26" s="98"/>
      <c r="L26" s="96"/>
      <c r="M26" s="96"/>
      <c r="N26" s="96"/>
    </row>
    <row r="27" spans="1:25">
      <c r="A27" s="28">
        <v>1998</v>
      </c>
      <c r="B27" s="99"/>
      <c r="C27" s="100"/>
      <c r="D27" s="100"/>
      <c r="E27" s="606"/>
      <c r="F27" s="606"/>
      <c r="G27" s="101"/>
      <c r="H27" s="102"/>
      <c r="I27" s="43"/>
      <c r="J27" s="3"/>
      <c r="K27" s="3"/>
      <c r="L27" s="3"/>
      <c r="M27" s="3"/>
      <c r="N27" s="3"/>
      <c r="T27" s="31"/>
    </row>
    <row r="28" spans="1:25">
      <c r="A28" s="28"/>
      <c r="B28" s="99"/>
      <c r="C28" s="100"/>
      <c r="D28" s="100"/>
      <c r="E28" s="606"/>
      <c r="F28" s="606"/>
      <c r="G28" s="101"/>
      <c r="H28" s="102"/>
      <c r="I28" s="67"/>
      <c r="J28" s="103"/>
      <c r="K28" s="103"/>
      <c r="L28" s="3"/>
      <c r="M28" s="3"/>
      <c r="N28" s="3"/>
    </row>
    <row r="29" spans="1:25">
      <c r="A29" s="28"/>
      <c r="B29" s="99"/>
      <c r="C29" s="100"/>
      <c r="D29" s="100"/>
      <c r="E29" s="606"/>
      <c r="F29" s="606"/>
      <c r="G29" s="101"/>
      <c r="H29" s="104"/>
      <c r="I29" s="67"/>
      <c r="J29" s="103"/>
      <c r="K29" s="103"/>
      <c r="L29" s="3"/>
      <c r="M29" s="3"/>
      <c r="N29" s="3"/>
    </row>
    <row r="30" spans="1:25">
      <c r="A30" s="28"/>
      <c r="B30" s="99"/>
      <c r="C30" s="100"/>
      <c r="D30" s="100"/>
      <c r="E30" s="606"/>
      <c r="F30" s="606"/>
      <c r="G30" s="101"/>
      <c r="H30" s="104"/>
      <c r="I30" s="67"/>
      <c r="J30" s="103"/>
      <c r="K30" s="103"/>
      <c r="L30" s="3"/>
      <c r="M30" s="3"/>
      <c r="N30" s="3"/>
    </row>
    <row r="31" spans="1:25">
      <c r="A31" s="28"/>
      <c r="B31" s="99"/>
      <c r="C31" s="100"/>
      <c r="D31" s="100"/>
      <c r="E31" s="606"/>
      <c r="F31" s="606"/>
      <c r="G31" s="101"/>
      <c r="H31" s="104"/>
      <c r="I31" s="67"/>
      <c r="J31" s="103"/>
      <c r="K31" s="103"/>
      <c r="L31" s="3"/>
      <c r="M31" s="3"/>
      <c r="N31" s="3"/>
    </row>
    <row r="32" spans="1:25">
      <c r="A32" s="28">
        <v>2005</v>
      </c>
      <c r="B32" s="99"/>
      <c r="C32" s="100"/>
      <c r="D32" s="100"/>
      <c r="E32" s="606"/>
      <c r="F32" s="606"/>
      <c r="G32" s="101"/>
      <c r="H32" s="104"/>
      <c r="I32" s="67"/>
      <c r="J32" s="103"/>
      <c r="K32" s="103"/>
      <c r="L32" s="3"/>
      <c r="M32" s="3"/>
      <c r="N32" s="3"/>
    </row>
    <row r="33" spans="1:14">
      <c r="A33" s="28"/>
      <c r="B33" s="99"/>
      <c r="C33" s="100"/>
      <c r="D33" s="100"/>
      <c r="E33" s="606"/>
      <c r="F33" s="606"/>
      <c r="G33" s="101"/>
      <c r="H33" s="104"/>
      <c r="I33" s="67"/>
      <c r="J33" s="103"/>
      <c r="K33" s="103"/>
      <c r="L33" s="3"/>
      <c r="M33" s="3"/>
      <c r="N33" s="3"/>
    </row>
    <row r="34" spans="1:14">
      <c r="A34" s="28"/>
      <c r="B34" s="99"/>
      <c r="C34" s="100"/>
      <c r="D34" s="100"/>
      <c r="E34" s="606"/>
      <c r="F34" s="606"/>
      <c r="G34" s="101"/>
      <c r="H34" s="104"/>
      <c r="I34" s="103"/>
      <c r="J34" s="103"/>
      <c r="K34" s="103"/>
      <c r="L34" s="3"/>
      <c r="M34" s="3"/>
      <c r="N34" s="3"/>
    </row>
    <row r="35" spans="1:14">
      <c r="A35" s="28"/>
      <c r="B35" s="99"/>
      <c r="C35" s="100"/>
      <c r="D35" s="100"/>
      <c r="E35" s="606"/>
      <c r="F35" s="606"/>
      <c r="G35" s="101"/>
      <c r="H35" s="104"/>
      <c r="I35" s="103"/>
      <c r="J35" s="103"/>
      <c r="K35" s="103"/>
      <c r="L35" s="3"/>
      <c r="M35" s="3"/>
      <c r="N35" s="3"/>
    </row>
    <row r="36" spans="1:14">
      <c r="A36" s="28"/>
      <c r="B36" s="99"/>
      <c r="C36" s="100"/>
      <c r="D36" s="100"/>
      <c r="E36" s="606"/>
      <c r="F36" s="606"/>
      <c r="G36" s="101"/>
      <c r="H36" s="104"/>
      <c r="I36" s="103"/>
      <c r="J36" s="103"/>
      <c r="K36" s="103"/>
      <c r="L36" s="3"/>
      <c r="M36" s="3"/>
      <c r="N36" s="3"/>
    </row>
    <row r="37" spans="1:14">
      <c r="A37" s="28"/>
      <c r="B37" s="99"/>
      <c r="C37" s="100"/>
      <c r="D37" s="100"/>
      <c r="E37" s="606"/>
      <c r="F37" s="606"/>
      <c r="G37" s="101"/>
      <c r="H37" s="104"/>
      <c r="I37" s="103"/>
      <c r="J37" s="103"/>
      <c r="K37" s="103"/>
      <c r="L37" s="3"/>
      <c r="M37" s="3"/>
      <c r="N37" s="3"/>
    </row>
    <row r="38" spans="1:14">
      <c r="A38" s="28"/>
      <c r="B38" s="99"/>
      <c r="C38" s="100"/>
      <c r="D38" s="100"/>
      <c r="E38" s="606"/>
      <c r="F38" s="606"/>
      <c r="G38" s="101"/>
      <c r="H38" s="104"/>
      <c r="I38" s="103"/>
      <c r="J38" s="103"/>
      <c r="K38" s="103"/>
      <c r="L38" s="3"/>
      <c r="M38" s="3"/>
      <c r="N38" s="3"/>
    </row>
    <row r="39" spans="1:14">
      <c r="A39" s="28"/>
      <c r="B39" s="99"/>
      <c r="C39" s="100"/>
      <c r="D39" s="100"/>
      <c r="E39" s="606"/>
      <c r="F39" s="606"/>
      <c r="G39" s="101"/>
      <c r="H39" s="104"/>
      <c r="I39" s="103"/>
      <c r="J39" s="103"/>
      <c r="K39" s="103"/>
      <c r="L39" s="3"/>
      <c r="M39" s="3"/>
      <c r="N39" s="3"/>
    </row>
    <row r="40" spans="1:14">
      <c r="A40" s="28"/>
      <c r="B40" s="99"/>
      <c r="C40" s="100"/>
      <c r="D40" s="100"/>
      <c r="E40" s="606"/>
      <c r="F40" s="606"/>
      <c r="G40" s="101"/>
      <c r="H40" s="104"/>
      <c r="I40" s="103"/>
      <c r="J40" s="103"/>
      <c r="K40" s="103"/>
      <c r="L40" s="3"/>
      <c r="M40" s="3"/>
      <c r="N40" s="3"/>
    </row>
    <row r="41" spans="1:14">
      <c r="A41" s="28"/>
      <c r="B41" s="99"/>
      <c r="C41" s="100"/>
      <c r="D41" s="100"/>
      <c r="E41" s="606"/>
      <c r="F41" s="606"/>
      <c r="G41" s="101"/>
      <c r="H41" s="104"/>
      <c r="I41" s="103"/>
      <c r="J41" s="103"/>
      <c r="K41" s="103"/>
      <c r="L41" s="3"/>
      <c r="M41" s="3"/>
      <c r="N41" s="3"/>
    </row>
    <row r="42" spans="1:14">
      <c r="A42" s="28"/>
      <c r="B42" s="99"/>
      <c r="C42" s="100"/>
      <c r="D42" s="100"/>
      <c r="E42" s="606"/>
      <c r="F42" s="606"/>
      <c r="G42" s="101"/>
      <c r="H42" s="28"/>
      <c r="I42" s="103"/>
      <c r="J42" s="103"/>
      <c r="K42" s="103"/>
      <c r="L42" s="3"/>
      <c r="M42" s="3"/>
      <c r="N42" s="3"/>
    </row>
  </sheetData>
  <mergeCells count="18"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30:F30"/>
    <mergeCell ref="A20:N20"/>
    <mergeCell ref="E26:F26"/>
    <mergeCell ref="E27:F27"/>
    <mergeCell ref="E28:F28"/>
    <mergeCell ref="E29:F2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ySplit="1" topLeftCell="A2" activePane="bottomLeft" state="frozen"/>
      <selection pane="bottomLeft" activeCell="O41" sqref="O41"/>
    </sheetView>
  </sheetViews>
  <sheetFormatPr defaultRowHeight="11.25"/>
  <cols>
    <col min="1" max="1" width="3.44140625" style="284" bestFit="1" customWidth="1"/>
    <col min="2" max="2" width="5" style="284" bestFit="1" customWidth="1"/>
    <col min="3" max="3" width="2.77734375" style="284" bestFit="1" customWidth="1"/>
    <col min="4" max="4" width="6.33203125" style="284" bestFit="1" customWidth="1"/>
    <col min="5" max="5" width="6.21875" style="284" customWidth="1"/>
    <col min="6" max="6" width="6.33203125" style="284" bestFit="1" customWidth="1"/>
    <col min="7" max="9" width="2.6640625" style="284" bestFit="1" customWidth="1"/>
    <col min="10" max="10" width="5.6640625" style="284" bestFit="1" customWidth="1"/>
    <col min="11" max="11" width="3.33203125" style="284" bestFit="1" customWidth="1"/>
    <col min="12" max="12" width="5" style="284" bestFit="1" customWidth="1"/>
    <col min="13" max="13" width="4.109375" style="284" bestFit="1" customWidth="1"/>
    <col min="14" max="14" width="6.33203125" style="284" bestFit="1" customWidth="1"/>
    <col min="15" max="15" width="7.77734375" style="284" bestFit="1" customWidth="1"/>
    <col min="16" max="16384" width="8.88671875" style="284"/>
  </cols>
  <sheetData>
    <row r="1" spans="1:15">
      <c r="A1" s="417"/>
      <c r="B1" s="419" t="s">
        <v>18</v>
      </c>
      <c r="C1" s="418" t="s">
        <v>19</v>
      </c>
      <c r="D1" s="419" t="s">
        <v>20</v>
      </c>
      <c r="E1" s="416" t="s">
        <v>21</v>
      </c>
      <c r="F1" s="419" t="s">
        <v>2</v>
      </c>
      <c r="G1" s="418" t="s">
        <v>22</v>
      </c>
      <c r="H1" s="419" t="s">
        <v>23</v>
      </c>
      <c r="I1" s="416" t="s">
        <v>24</v>
      </c>
      <c r="J1" s="419" t="s">
        <v>25</v>
      </c>
      <c r="K1" s="418" t="s">
        <v>26</v>
      </c>
      <c r="L1" s="419" t="s">
        <v>27</v>
      </c>
      <c r="M1" s="416" t="s">
        <v>28</v>
      </c>
      <c r="N1" s="420" t="s">
        <v>16</v>
      </c>
    </row>
    <row r="2" spans="1:15">
      <c r="A2" s="288">
        <v>1998</v>
      </c>
      <c r="B2" s="289"/>
      <c r="C2" s="289"/>
      <c r="D2" s="289"/>
      <c r="E2" s="289"/>
      <c r="F2" s="289"/>
      <c r="G2" s="289"/>
      <c r="H2" s="289"/>
      <c r="I2" s="290"/>
      <c r="J2" s="290"/>
      <c r="K2" s="290"/>
      <c r="L2" s="290"/>
      <c r="M2" s="290"/>
      <c r="N2" s="290">
        <f t="shared" ref="N2:N17" si="0">SUM(B2:M2)</f>
        <v>0</v>
      </c>
    </row>
    <row r="3" spans="1:15">
      <c r="A3" s="285">
        <v>1999</v>
      </c>
      <c r="B3" s="291">
        <v>3.17</v>
      </c>
      <c r="C3" s="291"/>
      <c r="D3" s="291">
        <v>296.63</v>
      </c>
      <c r="E3" s="291"/>
      <c r="F3" s="291">
        <v>32.85</v>
      </c>
      <c r="G3" s="291"/>
      <c r="H3" s="291"/>
      <c r="I3" s="291"/>
      <c r="J3" s="291">
        <v>15.51</v>
      </c>
      <c r="K3" s="291"/>
      <c r="L3" s="291"/>
      <c r="M3" s="291"/>
      <c r="N3" s="290">
        <f t="shared" si="0"/>
        <v>348.16</v>
      </c>
      <c r="O3" s="294"/>
    </row>
    <row r="4" spans="1:15">
      <c r="A4" s="285">
        <v>2000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0">
        <f t="shared" si="0"/>
        <v>0</v>
      </c>
      <c r="O4" s="294"/>
    </row>
    <row r="5" spans="1:15" s="127" customFormat="1">
      <c r="A5" s="620">
        <v>2001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0">
        <f t="shared" si="0"/>
        <v>0</v>
      </c>
      <c r="O5" s="128"/>
    </row>
    <row r="6" spans="1:15">
      <c r="A6" s="285">
        <v>2002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93">
        <f t="shared" si="0"/>
        <v>0</v>
      </c>
      <c r="O6" s="294"/>
    </row>
    <row r="7" spans="1:15">
      <c r="A7" s="285">
        <v>2003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54"/>
      <c r="M7" s="54"/>
      <c r="N7" s="293">
        <f t="shared" si="0"/>
        <v>0</v>
      </c>
      <c r="O7" s="294"/>
    </row>
    <row r="8" spans="1:15">
      <c r="A8" s="285">
        <v>2004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54"/>
      <c r="M8" s="54"/>
      <c r="N8" s="293">
        <f t="shared" si="0"/>
        <v>0</v>
      </c>
      <c r="O8" s="294"/>
    </row>
    <row r="9" spans="1:15">
      <c r="A9" s="285">
        <v>2005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93">
        <f t="shared" si="0"/>
        <v>0</v>
      </c>
      <c r="O9" s="294"/>
    </row>
    <row r="10" spans="1:15">
      <c r="A10" s="285">
        <v>2006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93">
        <f t="shared" si="0"/>
        <v>0</v>
      </c>
      <c r="O10" s="294"/>
    </row>
    <row r="11" spans="1:15">
      <c r="A11" s="285">
        <v>2007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93">
        <f t="shared" si="0"/>
        <v>0</v>
      </c>
      <c r="O11" s="294"/>
    </row>
    <row r="12" spans="1:15">
      <c r="A12" s="285">
        <v>2008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293">
        <f t="shared" si="0"/>
        <v>0</v>
      </c>
      <c r="O12" s="294"/>
    </row>
    <row r="13" spans="1:15">
      <c r="A13" s="285">
        <v>2009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293">
        <f t="shared" si="0"/>
        <v>0</v>
      </c>
      <c r="O13" s="294"/>
    </row>
    <row r="14" spans="1:15">
      <c r="A14" s="285">
        <v>2010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293">
        <f t="shared" si="0"/>
        <v>0</v>
      </c>
      <c r="O14" s="294"/>
    </row>
    <row r="15" spans="1:15">
      <c r="A15" s="285">
        <v>2011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293">
        <f t="shared" si="0"/>
        <v>0</v>
      </c>
      <c r="O15" s="294"/>
    </row>
    <row r="16" spans="1:15">
      <c r="A16" s="285">
        <v>2012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93">
        <f t="shared" si="0"/>
        <v>0</v>
      </c>
      <c r="O16" s="294"/>
    </row>
    <row r="17" spans="1:15">
      <c r="A17" s="285">
        <v>2013</v>
      </c>
      <c r="B17" s="54"/>
      <c r="C17" s="54"/>
      <c r="D17" s="54"/>
      <c r="E17" s="54"/>
      <c r="F17" s="54"/>
      <c r="G17" s="295"/>
      <c r="H17" s="295"/>
      <c r="I17" s="295"/>
      <c r="J17" s="295"/>
      <c r="K17" s="295"/>
      <c r="L17" s="295"/>
      <c r="M17" s="295"/>
      <c r="N17" s="293">
        <f t="shared" si="0"/>
        <v>0</v>
      </c>
      <c r="O17" s="304" t="s">
        <v>48</v>
      </c>
    </row>
    <row r="18" spans="1:15"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423">
        <f>SUM(N2:N17)</f>
        <v>348.16</v>
      </c>
    </row>
    <row r="19" spans="1:15">
      <c r="N19" s="287"/>
    </row>
    <row r="20" spans="1:15" ht="15.75" customHeight="1">
      <c r="A20" s="608" t="s">
        <v>86</v>
      </c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</row>
    <row r="22" spans="1:15">
      <c r="B22" s="323"/>
      <c r="C22" s="323"/>
      <c r="D22" s="323"/>
      <c r="E22" s="323"/>
    </row>
    <row r="23" spans="1:15" ht="12" thickBot="1">
      <c r="A23" s="558">
        <v>1999</v>
      </c>
      <c r="B23" s="431" t="s">
        <v>437</v>
      </c>
      <c r="C23" s="439">
        <v>252</v>
      </c>
      <c r="D23" s="432">
        <v>1080</v>
      </c>
      <c r="E23" s="433">
        <f t="shared" ref="E23:E30" si="1">D23/340.75</f>
        <v>3.1694790902421128</v>
      </c>
      <c r="F23" s="428"/>
    </row>
    <row r="24" spans="1:15">
      <c r="A24" s="558"/>
      <c r="B24" s="428" t="s">
        <v>438</v>
      </c>
      <c r="C24" s="428">
        <v>298</v>
      </c>
      <c r="D24" s="438">
        <v>18569</v>
      </c>
      <c r="E24" s="199">
        <f t="shared" si="1"/>
        <v>54.494497432134999</v>
      </c>
      <c r="F24" s="428"/>
    </row>
    <row r="25" spans="1:15">
      <c r="A25" s="558"/>
      <c r="B25" s="428" t="s">
        <v>439</v>
      </c>
      <c r="C25" s="428">
        <v>299</v>
      </c>
      <c r="D25" s="438">
        <v>41184</v>
      </c>
      <c r="E25" s="199">
        <f t="shared" si="1"/>
        <v>120.86280264123258</v>
      </c>
      <c r="F25" s="428"/>
    </row>
    <row r="26" spans="1:15" ht="12" thickBot="1">
      <c r="A26" s="558"/>
      <c r="B26" s="431" t="s">
        <v>439</v>
      </c>
      <c r="C26" s="439">
        <v>327</v>
      </c>
      <c r="D26" s="432">
        <v>41323</v>
      </c>
      <c r="E26" s="440">
        <f t="shared" si="1"/>
        <v>121.27072633895818</v>
      </c>
      <c r="F26" s="328">
        <f>SUM(E24:E26)</f>
        <v>296.62802641232577</v>
      </c>
    </row>
    <row r="27" spans="1:15">
      <c r="A27" s="558"/>
      <c r="B27" s="428" t="s">
        <v>436</v>
      </c>
      <c r="C27" s="428">
        <v>381</v>
      </c>
      <c r="D27" s="438">
        <v>1545</v>
      </c>
      <c r="E27" s="199">
        <f t="shared" si="1"/>
        <v>4.5341159207630231</v>
      </c>
      <c r="F27" s="428"/>
    </row>
    <row r="28" spans="1:15">
      <c r="A28" s="558"/>
      <c r="B28" s="428" t="s">
        <v>436</v>
      </c>
      <c r="C28" s="428">
        <v>382</v>
      </c>
      <c r="D28" s="438">
        <v>7728</v>
      </c>
      <c r="E28" s="199">
        <f t="shared" si="1"/>
        <v>22.679383712399119</v>
      </c>
      <c r="F28" s="428"/>
    </row>
    <row r="29" spans="1:15" ht="12" thickBot="1">
      <c r="A29" s="558"/>
      <c r="B29" s="431" t="s">
        <v>436</v>
      </c>
      <c r="C29" s="439">
        <v>412</v>
      </c>
      <c r="D29" s="432">
        <v>1922</v>
      </c>
      <c r="E29" s="440">
        <f t="shared" si="1"/>
        <v>5.6404988994864267</v>
      </c>
      <c r="F29" s="328">
        <f>SUM(E27:E29)</f>
        <v>32.853998532648568</v>
      </c>
    </row>
    <row r="30" spans="1:15" ht="12" thickBot="1">
      <c r="A30" s="558"/>
      <c r="B30" s="431" t="s">
        <v>444</v>
      </c>
      <c r="C30" s="435">
        <v>634</v>
      </c>
      <c r="D30" s="436">
        <v>5284</v>
      </c>
      <c r="E30" s="437">
        <f t="shared" si="1"/>
        <v>15.50696991929567</v>
      </c>
    </row>
    <row r="31" spans="1:15">
      <c r="A31" s="428"/>
      <c r="B31" s="428"/>
      <c r="C31" s="428"/>
      <c r="D31" s="428"/>
      <c r="E31" s="428"/>
      <c r="F31" s="428"/>
    </row>
    <row r="32" spans="1:15">
      <c r="A32" s="428"/>
      <c r="B32" s="428"/>
      <c r="C32" s="428"/>
      <c r="D32" s="428"/>
      <c r="E32" s="428"/>
      <c r="F32" s="428"/>
    </row>
    <row r="33" spans="1:6">
      <c r="A33" s="428"/>
      <c r="B33" s="428"/>
      <c r="C33" s="428"/>
      <c r="D33" s="428"/>
      <c r="E33" s="428"/>
      <c r="F33" s="428"/>
    </row>
    <row r="34" spans="1:6">
      <c r="A34" s="428"/>
      <c r="B34" s="428"/>
      <c r="C34" s="428"/>
      <c r="D34" s="428"/>
      <c r="E34" s="427" t="s">
        <v>256</v>
      </c>
      <c r="F34" s="428"/>
    </row>
  </sheetData>
  <mergeCells count="2">
    <mergeCell ref="A20:N20"/>
    <mergeCell ref="A23:A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workbookViewId="0">
      <pane ySplit="2" topLeftCell="A3" activePane="bottomLeft" state="frozen"/>
      <selection pane="bottomLeft" activeCell="A4" sqref="A4:XFD4"/>
    </sheetView>
  </sheetViews>
  <sheetFormatPr defaultRowHeight="12.75"/>
  <cols>
    <col min="1" max="1" width="3.88671875" style="9" bestFit="1" customWidth="1"/>
    <col min="2" max="3" width="7" style="9" bestFit="1" customWidth="1"/>
    <col min="4" max="4" width="8.109375" style="9" bestFit="1" customWidth="1"/>
    <col min="5" max="5" width="6" style="9" bestFit="1" customWidth="1"/>
    <col min="6" max="6" width="8.109375" style="9" bestFit="1" customWidth="1"/>
    <col min="7" max="7" width="7" style="9" bestFit="1" customWidth="1"/>
    <col min="8" max="8" width="8.109375" style="9" bestFit="1" customWidth="1"/>
    <col min="9" max="9" width="7" style="9" bestFit="1" customWidth="1"/>
    <col min="10" max="10" width="8.109375" style="9" bestFit="1" customWidth="1"/>
    <col min="11" max="11" width="7" style="9" bestFit="1" customWidth="1"/>
    <col min="12" max="12" width="8.109375" style="9" bestFit="1" customWidth="1"/>
    <col min="13" max="13" width="7" style="9" bestFit="1" customWidth="1"/>
    <col min="14" max="14" width="8.109375" style="9" bestFit="1" customWidth="1"/>
    <col min="15" max="15" width="7" style="9" customWidth="1"/>
    <col min="16" max="18" width="8.109375" style="9" bestFit="1" customWidth="1"/>
    <col min="19" max="19" width="7" style="9" bestFit="1" customWidth="1"/>
    <col min="20" max="20" width="8.109375" style="9" bestFit="1" customWidth="1"/>
    <col min="21" max="21" width="7" style="9" bestFit="1" customWidth="1"/>
    <col min="22" max="22" width="8.109375" style="9" bestFit="1" customWidth="1"/>
    <col min="23" max="23" width="7.21875" style="9" bestFit="1" customWidth="1"/>
    <col min="24" max="24" width="8.109375" style="9" bestFit="1" customWidth="1"/>
    <col min="25" max="25" width="7" style="9" bestFit="1" customWidth="1"/>
    <col min="26" max="27" width="8.88671875" style="9" bestFit="1" customWidth="1"/>
    <col min="28" max="28" width="8.44140625" style="9" bestFit="1" customWidth="1"/>
    <col min="29" max="29" width="3.21875" style="9" bestFit="1" customWidth="1"/>
    <col min="30" max="16384" width="8.88671875" style="9"/>
  </cols>
  <sheetData>
    <row r="1" spans="1:28">
      <c r="A1" s="549"/>
      <c r="B1" s="544" t="s">
        <v>18</v>
      </c>
      <c r="C1" s="545"/>
      <c r="D1" s="542" t="s">
        <v>19</v>
      </c>
      <c r="E1" s="543"/>
      <c r="F1" s="544" t="s">
        <v>20</v>
      </c>
      <c r="G1" s="545"/>
      <c r="H1" s="546" t="s">
        <v>21</v>
      </c>
      <c r="I1" s="547"/>
      <c r="J1" s="544" t="s">
        <v>2</v>
      </c>
      <c r="K1" s="545"/>
      <c r="L1" s="542" t="s">
        <v>22</v>
      </c>
      <c r="M1" s="543"/>
      <c r="N1" s="544" t="s">
        <v>23</v>
      </c>
      <c r="O1" s="545"/>
      <c r="P1" s="546" t="s">
        <v>24</v>
      </c>
      <c r="Q1" s="547"/>
      <c r="R1" s="544" t="s">
        <v>25</v>
      </c>
      <c r="S1" s="545"/>
      <c r="T1" s="542" t="s">
        <v>26</v>
      </c>
      <c r="U1" s="543"/>
      <c r="V1" s="544" t="s">
        <v>27</v>
      </c>
      <c r="W1" s="545"/>
      <c r="X1" s="546" t="s">
        <v>28</v>
      </c>
      <c r="Y1" s="548"/>
      <c r="Z1" s="539" t="s">
        <v>16</v>
      </c>
      <c r="AA1" s="540"/>
    </row>
    <row r="2" spans="1:28" s="1" customFormat="1" ht="11.25" customHeight="1" thickBot="1">
      <c r="A2" s="550"/>
      <c r="B2" s="17" t="s">
        <v>29</v>
      </c>
      <c r="C2" s="18" t="s">
        <v>30</v>
      </c>
      <c r="D2" s="17" t="s">
        <v>29</v>
      </c>
      <c r="E2" s="19" t="s">
        <v>30</v>
      </c>
      <c r="F2" s="17" t="s">
        <v>29</v>
      </c>
      <c r="G2" s="18" t="s">
        <v>30</v>
      </c>
      <c r="H2" s="17" t="s">
        <v>29</v>
      </c>
      <c r="I2" s="20" t="s">
        <v>30</v>
      </c>
      <c r="J2" s="17" t="s">
        <v>29</v>
      </c>
      <c r="K2" s="18" t="s">
        <v>30</v>
      </c>
      <c r="L2" s="17" t="s">
        <v>29</v>
      </c>
      <c r="M2" s="19" t="s">
        <v>30</v>
      </c>
      <c r="N2" s="17" t="s">
        <v>29</v>
      </c>
      <c r="O2" s="18" t="s">
        <v>30</v>
      </c>
      <c r="P2" s="17" t="s">
        <v>29</v>
      </c>
      <c r="Q2" s="20" t="s">
        <v>30</v>
      </c>
      <c r="R2" s="17" t="s">
        <v>29</v>
      </c>
      <c r="S2" s="18" t="s">
        <v>30</v>
      </c>
      <c r="T2" s="17" t="s">
        <v>29</v>
      </c>
      <c r="U2" s="19" t="s">
        <v>30</v>
      </c>
      <c r="V2" s="17" t="s">
        <v>29</v>
      </c>
      <c r="W2" s="18" t="s">
        <v>30</v>
      </c>
      <c r="X2" s="17" t="s">
        <v>29</v>
      </c>
      <c r="Y2" s="21" t="s">
        <v>30</v>
      </c>
      <c r="Z2" s="17" t="s">
        <v>31</v>
      </c>
      <c r="AA2" s="17" t="s">
        <v>32</v>
      </c>
      <c r="AB2" s="1" t="s">
        <v>92</v>
      </c>
    </row>
    <row r="3" spans="1:28">
      <c r="A3" s="16">
        <v>1998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45">
        <v>82.45</v>
      </c>
      <c r="Q3" s="50"/>
      <c r="R3" s="136"/>
      <c r="S3" s="136"/>
      <c r="T3" s="45">
        <v>746.45</v>
      </c>
      <c r="U3" s="45">
        <v>344.76</v>
      </c>
      <c r="V3" s="45">
        <v>152.72</v>
      </c>
      <c r="W3" s="45">
        <v>144.19999999999999</v>
      </c>
      <c r="X3" s="45">
        <v>441.18</v>
      </c>
      <c r="Y3" s="45">
        <v>441.18</v>
      </c>
      <c r="Z3" s="45">
        <f>B3+D3+F3+H3+J3+L3+N3+P3+R3+T3+V3+X3</f>
        <v>1422.8000000000002</v>
      </c>
      <c r="AA3" s="45">
        <f>C3+E3+G3+I3+K3+M3+O3+Q3+S3+U3+W3+Y3</f>
        <v>930.14</v>
      </c>
      <c r="AB3" s="58">
        <v>82.45</v>
      </c>
    </row>
    <row r="4" spans="1:28">
      <c r="A4" s="8">
        <v>1999</v>
      </c>
      <c r="B4" s="46">
        <v>261.48</v>
      </c>
      <c r="C4" s="49"/>
      <c r="D4" s="46">
        <v>9.6</v>
      </c>
      <c r="E4" s="83"/>
      <c r="F4" s="46">
        <v>265.72000000000003</v>
      </c>
      <c r="G4" s="49"/>
      <c r="H4" s="46">
        <v>18.829999999999998</v>
      </c>
      <c r="I4" s="83"/>
      <c r="J4" s="83"/>
      <c r="K4" s="83"/>
      <c r="L4" s="46">
        <v>305.51</v>
      </c>
      <c r="M4" s="49"/>
      <c r="N4" s="46">
        <v>350.19</v>
      </c>
      <c r="O4" s="49"/>
      <c r="P4" s="46">
        <v>562.19000000000005</v>
      </c>
      <c r="Q4" s="49"/>
      <c r="R4" s="46">
        <v>350.73</v>
      </c>
      <c r="S4" s="49"/>
      <c r="T4" s="83"/>
      <c r="U4" s="83"/>
      <c r="V4" s="83"/>
      <c r="W4" s="83"/>
      <c r="X4" s="46">
        <v>208.94</v>
      </c>
      <c r="Y4" s="49"/>
      <c r="Z4" s="46">
        <f t="shared" ref="Z4:Z18" si="0">B4+D4+F4+H4+J4+L4+N4+P4+R4+T4+V4+X4</f>
        <v>2333.19</v>
      </c>
      <c r="AA4" s="45">
        <f t="shared" ref="AA4:AA18" si="1">C4+E4+G4+I4+K4+M4+O4+Q4+S4+U4+W4+Y4</f>
        <v>0</v>
      </c>
      <c r="AB4" s="58">
        <f>B4+F4+L4+N4+P4+R4+X4</f>
        <v>2304.7600000000002</v>
      </c>
    </row>
    <row r="5" spans="1:28">
      <c r="A5" s="8">
        <v>2000</v>
      </c>
      <c r="B5" s="129"/>
      <c r="C5" s="129"/>
      <c r="D5" s="129"/>
      <c r="E5" s="129"/>
      <c r="F5" s="129"/>
      <c r="G5" s="129"/>
      <c r="H5" s="129"/>
      <c r="I5" s="129"/>
      <c r="J5" s="46">
        <v>346.58</v>
      </c>
      <c r="K5" s="49"/>
      <c r="L5" s="46">
        <v>254.83</v>
      </c>
      <c r="M5" s="49"/>
      <c r="N5" s="46">
        <v>194.85</v>
      </c>
      <c r="O5" s="49"/>
      <c r="P5" s="46">
        <v>557.21</v>
      </c>
      <c r="Q5" s="49"/>
      <c r="R5" s="46">
        <v>382.68</v>
      </c>
      <c r="S5" s="49"/>
      <c r="T5" s="46">
        <v>471</v>
      </c>
      <c r="U5" s="49"/>
      <c r="V5" s="46">
        <v>404.86</v>
      </c>
      <c r="W5" s="49"/>
      <c r="X5" s="46">
        <v>443.23</v>
      </c>
      <c r="Y5" s="49"/>
      <c r="Z5" s="46">
        <f t="shared" si="0"/>
        <v>3055.2400000000002</v>
      </c>
      <c r="AA5" s="45">
        <f t="shared" si="1"/>
        <v>0</v>
      </c>
      <c r="AB5" s="58">
        <f>J5+L5+N5+P5+R5+T5+V5+X5</f>
        <v>3055.2400000000002</v>
      </c>
    </row>
    <row r="6" spans="1:28">
      <c r="A6" s="8">
        <v>2001</v>
      </c>
      <c r="B6" s="46">
        <v>305.27</v>
      </c>
      <c r="C6" s="49"/>
      <c r="D6" s="46">
        <v>517.62</v>
      </c>
      <c r="E6" s="49"/>
      <c r="F6" s="46">
        <v>530.99</v>
      </c>
      <c r="G6" s="49"/>
      <c r="H6" s="46">
        <v>329.3</v>
      </c>
      <c r="I6" s="49"/>
      <c r="J6" s="46">
        <v>198.41</v>
      </c>
      <c r="K6" s="49"/>
      <c r="L6" s="46">
        <v>385.56</v>
      </c>
      <c r="M6" s="49"/>
      <c r="N6" s="46">
        <v>288.43</v>
      </c>
      <c r="O6" s="49"/>
      <c r="P6" s="46">
        <v>564.78</v>
      </c>
      <c r="Q6" s="49"/>
      <c r="R6" s="46">
        <v>182.21</v>
      </c>
      <c r="S6" s="49"/>
      <c r="T6" s="46">
        <v>120.86</v>
      </c>
      <c r="U6" s="49"/>
      <c r="V6" s="46">
        <v>447.79</v>
      </c>
      <c r="W6" s="49"/>
      <c r="X6" s="46">
        <v>569.16</v>
      </c>
      <c r="Y6" s="49"/>
      <c r="Z6" s="46">
        <f t="shared" si="0"/>
        <v>4440.38</v>
      </c>
      <c r="AA6" s="45">
        <f t="shared" si="1"/>
        <v>0</v>
      </c>
      <c r="AB6" s="58">
        <f>B6+D6+F6+H6+J6+L6+N6+P6+R6+T6+V6+X6</f>
        <v>4440.38</v>
      </c>
    </row>
    <row r="7" spans="1:28">
      <c r="A7" s="8">
        <v>2002</v>
      </c>
      <c r="B7" s="46">
        <v>121.33</v>
      </c>
      <c r="C7" s="49"/>
      <c r="D7" s="46">
        <v>187.28</v>
      </c>
      <c r="E7" s="49"/>
      <c r="F7" s="46">
        <v>242.04</v>
      </c>
      <c r="G7" s="49"/>
      <c r="H7" s="46">
        <v>4.68</v>
      </c>
      <c r="I7" s="129"/>
      <c r="J7" s="46">
        <v>4.82</v>
      </c>
      <c r="K7" s="129"/>
      <c r="L7" s="46">
        <v>252.34</v>
      </c>
      <c r="M7" s="49"/>
      <c r="N7" s="46">
        <v>484.15</v>
      </c>
      <c r="O7" s="49"/>
      <c r="P7" s="46">
        <v>433.79</v>
      </c>
      <c r="Q7" s="49"/>
      <c r="R7" s="46">
        <v>213.51</v>
      </c>
      <c r="S7" s="49"/>
      <c r="T7" s="46">
        <v>311.39</v>
      </c>
      <c r="U7" s="49"/>
      <c r="V7" s="46">
        <v>409.58</v>
      </c>
      <c r="W7" s="49"/>
      <c r="X7" s="46">
        <v>460.27</v>
      </c>
      <c r="Y7" s="49"/>
      <c r="Z7" s="46">
        <f t="shared" si="0"/>
        <v>3125.18</v>
      </c>
      <c r="AA7" s="45">
        <f t="shared" si="1"/>
        <v>0</v>
      </c>
      <c r="AB7" s="58">
        <f>B7+D7+F7+L7+N7+P7+R7+T7+V7+X7</f>
        <v>3115.68</v>
      </c>
    </row>
    <row r="8" spans="1:28">
      <c r="A8" s="8">
        <v>2003</v>
      </c>
      <c r="B8" s="133">
        <v>224.36</v>
      </c>
      <c r="C8" s="134"/>
      <c r="D8" s="133">
        <v>182.47</v>
      </c>
      <c r="E8" s="134"/>
      <c r="F8" s="133">
        <v>300.68</v>
      </c>
      <c r="G8" s="134"/>
      <c r="H8" s="133">
        <v>514.24</v>
      </c>
      <c r="I8" s="134"/>
      <c r="J8" s="133">
        <v>397.35</v>
      </c>
      <c r="K8" s="134"/>
      <c r="L8" s="133">
        <v>812.77</v>
      </c>
      <c r="M8" s="134"/>
      <c r="N8" s="133">
        <v>586.34</v>
      </c>
      <c r="O8" s="134"/>
      <c r="P8" s="133">
        <v>611.29</v>
      </c>
      <c r="Q8" s="134"/>
      <c r="R8" s="133">
        <v>552.45000000000005</v>
      </c>
      <c r="S8" s="134"/>
      <c r="T8" s="133">
        <v>1017.6</v>
      </c>
      <c r="U8" s="134"/>
      <c r="V8" s="133">
        <v>710.2</v>
      </c>
      <c r="W8" s="134"/>
      <c r="X8" s="133">
        <v>951.33</v>
      </c>
      <c r="Y8" s="134"/>
      <c r="Z8" s="46">
        <f t="shared" si="0"/>
        <v>6861.08</v>
      </c>
      <c r="AA8" s="45">
        <f t="shared" si="1"/>
        <v>0</v>
      </c>
      <c r="AB8" s="58"/>
    </row>
    <row r="9" spans="1:28">
      <c r="A9" s="8">
        <v>2004</v>
      </c>
      <c r="B9" s="133">
        <v>548.59</v>
      </c>
      <c r="C9" s="134"/>
      <c r="D9" s="133">
        <v>1273.73</v>
      </c>
      <c r="E9" s="134"/>
      <c r="F9" s="133">
        <v>540.49</v>
      </c>
      <c r="G9" s="134"/>
      <c r="H9" s="133">
        <v>930.31</v>
      </c>
      <c r="I9" s="134"/>
      <c r="J9" s="133">
        <v>516.78</v>
      </c>
      <c r="K9" s="134"/>
      <c r="L9" s="133">
        <v>519.45000000000005</v>
      </c>
      <c r="M9" s="134"/>
      <c r="N9" s="133">
        <v>812.46</v>
      </c>
      <c r="O9" s="134"/>
      <c r="P9" s="133">
        <v>702.22</v>
      </c>
      <c r="Q9" s="134"/>
      <c r="R9" s="133">
        <v>1071.17</v>
      </c>
      <c r="S9" s="134"/>
      <c r="T9" s="133">
        <v>1167.48</v>
      </c>
      <c r="U9" s="134"/>
      <c r="V9" s="133">
        <v>680.41</v>
      </c>
      <c r="W9" s="134"/>
      <c r="X9" s="133">
        <v>1084.8</v>
      </c>
      <c r="Y9" s="134"/>
      <c r="Z9" s="46">
        <f t="shared" si="0"/>
        <v>9847.89</v>
      </c>
      <c r="AA9" s="45">
        <f t="shared" si="1"/>
        <v>0</v>
      </c>
      <c r="AB9" s="58"/>
    </row>
    <row r="10" spans="1:28">
      <c r="A10" s="8">
        <v>2005</v>
      </c>
      <c r="B10" s="46">
        <v>282.04000000000002</v>
      </c>
      <c r="C10" s="129"/>
      <c r="D10" s="46">
        <v>200.74</v>
      </c>
      <c r="E10" s="129"/>
      <c r="F10" s="46">
        <v>753.03</v>
      </c>
      <c r="G10" s="129"/>
      <c r="H10" s="46">
        <v>229.8</v>
      </c>
      <c r="I10" s="129"/>
      <c r="J10" s="46">
        <v>486.7</v>
      </c>
      <c r="K10" s="129"/>
      <c r="L10" s="46">
        <v>405.71</v>
      </c>
      <c r="M10" s="129"/>
      <c r="N10" s="46">
        <v>1000.69</v>
      </c>
      <c r="O10" s="129"/>
      <c r="P10" s="46">
        <v>835.42</v>
      </c>
      <c r="Q10" s="129"/>
      <c r="R10" s="46">
        <v>1260.01</v>
      </c>
      <c r="S10" s="129"/>
      <c r="T10" s="46">
        <v>694.81</v>
      </c>
      <c r="U10" s="129"/>
      <c r="V10" s="46">
        <v>1406.93</v>
      </c>
      <c r="W10" s="129"/>
      <c r="X10" s="46">
        <v>1066.8599999999999</v>
      </c>
      <c r="Y10" s="129"/>
      <c r="Z10" s="46">
        <f t="shared" si="0"/>
        <v>8622.7400000000016</v>
      </c>
      <c r="AA10" s="45">
        <f t="shared" si="1"/>
        <v>0</v>
      </c>
      <c r="AB10" s="58"/>
    </row>
    <row r="11" spans="1:28">
      <c r="A11" s="8">
        <v>2006</v>
      </c>
      <c r="B11" s="46">
        <v>825.5</v>
      </c>
      <c r="C11" s="129"/>
      <c r="D11" s="46">
        <v>1009.25</v>
      </c>
      <c r="E11" s="129"/>
      <c r="F11" s="46">
        <v>1172.04</v>
      </c>
      <c r="G11" s="129"/>
      <c r="H11" s="46">
        <v>946.8</v>
      </c>
      <c r="I11" s="129"/>
      <c r="J11" s="46">
        <v>1149.4100000000001</v>
      </c>
      <c r="K11" s="129"/>
      <c r="L11" s="46">
        <v>793.82</v>
      </c>
      <c r="M11" s="129"/>
      <c r="N11" s="46">
        <v>886.27</v>
      </c>
      <c r="O11" s="129"/>
      <c r="P11" s="46">
        <v>240.77</v>
      </c>
      <c r="Q11" s="129"/>
      <c r="R11" s="46">
        <v>457.93</v>
      </c>
      <c r="S11" s="129"/>
      <c r="T11" s="46">
        <v>887.14</v>
      </c>
      <c r="U11" s="129"/>
      <c r="V11" s="46">
        <v>835.04</v>
      </c>
      <c r="W11" s="129"/>
      <c r="X11" s="46">
        <v>1632.81</v>
      </c>
      <c r="Y11" s="129"/>
      <c r="Z11" s="46">
        <f t="shared" si="0"/>
        <v>10836.78</v>
      </c>
      <c r="AA11" s="45">
        <f t="shared" si="1"/>
        <v>0</v>
      </c>
      <c r="AB11" s="58"/>
    </row>
    <row r="12" spans="1:28">
      <c r="A12" s="8">
        <v>2007</v>
      </c>
      <c r="B12" s="46">
        <v>868.99</v>
      </c>
      <c r="C12" s="129"/>
      <c r="D12" s="46">
        <v>508.77</v>
      </c>
      <c r="E12" s="129"/>
      <c r="F12" s="46">
        <v>838.78</v>
      </c>
      <c r="G12" s="129"/>
      <c r="H12" s="46">
        <v>2372.98</v>
      </c>
      <c r="I12" s="129"/>
      <c r="J12" s="46">
        <v>329.13</v>
      </c>
      <c r="K12" s="129"/>
      <c r="L12" s="46">
        <v>854.18</v>
      </c>
      <c r="M12" s="129"/>
      <c r="N12" s="46">
        <v>1365.1</v>
      </c>
      <c r="O12" s="49"/>
      <c r="P12" s="46">
        <v>1243.43</v>
      </c>
      <c r="Q12" s="49"/>
      <c r="R12" s="46">
        <v>486.14</v>
      </c>
      <c r="S12" s="49"/>
      <c r="T12" s="46">
        <v>793.08</v>
      </c>
      <c r="U12" s="49"/>
      <c r="V12" s="46">
        <v>745.87</v>
      </c>
      <c r="W12" s="49"/>
      <c r="X12" s="46">
        <v>272.42</v>
      </c>
      <c r="Y12" s="46">
        <v>227.17</v>
      </c>
      <c r="Z12" s="46">
        <f t="shared" si="0"/>
        <v>10678.87</v>
      </c>
      <c r="AA12" s="45">
        <f t="shared" si="1"/>
        <v>227.17</v>
      </c>
      <c r="AB12" s="58">
        <f>N12+P12+R12+T12+V12</f>
        <v>4633.62</v>
      </c>
    </row>
    <row r="13" spans="1:28">
      <c r="A13" s="8">
        <v>2008</v>
      </c>
      <c r="B13" s="46">
        <v>667.04</v>
      </c>
      <c r="C13" s="46">
        <v>557.23</v>
      </c>
      <c r="D13" s="129"/>
      <c r="E13" s="129"/>
      <c r="F13" s="129"/>
      <c r="G13" s="129"/>
      <c r="H13" s="46">
        <v>467.39</v>
      </c>
      <c r="I13" s="46">
        <v>381.6</v>
      </c>
      <c r="J13" s="46">
        <v>749.02</v>
      </c>
      <c r="K13" s="46">
        <v>758.11</v>
      </c>
      <c r="L13" s="46">
        <v>572.41999999999996</v>
      </c>
      <c r="M13" s="46">
        <v>426.49</v>
      </c>
      <c r="N13" s="83"/>
      <c r="O13" s="83"/>
      <c r="P13" s="46">
        <v>1235.8800000000001</v>
      </c>
      <c r="Q13" s="46">
        <v>1115.3699999999999</v>
      </c>
      <c r="R13" s="46">
        <v>597.61</v>
      </c>
      <c r="S13" s="46">
        <v>357.58</v>
      </c>
      <c r="T13" s="46">
        <v>637.38</v>
      </c>
      <c r="U13" s="46">
        <v>614.20000000000005</v>
      </c>
      <c r="V13" s="46">
        <v>990.93</v>
      </c>
      <c r="W13" s="46">
        <v>899.37</v>
      </c>
      <c r="X13" s="46">
        <v>702.89</v>
      </c>
      <c r="Y13" s="46">
        <v>631.29</v>
      </c>
      <c r="Z13" s="46">
        <f t="shared" si="0"/>
        <v>6620.56</v>
      </c>
      <c r="AA13" s="45">
        <f t="shared" si="1"/>
        <v>5741.24</v>
      </c>
      <c r="AB13" s="58"/>
    </row>
    <row r="14" spans="1:28" s="135" customFormat="1">
      <c r="A14" s="203">
        <v>2009</v>
      </c>
      <c r="B14" s="130">
        <v>391.38</v>
      </c>
      <c r="C14" s="130">
        <v>339.94</v>
      </c>
      <c r="D14" s="130"/>
      <c r="E14" s="130"/>
      <c r="F14" s="130">
        <v>498.41</v>
      </c>
      <c r="G14" s="130">
        <v>382.88</v>
      </c>
      <c r="H14" s="130">
        <v>400.48</v>
      </c>
      <c r="I14" s="130">
        <v>230.3</v>
      </c>
      <c r="J14" s="130">
        <v>406.31</v>
      </c>
      <c r="K14" s="130">
        <v>338.36</v>
      </c>
      <c r="L14" s="130">
        <v>156.08000000000001</v>
      </c>
      <c r="M14" s="130">
        <v>115.69</v>
      </c>
      <c r="N14" s="130">
        <v>616.11</v>
      </c>
      <c r="O14" s="130">
        <v>366.7</v>
      </c>
      <c r="P14" s="130">
        <v>662.64</v>
      </c>
      <c r="Q14" s="130">
        <v>585.99</v>
      </c>
      <c r="R14" s="130">
        <v>1040.44</v>
      </c>
      <c r="S14" s="130">
        <v>537.36</v>
      </c>
      <c r="T14" s="130">
        <v>636.15</v>
      </c>
      <c r="U14" s="130">
        <v>431.03</v>
      </c>
      <c r="V14" s="130">
        <v>893.08</v>
      </c>
      <c r="W14" s="130">
        <v>761.9</v>
      </c>
      <c r="X14" s="130">
        <v>702.58</v>
      </c>
      <c r="Y14" s="130">
        <v>506.24</v>
      </c>
      <c r="Z14" s="130">
        <f t="shared" si="0"/>
        <v>6403.66</v>
      </c>
      <c r="AA14" s="204">
        <f>C14+E14+G14+I14+K14+M14+O14+Q14+S14+U14+W14+Y14</f>
        <v>4596.3900000000003</v>
      </c>
      <c r="AB14" s="202"/>
    </row>
    <row r="15" spans="1:28">
      <c r="A15" s="8">
        <v>2010</v>
      </c>
      <c r="B15" s="46">
        <v>494.05</v>
      </c>
      <c r="C15" s="49"/>
      <c r="D15" s="46">
        <v>520.02</v>
      </c>
      <c r="E15" s="49"/>
      <c r="F15" s="46">
        <v>776.9</v>
      </c>
      <c r="G15" s="49"/>
      <c r="H15" s="46">
        <v>1203.4100000000001</v>
      </c>
      <c r="I15" s="49"/>
      <c r="J15" s="46">
        <v>767.95</v>
      </c>
      <c r="K15" s="49"/>
      <c r="L15" s="46">
        <v>1034.7</v>
      </c>
      <c r="M15" s="49"/>
      <c r="N15" s="46">
        <v>31.77</v>
      </c>
      <c r="O15" s="129"/>
      <c r="P15" s="46">
        <v>49.8</v>
      </c>
      <c r="Q15" s="129"/>
      <c r="R15" s="46">
        <v>35.369999999999997</v>
      </c>
      <c r="S15" s="129"/>
      <c r="T15" s="46">
        <v>66.7</v>
      </c>
      <c r="U15" s="129"/>
      <c r="V15" s="129"/>
      <c r="W15" s="129"/>
      <c r="X15" s="46">
        <v>443</v>
      </c>
      <c r="Y15" s="46">
        <v>302.12</v>
      </c>
      <c r="Z15" s="46">
        <f t="shared" si="0"/>
        <v>5423.67</v>
      </c>
      <c r="AA15" s="45">
        <f t="shared" si="1"/>
        <v>302.12</v>
      </c>
      <c r="AB15" s="58">
        <f>B15+D15+F15+H15+J15+L15</f>
        <v>4797.03</v>
      </c>
    </row>
    <row r="16" spans="1:28">
      <c r="A16" s="8">
        <v>2011</v>
      </c>
      <c r="B16" s="46">
        <v>200.69</v>
      </c>
      <c r="C16" s="129"/>
      <c r="D16" s="46">
        <v>60.86</v>
      </c>
      <c r="E16" s="129"/>
      <c r="F16" s="46">
        <v>31.24</v>
      </c>
      <c r="G16" s="129"/>
      <c r="H16" s="46">
        <v>31.19</v>
      </c>
      <c r="I16" s="129"/>
      <c r="J16" s="46">
        <v>41.5</v>
      </c>
      <c r="K16" s="129"/>
      <c r="L16" s="46">
        <v>35.96</v>
      </c>
      <c r="M16" s="129"/>
      <c r="N16" s="46">
        <v>32.119999999999997</v>
      </c>
      <c r="O16" s="129"/>
      <c r="P16" s="46">
        <v>122.62</v>
      </c>
      <c r="Q16" s="130">
        <v>459</v>
      </c>
      <c r="R16" s="46">
        <v>46.67</v>
      </c>
      <c r="S16" s="129"/>
      <c r="T16" s="46">
        <v>8.58</v>
      </c>
      <c r="U16" s="129"/>
      <c r="V16" s="46">
        <v>22.31</v>
      </c>
      <c r="W16" s="130">
        <v>137.78</v>
      </c>
      <c r="X16" s="46">
        <v>32.03</v>
      </c>
      <c r="Y16" s="129"/>
      <c r="Z16" s="46">
        <f t="shared" si="0"/>
        <v>665.77</v>
      </c>
      <c r="AA16" s="45">
        <f t="shared" si="1"/>
        <v>596.78</v>
      </c>
      <c r="AB16" s="58"/>
    </row>
    <row r="17" spans="1:28">
      <c r="A17" s="8">
        <v>2012</v>
      </c>
      <c r="B17" s="46">
        <v>9.01</v>
      </c>
      <c r="C17" s="129"/>
      <c r="D17" s="46">
        <v>9</v>
      </c>
      <c r="E17" s="129"/>
      <c r="F17" s="46">
        <v>27</v>
      </c>
      <c r="G17" s="129"/>
      <c r="H17" s="46">
        <v>7.2</v>
      </c>
      <c r="I17" s="129"/>
      <c r="J17" s="46">
        <v>16.2</v>
      </c>
      <c r="K17" s="129"/>
      <c r="L17" s="129"/>
      <c r="M17" s="129"/>
      <c r="N17" s="46">
        <v>253.22</v>
      </c>
      <c r="O17" s="130">
        <v>86</v>
      </c>
      <c r="P17" s="129"/>
      <c r="Q17" s="129"/>
      <c r="R17" s="129"/>
      <c r="S17" s="129"/>
      <c r="T17" s="129"/>
      <c r="U17" s="129"/>
      <c r="V17" s="46">
        <v>2.12</v>
      </c>
      <c r="W17" s="129"/>
      <c r="X17" s="129"/>
      <c r="Y17" s="130">
        <v>367.12</v>
      </c>
      <c r="Z17" s="46">
        <f t="shared" si="0"/>
        <v>323.75</v>
      </c>
      <c r="AA17" s="45">
        <f t="shared" si="1"/>
        <v>453.12</v>
      </c>
      <c r="AB17" s="58"/>
    </row>
    <row r="18" spans="1:28">
      <c r="A18" s="8">
        <v>2013</v>
      </c>
      <c r="B18" s="80"/>
      <c r="C18" s="80"/>
      <c r="D18" s="80"/>
      <c r="E18" s="80"/>
      <c r="F18" s="80"/>
      <c r="G18" s="80"/>
      <c r="H18" s="10">
        <v>71.599999999999994</v>
      </c>
      <c r="I18" s="80"/>
      <c r="J18" s="80"/>
      <c r="K18" s="80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0">
        <f t="shared" si="0"/>
        <v>71.599999999999994</v>
      </c>
      <c r="AA18" s="45">
        <f t="shared" si="1"/>
        <v>0</v>
      </c>
      <c r="AB18" s="58"/>
    </row>
    <row r="19" spans="1:28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7">
        <f>SUM(Z3:Z18)</f>
        <v>80733.160000000018</v>
      </c>
      <c r="AA19" s="47">
        <f t="shared" ref="AA19" si="2">SUM(AA3:AA18)</f>
        <v>12846.960000000001</v>
      </c>
      <c r="AB19" s="58">
        <f>SUM(AB3:AB18)</f>
        <v>22429.16</v>
      </c>
    </row>
    <row r="20" spans="1:28">
      <c r="Z20" s="48"/>
      <c r="AA20" s="48"/>
      <c r="AB20" s="15"/>
    </row>
    <row r="21" spans="1:28">
      <c r="Z21" s="48"/>
      <c r="AA21" s="48"/>
    </row>
    <row r="22" spans="1:28" ht="15.75">
      <c r="A22" s="538" t="s">
        <v>94</v>
      </c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</row>
    <row r="24" spans="1:28" ht="15.75">
      <c r="A24" s="538" t="s">
        <v>95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</row>
    <row r="26" spans="1:28" ht="15">
      <c r="A26" s="541" t="s">
        <v>35</v>
      </c>
      <c r="B26" s="541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</row>
    <row r="28" spans="1:28">
      <c r="O28" s="135" t="s">
        <v>88</v>
      </c>
    </row>
    <row r="29" spans="1:28">
      <c r="Q29" s="135" t="s">
        <v>89</v>
      </c>
      <c r="W29" s="135" t="s">
        <v>90</v>
      </c>
      <c r="AA29" s="65"/>
    </row>
    <row r="30" spans="1:28">
      <c r="Y30" s="135" t="s">
        <v>93</v>
      </c>
      <c r="AA30" s="15"/>
    </row>
    <row r="31" spans="1:28">
      <c r="W31" s="15"/>
    </row>
  </sheetData>
  <mergeCells count="17">
    <mergeCell ref="A24:S24"/>
    <mergeCell ref="A22:S22"/>
    <mergeCell ref="Z1:AA1"/>
    <mergeCell ref="A26:AA26"/>
    <mergeCell ref="D1:E1"/>
    <mergeCell ref="F1:G1"/>
    <mergeCell ref="H1:I1"/>
    <mergeCell ref="J1:K1"/>
    <mergeCell ref="L1:M1"/>
    <mergeCell ref="N1:O1"/>
    <mergeCell ref="T1:U1"/>
    <mergeCell ref="V1:W1"/>
    <mergeCell ref="X1:Y1"/>
    <mergeCell ref="P1:Q1"/>
    <mergeCell ref="R1:S1"/>
    <mergeCell ref="B1:C1"/>
    <mergeCell ref="A1:A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33"/>
  <sheetViews>
    <sheetView workbookViewId="0">
      <selection activeCell="O21" sqref="O21:O22"/>
    </sheetView>
  </sheetViews>
  <sheetFormatPr defaultRowHeight="11.25"/>
  <cols>
    <col min="1" max="1" width="3.44140625" style="284" bestFit="1" customWidth="1"/>
    <col min="2" max="2" width="5" style="284" bestFit="1" customWidth="1"/>
    <col min="3" max="3" width="6.88671875" style="284" customWidth="1"/>
    <col min="4" max="4" width="6.33203125" style="284" bestFit="1" customWidth="1"/>
    <col min="5" max="5" width="7.33203125" style="284" customWidth="1"/>
    <col min="6" max="6" width="6.33203125" style="284" bestFit="1" customWidth="1"/>
    <col min="7" max="7" width="5.6640625" style="284" bestFit="1" customWidth="1"/>
    <col min="8" max="8" width="4.6640625" style="284" bestFit="1" customWidth="1"/>
    <col min="9" max="10" width="6.33203125" style="284" bestFit="1" customWidth="1"/>
    <col min="11" max="11" width="4.6640625" style="284" bestFit="1" customWidth="1"/>
    <col min="12" max="14" width="6.33203125" style="284" bestFit="1" customWidth="1"/>
    <col min="15" max="15" width="6.5546875" style="284" bestFit="1" customWidth="1"/>
    <col min="16" max="16" width="7.6640625" style="284" bestFit="1" customWidth="1"/>
    <col min="17" max="17" width="6.5546875" style="284" bestFit="1" customWidth="1"/>
    <col min="18" max="18" width="4.6640625" style="284" customWidth="1"/>
    <col min="19" max="19" width="5.5546875" style="284" bestFit="1" customWidth="1"/>
    <col min="20" max="20" width="8" style="284" bestFit="1" customWidth="1"/>
    <col min="21" max="22" width="6.5546875" style="284" bestFit="1" customWidth="1"/>
    <col min="23" max="23" width="8" style="284" bestFit="1" customWidth="1"/>
    <col min="24" max="16384" width="8.88671875" style="284"/>
  </cols>
  <sheetData>
    <row r="1" spans="1:23" ht="12" thickBot="1">
      <c r="A1" s="417"/>
      <c r="B1" s="18" t="s">
        <v>18</v>
      </c>
      <c r="C1" s="19" t="s">
        <v>19</v>
      </c>
      <c r="D1" s="18" t="s">
        <v>20</v>
      </c>
      <c r="E1" s="20" t="s">
        <v>21</v>
      </c>
      <c r="F1" s="18" t="s">
        <v>2</v>
      </c>
      <c r="G1" s="19" t="s">
        <v>22</v>
      </c>
      <c r="H1" s="18" t="s">
        <v>23</v>
      </c>
      <c r="I1" s="20" t="s">
        <v>24</v>
      </c>
      <c r="J1" s="18" t="s">
        <v>25</v>
      </c>
      <c r="K1" s="19" t="s">
        <v>26</v>
      </c>
      <c r="L1" s="18" t="s">
        <v>27</v>
      </c>
      <c r="M1" s="20" t="s">
        <v>28</v>
      </c>
      <c r="N1" s="17" t="s">
        <v>16</v>
      </c>
      <c r="O1" s="40" t="s">
        <v>74</v>
      </c>
      <c r="P1" s="17" t="s">
        <v>258</v>
      </c>
      <c r="Q1" s="40" t="s">
        <v>74</v>
      </c>
    </row>
    <row r="2" spans="1:23">
      <c r="A2" s="288">
        <v>1998</v>
      </c>
      <c r="B2" s="289"/>
      <c r="C2" s="289"/>
      <c r="D2" s="289"/>
      <c r="E2" s="289"/>
      <c r="F2" s="289"/>
      <c r="G2" s="289"/>
      <c r="H2" s="289"/>
      <c r="I2" s="290"/>
      <c r="J2" s="290"/>
      <c r="K2" s="290"/>
      <c r="L2" s="290">
        <v>3.17</v>
      </c>
      <c r="M2" s="290"/>
      <c r="N2" s="290">
        <f t="shared" ref="N2:N17" si="0">SUM(B2:M2)</f>
        <v>3.17</v>
      </c>
      <c r="O2" s="302">
        <v>35</v>
      </c>
      <c r="P2" s="290">
        <f>N2*30%</f>
        <v>0.95099999999999996</v>
      </c>
      <c r="Q2" s="302">
        <f>O2*30%</f>
        <v>10.5</v>
      </c>
    </row>
    <row r="3" spans="1:23">
      <c r="A3" s="285">
        <v>1999</v>
      </c>
      <c r="B3" s="291"/>
      <c r="C3" s="291"/>
      <c r="D3" s="291"/>
      <c r="E3" s="291">
        <v>30.22</v>
      </c>
      <c r="F3" s="291">
        <v>37.450000000000003</v>
      </c>
      <c r="G3" s="291"/>
      <c r="H3" s="291"/>
      <c r="I3" s="291"/>
      <c r="J3" s="291"/>
      <c r="K3" s="291"/>
      <c r="L3" s="291"/>
      <c r="M3" s="291"/>
      <c r="N3" s="290">
        <f t="shared" si="0"/>
        <v>67.67</v>
      </c>
      <c r="O3" s="302">
        <f>W3</f>
        <v>679</v>
      </c>
      <c r="P3" s="290">
        <f>N3*30%</f>
        <v>20.300999999999998</v>
      </c>
      <c r="Q3" s="302">
        <f>O3*30%</f>
        <v>203.7</v>
      </c>
      <c r="S3" s="296">
        <v>307</v>
      </c>
      <c r="T3" s="296">
        <v>372</v>
      </c>
      <c r="U3" s="296"/>
      <c r="V3" s="344"/>
      <c r="W3" s="376">
        <f>SUM(S3:V3)</f>
        <v>679</v>
      </c>
    </row>
    <row r="4" spans="1:23">
      <c r="A4" s="285">
        <v>2000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0">
        <f t="shared" si="0"/>
        <v>0</v>
      </c>
      <c r="O4" s="302"/>
      <c r="P4" s="290"/>
      <c r="Q4" s="302"/>
      <c r="S4" s="294"/>
    </row>
    <row r="5" spans="1:23">
      <c r="A5" s="285">
        <v>2001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0">
        <f t="shared" si="0"/>
        <v>0</v>
      </c>
      <c r="O5" s="302"/>
      <c r="P5" s="290"/>
      <c r="Q5" s="302"/>
      <c r="S5" s="294"/>
    </row>
    <row r="6" spans="1:23">
      <c r="A6" s="285">
        <v>2002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93">
        <f t="shared" si="0"/>
        <v>0</v>
      </c>
      <c r="O6" s="421"/>
      <c r="P6" s="293"/>
      <c r="Q6" s="421"/>
      <c r="S6" s="294"/>
    </row>
    <row r="7" spans="1:23">
      <c r="A7" s="285">
        <v>2003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54"/>
      <c r="M7" s="54"/>
      <c r="N7" s="293">
        <f t="shared" si="0"/>
        <v>0</v>
      </c>
      <c r="O7" s="421"/>
      <c r="P7" s="293"/>
      <c r="Q7" s="421"/>
      <c r="S7" s="294"/>
    </row>
    <row r="8" spans="1:23">
      <c r="A8" s="285">
        <v>2004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54"/>
      <c r="M8" s="54"/>
      <c r="N8" s="293">
        <f t="shared" si="0"/>
        <v>0</v>
      </c>
      <c r="O8" s="421"/>
      <c r="P8" s="293"/>
      <c r="Q8" s="421"/>
    </row>
    <row r="9" spans="1:23">
      <c r="A9" s="285">
        <v>2005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93">
        <f t="shared" si="0"/>
        <v>0</v>
      </c>
      <c r="O9" s="421"/>
      <c r="P9" s="293"/>
      <c r="Q9" s="421"/>
    </row>
    <row r="10" spans="1:23">
      <c r="A10" s="285">
        <v>2006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93">
        <f t="shared" si="0"/>
        <v>0</v>
      </c>
      <c r="O10" s="421"/>
      <c r="P10" s="293"/>
      <c r="Q10" s="421"/>
    </row>
    <row r="11" spans="1:23">
      <c r="A11" s="285">
        <v>2007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93">
        <f t="shared" si="0"/>
        <v>0</v>
      </c>
      <c r="O11" s="421"/>
      <c r="P11" s="293"/>
      <c r="Q11" s="421"/>
    </row>
    <row r="12" spans="1:23">
      <c r="A12" s="285">
        <v>2008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293">
        <f t="shared" si="0"/>
        <v>0</v>
      </c>
      <c r="O12" s="421"/>
      <c r="P12" s="293"/>
      <c r="Q12" s="421"/>
    </row>
    <row r="13" spans="1:23">
      <c r="A13" s="285">
        <v>2009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293">
        <f t="shared" si="0"/>
        <v>0</v>
      </c>
      <c r="O13" s="421"/>
      <c r="P13" s="293"/>
      <c r="Q13" s="421"/>
    </row>
    <row r="14" spans="1:23">
      <c r="A14" s="285">
        <v>2010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293">
        <f t="shared" si="0"/>
        <v>0</v>
      </c>
      <c r="O14" s="421"/>
      <c r="P14" s="293"/>
      <c r="Q14" s="421"/>
    </row>
    <row r="15" spans="1:23">
      <c r="A15" s="285">
        <v>2011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293">
        <f t="shared" si="0"/>
        <v>0</v>
      </c>
      <c r="O15" s="421"/>
      <c r="P15" s="293"/>
      <c r="Q15" s="421"/>
    </row>
    <row r="16" spans="1:23">
      <c r="A16" s="285">
        <v>2012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93">
        <f t="shared" si="0"/>
        <v>0</v>
      </c>
      <c r="O16" s="421"/>
      <c r="P16" s="293"/>
      <c r="Q16" s="421"/>
    </row>
    <row r="17" spans="1:17">
      <c r="A17" s="285">
        <v>2013</v>
      </c>
      <c r="B17" s="54"/>
      <c r="C17" s="54"/>
      <c r="D17" s="54"/>
      <c r="E17" s="54"/>
      <c r="F17" s="54"/>
      <c r="G17" s="295"/>
      <c r="H17" s="295"/>
      <c r="I17" s="295"/>
      <c r="J17" s="295"/>
      <c r="K17" s="295"/>
      <c r="L17" s="295"/>
      <c r="M17" s="295"/>
      <c r="N17" s="293">
        <f t="shared" si="0"/>
        <v>0</v>
      </c>
      <c r="O17" s="421"/>
      <c r="P17" s="293"/>
      <c r="Q17" s="421"/>
    </row>
    <row r="18" spans="1:17"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1">
        <f>SUM(N2:N17)</f>
        <v>70.84</v>
      </c>
      <c r="O18" s="299">
        <f t="shared" ref="O18:Q18" si="1">SUM(O2:O17)</f>
        <v>714</v>
      </c>
      <c r="P18" s="291">
        <f t="shared" si="1"/>
        <v>21.251999999999999</v>
      </c>
      <c r="Q18" s="299">
        <f t="shared" si="1"/>
        <v>214.2</v>
      </c>
    </row>
    <row r="19" spans="1:17">
      <c r="O19" s="310"/>
      <c r="P19" s="424" t="s">
        <v>259</v>
      </c>
      <c r="Q19" s="310"/>
    </row>
    <row r="20" spans="1:17">
      <c r="C20" s="425"/>
      <c r="D20" s="425"/>
      <c r="E20" s="425"/>
      <c r="L20" s="304"/>
      <c r="Q20" s="310"/>
    </row>
    <row r="21" spans="1:17">
      <c r="A21" s="608" t="s">
        <v>445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304" t="s">
        <v>470</v>
      </c>
      <c r="P21" s="426"/>
      <c r="Q21" s="426"/>
    </row>
    <row r="22" spans="1:17" s="428" customFormat="1">
      <c r="L22" s="429"/>
      <c r="O22" s="148">
        <v>45337</v>
      </c>
    </row>
    <row r="24" spans="1:17" ht="12" thickBot="1">
      <c r="A24" s="430">
        <v>1998</v>
      </c>
      <c r="B24" s="431" t="s">
        <v>446</v>
      </c>
      <c r="C24" s="431">
        <v>144</v>
      </c>
      <c r="D24" s="432">
        <v>1080</v>
      </c>
      <c r="E24" s="433">
        <f>D24/340.75</f>
        <v>3.1694790902421128</v>
      </c>
      <c r="F24" s="428"/>
    </row>
    <row r="25" spans="1:17" ht="12" thickBot="1">
      <c r="A25" s="558">
        <v>1999</v>
      </c>
      <c r="B25" s="434" t="s">
        <v>441</v>
      </c>
      <c r="C25" s="435">
        <v>359</v>
      </c>
      <c r="D25" s="436">
        <v>10296</v>
      </c>
      <c r="E25" s="437">
        <f t="shared" ref="E25:E29" si="2">D25/340.75</f>
        <v>30.215700660308144</v>
      </c>
      <c r="F25" s="428"/>
    </row>
    <row r="26" spans="1:17">
      <c r="A26" s="558"/>
      <c r="B26" s="428" t="s">
        <v>436</v>
      </c>
      <c r="C26" s="428">
        <v>381</v>
      </c>
      <c r="D26" s="438">
        <v>1545</v>
      </c>
      <c r="E26" s="199">
        <f t="shared" si="2"/>
        <v>4.5341159207630231</v>
      </c>
      <c r="F26" s="428"/>
    </row>
    <row r="27" spans="1:17">
      <c r="A27" s="558"/>
      <c r="B27" s="428" t="s">
        <v>436</v>
      </c>
      <c r="C27" s="428">
        <v>382</v>
      </c>
      <c r="D27" s="438">
        <v>7728</v>
      </c>
      <c r="E27" s="199">
        <f t="shared" si="2"/>
        <v>22.679383712399119</v>
      </c>
      <c r="F27" s="428"/>
    </row>
    <row r="28" spans="1:17">
      <c r="A28" s="558"/>
      <c r="B28" s="441" t="s">
        <v>436</v>
      </c>
      <c r="C28" s="442">
        <v>412</v>
      </c>
      <c r="D28" s="443">
        <v>1922</v>
      </c>
      <c r="E28" s="444">
        <f t="shared" si="2"/>
        <v>5.6404988994864267</v>
      </c>
      <c r="F28" s="428"/>
    </row>
    <row r="29" spans="1:17" ht="12" thickBot="1">
      <c r="A29" s="558"/>
      <c r="B29" s="431" t="s">
        <v>436</v>
      </c>
      <c r="C29" s="439">
        <v>415</v>
      </c>
      <c r="D29" s="432">
        <v>1565</v>
      </c>
      <c r="E29" s="440">
        <f t="shared" si="2"/>
        <v>4.5928099779897282</v>
      </c>
      <c r="F29" s="328">
        <f>SUM(E26:E29)</f>
        <v>37.446808510638299</v>
      </c>
    </row>
    <row r="30" spans="1:17">
      <c r="A30" s="428"/>
      <c r="B30" s="428"/>
      <c r="C30" s="428"/>
      <c r="D30" s="428"/>
      <c r="E30" s="428"/>
      <c r="F30" s="428"/>
    </row>
    <row r="31" spans="1:17">
      <c r="A31" s="428"/>
      <c r="B31" s="428"/>
      <c r="C31" s="428"/>
      <c r="D31" s="428"/>
      <c r="E31" s="428"/>
      <c r="F31" s="428"/>
    </row>
    <row r="32" spans="1:17">
      <c r="A32" s="428"/>
      <c r="B32" s="428"/>
      <c r="C32" s="428"/>
      <c r="D32" s="428"/>
      <c r="E32" s="428"/>
      <c r="F32" s="428"/>
    </row>
    <row r="33" spans="1:6">
      <c r="A33" s="428"/>
      <c r="B33" s="428"/>
      <c r="C33" s="428"/>
      <c r="D33" s="428"/>
      <c r="E33" s="427" t="s">
        <v>256</v>
      </c>
      <c r="F33" s="428"/>
    </row>
  </sheetData>
  <mergeCells count="2">
    <mergeCell ref="A21:N21"/>
    <mergeCell ref="A25:A2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5"/>
  <sheetViews>
    <sheetView workbookViewId="0">
      <selection activeCell="O20" sqref="O20:O21"/>
    </sheetView>
  </sheetViews>
  <sheetFormatPr defaultRowHeight="11.25"/>
  <cols>
    <col min="1" max="1" width="3.44140625" style="284" bestFit="1" customWidth="1"/>
    <col min="2" max="2" width="5" style="284" bestFit="1" customWidth="1"/>
    <col min="3" max="3" width="2.77734375" style="284" bestFit="1" customWidth="1"/>
    <col min="4" max="6" width="6.33203125" style="284" bestFit="1" customWidth="1"/>
    <col min="7" max="7" width="5.6640625" style="284" bestFit="1" customWidth="1"/>
    <col min="8" max="8" width="4.6640625" style="284" bestFit="1" customWidth="1"/>
    <col min="9" max="10" width="6.33203125" style="284" bestFit="1" customWidth="1"/>
    <col min="11" max="11" width="4.6640625" style="284" bestFit="1" customWidth="1"/>
    <col min="12" max="14" width="6.33203125" style="284" bestFit="1" customWidth="1"/>
    <col min="15" max="15" width="6.5546875" style="284" bestFit="1" customWidth="1"/>
    <col min="16" max="16" width="7.6640625" style="284" bestFit="1" customWidth="1"/>
    <col min="17" max="17" width="6.5546875" style="284" bestFit="1" customWidth="1"/>
    <col min="18" max="18" width="4.6640625" style="284" customWidth="1"/>
    <col min="19" max="19" width="4" style="284" bestFit="1" customWidth="1"/>
    <col min="20" max="20" width="5.6640625" style="284" bestFit="1" customWidth="1"/>
    <col min="21" max="22" width="4.6640625" style="284" bestFit="1" customWidth="1"/>
    <col min="23" max="24" width="2.109375" style="284" bestFit="1" customWidth="1"/>
    <col min="25" max="25" width="2.77734375" style="284" bestFit="1" customWidth="1"/>
    <col min="26" max="16384" width="8.88671875" style="284"/>
  </cols>
  <sheetData>
    <row r="1" spans="1:26" ht="12" thickBot="1">
      <c r="A1" s="417"/>
      <c r="B1" s="18" t="s">
        <v>18</v>
      </c>
      <c r="C1" s="19" t="s">
        <v>19</v>
      </c>
      <c r="D1" s="18" t="s">
        <v>20</v>
      </c>
      <c r="E1" s="20" t="s">
        <v>21</v>
      </c>
      <c r="F1" s="18" t="s">
        <v>2</v>
      </c>
      <c r="G1" s="19" t="s">
        <v>22</v>
      </c>
      <c r="H1" s="18" t="s">
        <v>23</v>
      </c>
      <c r="I1" s="20" t="s">
        <v>24</v>
      </c>
      <c r="J1" s="18" t="s">
        <v>25</v>
      </c>
      <c r="K1" s="19" t="s">
        <v>26</v>
      </c>
      <c r="L1" s="18" t="s">
        <v>27</v>
      </c>
      <c r="M1" s="20" t="s">
        <v>28</v>
      </c>
      <c r="N1" s="17" t="s">
        <v>16</v>
      </c>
      <c r="O1" s="40" t="s">
        <v>74</v>
      </c>
      <c r="P1" s="17" t="s">
        <v>258</v>
      </c>
      <c r="Q1" s="40" t="s">
        <v>74</v>
      </c>
    </row>
    <row r="2" spans="1:26">
      <c r="A2" s="288">
        <v>1998</v>
      </c>
      <c r="B2" s="289"/>
      <c r="C2" s="289"/>
      <c r="D2" s="289"/>
      <c r="E2" s="289"/>
      <c r="F2" s="289"/>
      <c r="G2" s="289"/>
      <c r="H2" s="289"/>
      <c r="I2" s="290"/>
      <c r="J2" s="290"/>
      <c r="K2" s="290"/>
      <c r="L2" s="290">
        <v>3.17</v>
      </c>
      <c r="M2" s="290"/>
      <c r="N2" s="290">
        <f t="shared" ref="N2:N17" si="0">SUM(B2:M2)</f>
        <v>3.17</v>
      </c>
      <c r="O2" s="302">
        <v>35</v>
      </c>
      <c r="P2" s="290">
        <f>N2*30%</f>
        <v>0.95099999999999996</v>
      </c>
      <c r="Q2" s="302">
        <f>O2*30%</f>
        <v>10.5</v>
      </c>
    </row>
    <row r="3" spans="1:26">
      <c r="A3" s="285">
        <v>1999</v>
      </c>
      <c r="B3" s="291">
        <v>3.17</v>
      </c>
      <c r="C3" s="291"/>
      <c r="D3" s="291">
        <v>296.63</v>
      </c>
      <c r="E3" s="291">
        <v>30.22</v>
      </c>
      <c r="F3" s="291">
        <v>37.450000000000003</v>
      </c>
      <c r="G3" s="291">
        <v>4.01</v>
      </c>
      <c r="H3" s="291"/>
      <c r="I3" s="291">
        <v>4.99</v>
      </c>
      <c r="J3" s="291">
        <v>15.51</v>
      </c>
      <c r="K3" s="291"/>
      <c r="L3" s="291"/>
      <c r="M3" s="291"/>
      <c r="N3" s="290">
        <f t="shared" si="0"/>
        <v>391.97999999999996</v>
      </c>
      <c r="O3" s="302">
        <f>Z3</f>
        <v>4238</v>
      </c>
      <c r="P3" s="290">
        <f>N3*30%</f>
        <v>117.59399999999998</v>
      </c>
      <c r="Q3" s="302">
        <f>O3*30%</f>
        <v>1271.3999999999999</v>
      </c>
      <c r="S3" s="296">
        <v>34</v>
      </c>
      <c r="T3" s="296">
        <v>3069</v>
      </c>
      <c r="U3" s="296">
        <v>307</v>
      </c>
      <c r="V3" s="344">
        <v>374</v>
      </c>
      <c r="W3" s="284">
        <v>77</v>
      </c>
      <c r="X3" s="284">
        <v>93</v>
      </c>
      <c r="Y3" s="284">
        <v>284</v>
      </c>
      <c r="Z3" s="450">
        <f>SUM(S3:Y3)</f>
        <v>4238</v>
      </c>
    </row>
    <row r="4" spans="1:26">
      <c r="A4" s="285">
        <v>2000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0">
        <f t="shared" si="0"/>
        <v>0</v>
      </c>
      <c r="O4" s="302"/>
      <c r="P4" s="290"/>
      <c r="Q4" s="302"/>
      <c r="S4" s="294"/>
    </row>
    <row r="5" spans="1:26">
      <c r="A5" s="285">
        <v>2001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0">
        <f t="shared" si="0"/>
        <v>0</v>
      </c>
      <c r="O5" s="302"/>
      <c r="P5" s="290"/>
      <c r="Q5" s="302"/>
      <c r="S5" s="294"/>
    </row>
    <row r="6" spans="1:26">
      <c r="A6" s="285">
        <v>2002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93">
        <f t="shared" si="0"/>
        <v>0</v>
      </c>
      <c r="O6" s="421"/>
      <c r="P6" s="293"/>
      <c r="Q6" s="421"/>
      <c r="S6" s="294"/>
    </row>
    <row r="7" spans="1:26">
      <c r="A7" s="285">
        <v>2003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54"/>
      <c r="M7" s="54"/>
      <c r="N7" s="293">
        <f t="shared" si="0"/>
        <v>0</v>
      </c>
      <c r="O7" s="421"/>
      <c r="P7" s="293"/>
      <c r="Q7" s="421"/>
      <c r="S7" s="294"/>
    </row>
    <row r="8" spans="1:26">
      <c r="A8" s="285">
        <v>2004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54"/>
      <c r="M8" s="54"/>
      <c r="N8" s="293">
        <f t="shared" si="0"/>
        <v>0</v>
      </c>
      <c r="O8" s="421"/>
      <c r="P8" s="293"/>
      <c r="Q8" s="421"/>
    </row>
    <row r="9" spans="1:26">
      <c r="A9" s="285">
        <v>2005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93">
        <f t="shared" si="0"/>
        <v>0</v>
      </c>
      <c r="O9" s="421"/>
      <c r="P9" s="293"/>
      <c r="Q9" s="421"/>
    </row>
    <row r="10" spans="1:26">
      <c r="A10" s="285">
        <v>2006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93">
        <f t="shared" si="0"/>
        <v>0</v>
      </c>
      <c r="O10" s="421"/>
      <c r="P10" s="293"/>
      <c r="Q10" s="421"/>
    </row>
    <row r="11" spans="1:26">
      <c r="A11" s="285">
        <v>2007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93">
        <f t="shared" si="0"/>
        <v>0</v>
      </c>
      <c r="O11" s="421"/>
      <c r="P11" s="293"/>
      <c r="Q11" s="421"/>
    </row>
    <row r="12" spans="1:26">
      <c r="A12" s="285">
        <v>2008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293">
        <f t="shared" si="0"/>
        <v>0</v>
      </c>
      <c r="O12" s="421"/>
      <c r="P12" s="293"/>
      <c r="Q12" s="421"/>
    </row>
    <row r="13" spans="1:26">
      <c r="A13" s="285">
        <v>2009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293">
        <f t="shared" si="0"/>
        <v>0</v>
      </c>
      <c r="O13" s="421"/>
      <c r="P13" s="293"/>
      <c r="Q13" s="421"/>
    </row>
    <row r="14" spans="1:26">
      <c r="A14" s="285">
        <v>2010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293">
        <f t="shared" si="0"/>
        <v>0</v>
      </c>
      <c r="O14" s="421"/>
      <c r="P14" s="293"/>
      <c r="Q14" s="421"/>
    </row>
    <row r="15" spans="1:26">
      <c r="A15" s="285">
        <v>2011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293">
        <f t="shared" si="0"/>
        <v>0</v>
      </c>
      <c r="O15" s="421"/>
      <c r="P15" s="293"/>
      <c r="Q15" s="421"/>
    </row>
    <row r="16" spans="1:26">
      <c r="A16" s="285">
        <v>2012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93">
        <f t="shared" si="0"/>
        <v>0</v>
      </c>
      <c r="O16" s="421"/>
      <c r="P16" s="293"/>
      <c r="Q16" s="421"/>
    </row>
    <row r="17" spans="1:17">
      <c r="A17" s="285">
        <v>2013</v>
      </c>
      <c r="B17" s="54"/>
      <c r="C17" s="54"/>
      <c r="D17" s="54"/>
      <c r="E17" s="54"/>
      <c r="F17" s="54"/>
      <c r="G17" s="295"/>
      <c r="H17" s="295"/>
      <c r="I17" s="295"/>
      <c r="J17" s="295"/>
      <c r="K17" s="295"/>
      <c r="L17" s="295"/>
      <c r="M17" s="295"/>
      <c r="N17" s="293">
        <f t="shared" si="0"/>
        <v>0</v>
      </c>
      <c r="O17" s="421"/>
      <c r="P17" s="293"/>
      <c r="Q17" s="421"/>
    </row>
    <row r="18" spans="1:17"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1">
        <f>SUM(N2:N17)</f>
        <v>395.15</v>
      </c>
      <c r="O18" s="299">
        <f t="shared" ref="O18:Q18" si="1">SUM(O2:O17)</f>
        <v>4273</v>
      </c>
      <c r="P18" s="291">
        <f t="shared" si="1"/>
        <v>118.54499999999997</v>
      </c>
      <c r="Q18" s="299">
        <f t="shared" si="1"/>
        <v>1281.8999999999999</v>
      </c>
    </row>
    <row r="19" spans="1:17">
      <c r="O19" s="310"/>
      <c r="P19" s="424" t="s">
        <v>259</v>
      </c>
      <c r="Q19" s="310"/>
    </row>
    <row r="20" spans="1:17">
      <c r="C20" s="425"/>
      <c r="D20" s="425"/>
      <c r="E20" s="425"/>
      <c r="L20" s="304"/>
      <c r="O20" s="304" t="s">
        <v>470</v>
      </c>
      <c r="Q20" s="310"/>
    </row>
    <row r="21" spans="1:17">
      <c r="A21" s="608" t="s">
        <v>440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148">
        <v>45337</v>
      </c>
      <c r="P21" s="426"/>
      <c r="Q21" s="426"/>
    </row>
    <row r="22" spans="1:17" s="428" customFormat="1">
      <c r="L22" s="429"/>
    </row>
    <row r="23" spans="1:17" s="428" customFormat="1" ht="12" thickBot="1">
      <c r="A23" s="430">
        <v>1998</v>
      </c>
      <c r="B23" s="431" t="s">
        <v>446</v>
      </c>
      <c r="C23" s="431">
        <v>144</v>
      </c>
      <c r="D23" s="432">
        <v>1080</v>
      </c>
      <c r="E23" s="433">
        <f>D23/340.75</f>
        <v>3.1694790902421128</v>
      </c>
    </row>
    <row r="24" spans="1:17" s="428" customFormat="1" ht="12" thickBot="1">
      <c r="A24" s="558">
        <v>1999</v>
      </c>
      <c r="B24" s="434" t="s">
        <v>437</v>
      </c>
      <c r="C24" s="435">
        <v>252</v>
      </c>
      <c r="D24" s="436">
        <v>1080</v>
      </c>
      <c r="E24" s="437">
        <f t="shared" ref="E24:E35" si="2">D24/340.75</f>
        <v>3.1694790902421128</v>
      </c>
    </row>
    <row r="25" spans="1:17" s="428" customFormat="1">
      <c r="A25" s="558"/>
      <c r="B25" s="428" t="s">
        <v>438</v>
      </c>
      <c r="C25" s="428">
        <v>298</v>
      </c>
      <c r="D25" s="438">
        <v>18569</v>
      </c>
      <c r="E25" s="199">
        <f t="shared" si="2"/>
        <v>54.494497432134999</v>
      </c>
    </row>
    <row r="26" spans="1:17" s="428" customFormat="1">
      <c r="A26" s="558"/>
      <c r="B26" s="428" t="s">
        <v>439</v>
      </c>
      <c r="C26" s="428">
        <v>299</v>
      </c>
      <c r="D26" s="438">
        <v>41184</v>
      </c>
      <c r="E26" s="199">
        <f t="shared" si="2"/>
        <v>120.86280264123258</v>
      </c>
    </row>
    <row r="27" spans="1:17" s="428" customFormat="1" ht="12" thickBot="1">
      <c r="A27" s="558"/>
      <c r="B27" s="431" t="s">
        <v>439</v>
      </c>
      <c r="C27" s="439">
        <v>327</v>
      </c>
      <c r="D27" s="432">
        <v>41323</v>
      </c>
      <c r="E27" s="440">
        <f t="shared" si="2"/>
        <v>121.27072633895818</v>
      </c>
      <c r="F27" s="328">
        <f>SUM(E25:E27)</f>
        <v>296.62802641232577</v>
      </c>
    </row>
    <row r="28" spans="1:17" s="428" customFormat="1" ht="12" thickBot="1">
      <c r="A28" s="558"/>
      <c r="B28" s="434" t="s">
        <v>441</v>
      </c>
      <c r="C28" s="435">
        <v>359</v>
      </c>
      <c r="D28" s="436">
        <v>10296</v>
      </c>
      <c r="E28" s="437">
        <f t="shared" si="2"/>
        <v>30.215700660308144</v>
      </c>
    </row>
    <row r="29" spans="1:17" s="428" customFormat="1">
      <c r="A29" s="558"/>
      <c r="B29" s="428" t="s">
        <v>436</v>
      </c>
      <c r="C29" s="428">
        <v>381</v>
      </c>
      <c r="D29" s="438">
        <v>1545</v>
      </c>
      <c r="E29" s="199">
        <f t="shared" si="2"/>
        <v>4.5341159207630231</v>
      </c>
    </row>
    <row r="30" spans="1:17" s="428" customFormat="1">
      <c r="A30" s="558"/>
      <c r="B30" s="428" t="s">
        <v>436</v>
      </c>
      <c r="C30" s="428">
        <v>382</v>
      </c>
      <c r="D30" s="438">
        <v>7728</v>
      </c>
      <c r="E30" s="199">
        <f t="shared" si="2"/>
        <v>22.679383712399119</v>
      </c>
    </row>
    <row r="31" spans="1:17" s="428" customFormat="1">
      <c r="A31" s="558"/>
      <c r="B31" s="441" t="s">
        <v>436</v>
      </c>
      <c r="C31" s="442">
        <v>412</v>
      </c>
      <c r="D31" s="443">
        <v>1922</v>
      </c>
      <c r="E31" s="444">
        <f t="shared" si="2"/>
        <v>5.6404988994864267</v>
      </c>
    </row>
    <row r="32" spans="1:17" s="428" customFormat="1" ht="12" thickBot="1">
      <c r="A32" s="558"/>
      <c r="B32" s="431" t="s">
        <v>436</v>
      </c>
      <c r="C32" s="439">
        <v>415</v>
      </c>
      <c r="D32" s="432">
        <v>1565</v>
      </c>
      <c r="E32" s="440">
        <f t="shared" si="2"/>
        <v>4.5928099779897282</v>
      </c>
      <c r="F32" s="328">
        <f>SUM(E29:E32)</f>
        <v>37.446808510638299</v>
      </c>
    </row>
    <row r="33" spans="1:17" ht="12" thickBot="1">
      <c r="A33" s="558"/>
      <c r="B33" s="431" t="s">
        <v>442</v>
      </c>
      <c r="C33" s="435">
        <v>466</v>
      </c>
      <c r="D33" s="436">
        <v>1365</v>
      </c>
      <c r="E33" s="437">
        <f t="shared" si="2"/>
        <v>4.0058694057226703</v>
      </c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</row>
    <row r="34" spans="1:17" ht="12" thickBot="1">
      <c r="A34" s="558"/>
      <c r="B34" s="431" t="s">
        <v>443</v>
      </c>
      <c r="C34" s="435">
        <v>527</v>
      </c>
      <c r="D34" s="436">
        <v>1700</v>
      </c>
      <c r="E34" s="437">
        <f t="shared" si="2"/>
        <v>4.9889948642699924</v>
      </c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</row>
    <row r="35" spans="1:17" ht="12" thickBot="1">
      <c r="A35" s="558"/>
      <c r="B35" s="431" t="s">
        <v>444</v>
      </c>
      <c r="C35" s="435">
        <v>634</v>
      </c>
      <c r="D35" s="436">
        <v>5284</v>
      </c>
      <c r="E35" s="437">
        <f t="shared" si="2"/>
        <v>15.50696991929567</v>
      </c>
      <c r="G35" s="428" t="s">
        <v>463</v>
      </c>
      <c r="H35" s="428"/>
      <c r="I35" s="428"/>
      <c r="J35" s="428"/>
      <c r="K35" s="428"/>
      <c r="L35" s="428"/>
      <c r="M35" s="428"/>
      <c r="N35" s="428"/>
      <c r="O35" s="428"/>
      <c r="P35" s="428"/>
      <c r="Q35" s="428"/>
    </row>
    <row r="36" spans="1:17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</row>
    <row r="37" spans="1:17">
      <c r="A37" s="428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</row>
    <row r="38" spans="1:17">
      <c r="A38" s="428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</row>
    <row r="39" spans="1:17">
      <c r="A39" s="428"/>
      <c r="B39" s="428"/>
      <c r="C39" s="428"/>
      <c r="D39" s="428"/>
      <c r="E39" s="427" t="s">
        <v>256</v>
      </c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</row>
    <row r="40" spans="1:17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</row>
    <row r="41" spans="1:17">
      <c r="A41" s="428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</row>
    <row r="42" spans="1:17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</row>
    <row r="43" spans="1:17">
      <c r="A43" s="428"/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</row>
    <row r="44" spans="1:17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</row>
    <row r="45" spans="1:17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</row>
  </sheetData>
  <mergeCells count="2">
    <mergeCell ref="A21:N21"/>
    <mergeCell ref="A24:A3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37"/>
  <sheetViews>
    <sheetView tabSelected="1" workbookViewId="0">
      <pane ySplit="1" topLeftCell="A2" activePane="bottomLeft" state="frozen"/>
      <selection pane="bottomLeft" activeCell="O20" sqref="O20:O21"/>
    </sheetView>
  </sheetViews>
  <sheetFormatPr defaultRowHeight="11.25"/>
  <cols>
    <col min="1" max="1" width="5" style="284" bestFit="1" customWidth="1"/>
    <col min="2" max="2" width="8.109375" style="284" bestFit="1" customWidth="1"/>
    <col min="3" max="5" width="8" style="284" bestFit="1" customWidth="1"/>
    <col min="6" max="9" width="7.109375" style="284" bestFit="1" customWidth="1"/>
    <col min="10" max="10" width="8" style="284" bestFit="1" customWidth="1"/>
    <col min="11" max="11" width="6.5546875" style="284" bestFit="1" customWidth="1"/>
    <col min="12" max="12" width="8" style="284" bestFit="1" customWidth="1"/>
    <col min="13" max="13" width="7.109375" style="284" bestFit="1" customWidth="1"/>
    <col min="14" max="14" width="5.88671875" style="284" bestFit="1" customWidth="1"/>
    <col min="15" max="15" width="7.33203125" style="284" bestFit="1" customWidth="1"/>
    <col min="16" max="16" width="7.44140625" style="284" bestFit="1" customWidth="1"/>
    <col min="17" max="17" width="6.5546875" style="284" bestFit="1" customWidth="1"/>
    <col min="18" max="18" width="5" style="284" customWidth="1"/>
    <col min="19" max="20" width="3.33203125" style="296" bestFit="1" customWidth="1"/>
    <col min="21" max="21" width="4" style="296" bestFit="1" customWidth="1"/>
    <col min="22" max="22" width="3.33203125" style="296" bestFit="1" customWidth="1"/>
    <col min="23" max="26" width="4" style="296" bestFit="1" customWidth="1"/>
    <col min="27" max="27" width="4.6640625" style="296" bestFit="1" customWidth="1"/>
    <col min="28" max="28" width="4" style="296" bestFit="1" customWidth="1"/>
    <col min="29" max="29" width="4.6640625" style="296" bestFit="1" customWidth="1"/>
    <col min="30" max="30" width="4" style="296" bestFit="1" customWidth="1"/>
    <col min="31" max="31" width="4.6640625" style="296" bestFit="1" customWidth="1"/>
    <col min="32" max="32" width="4" style="284" bestFit="1" customWidth="1"/>
    <col min="33" max="33" width="7.109375" style="284" bestFit="1" customWidth="1"/>
    <col min="34" max="16384" width="8.88671875" style="284"/>
  </cols>
  <sheetData>
    <row r="1" spans="1:31">
      <c r="A1" s="417"/>
      <c r="B1" s="419" t="s">
        <v>18</v>
      </c>
      <c r="C1" s="418" t="s">
        <v>19</v>
      </c>
      <c r="D1" s="419" t="s">
        <v>20</v>
      </c>
      <c r="E1" s="416" t="s">
        <v>21</v>
      </c>
      <c r="F1" s="419" t="s">
        <v>2</v>
      </c>
      <c r="G1" s="418" t="s">
        <v>22</v>
      </c>
      <c r="H1" s="419" t="s">
        <v>23</v>
      </c>
      <c r="I1" s="416" t="s">
        <v>24</v>
      </c>
      <c r="J1" s="419" t="s">
        <v>25</v>
      </c>
      <c r="K1" s="418" t="s">
        <v>26</v>
      </c>
      <c r="L1" s="419" t="s">
        <v>27</v>
      </c>
      <c r="M1" s="416" t="s">
        <v>28</v>
      </c>
      <c r="N1" s="420" t="s">
        <v>16</v>
      </c>
      <c r="O1" s="420" t="s">
        <v>74</v>
      </c>
      <c r="P1" s="420" t="s">
        <v>329</v>
      </c>
      <c r="Q1" s="420" t="s">
        <v>74</v>
      </c>
      <c r="S1" s="296">
        <v>1</v>
      </c>
      <c r="T1" s="296">
        <v>2</v>
      </c>
      <c r="U1" s="296">
        <v>3</v>
      </c>
      <c r="V1" s="296">
        <v>4</v>
      </c>
      <c r="W1" s="296">
        <v>5</v>
      </c>
      <c r="X1" s="296">
        <v>6</v>
      </c>
      <c r="Y1" s="296">
        <v>7</v>
      </c>
      <c r="Z1" s="296">
        <v>8</v>
      </c>
      <c r="AA1" s="296">
        <v>9</v>
      </c>
      <c r="AB1" s="296">
        <v>10</v>
      </c>
      <c r="AC1" s="296">
        <v>11</v>
      </c>
      <c r="AD1" s="296">
        <v>12</v>
      </c>
    </row>
    <row r="2" spans="1:31">
      <c r="A2" s="288">
        <v>1998</v>
      </c>
      <c r="B2" s="289"/>
      <c r="C2" s="289"/>
      <c r="D2" s="289"/>
      <c r="E2" s="289"/>
      <c r="F2" s="289"/>
      <c r="G2" s="289"/>
      <c r="H2" s="289"/>
      <c r="I2" s="290"/>
      <c r="J2" s="290">
        <v>14.63</v>
      </c>
      <c r="K2" s="290"/>
      <c r="L2" s="290">
        <v>16.68</v>
      </c>
      <c r="M2" s="290"/>
      <c r="N2" s="290">
        <f>SUM(I2:M2)</f>
        <v>31.310000000000002</v>
      </c>
      <c r="O2" s="302">
        <f>AE2</f>
        <v>355</v>
      </c>
      <c r="P2" s="290">
        <f>N2*30%</f>
        <v>9.3930000000000007</v>
      </c>
      <c r="Q2" s="302">
        <f>O2*30%</f>
        <v>106.5</v>
      </c>
      <c r="AA2" s="296">
        <v>169</v>
      </c>
      <c r="AC2" s="296">
        <v>186</v>
      </c>
      <c r="AE2" s="376">
        <f>SUM(S2:AD2)</f>
        <v>355</v>
      </c>
    </row>
    <row r="3" spans="1:31">
      <c r="A3" s="285">
        <v>1999</v>
      </c>
      <c r="B3" s="291"/>
      <c r="C3" s="291"/>
      <c r="D3" s="291"/>
      <c r="E3" s="291"/>
      <c r="F3" s="291">
        <v>4.59</v>
      </c>
      <c r="G3" s="291">
        <v>5.75</v>
      </c>
      <c r="H3" s="291">
        <v>2.2599999999999998</v>
      </c>
      <c r="I3" s="291">
        <v>7.27</v>
      </c>
      <c r="J3" s="291"/>
      <c r="K3" s="291"/>
      <c r="L3" s="291"/>
      <c r="M3" s="291">
        <v>4.75</v>
      </c>
      <c r="N3" s="290">
        <f>SUM(B3:M3)</f>
        <v>24.619999999999997</v>
      </c>
      <c r="O3" s="302">
        <f t="shared" ref="O3:O4" si="0">AE3</f>
        <v>235</v>
      </c>
      <c r="P3" s="290">
        <f t="shared" ref="P3:Q4" si="1">N3*30%</f>
        <v>7.3859999999999992</v>
      </c>
      <c r="Q3" s="302">
        <f t="shared" si="1"/>
        <v>70.5</v>
      </c>
      <c r="R3" s="294"/>
      <c r="U3" s="344"/>
      <c r="V3" s="344"/>
      <c r="W3" s="344">
        <v>46</v>
      </c>
      <c r="X3" s="296">
        <v>56</v>
      </c>
      <c r="Y3" s="296">
        <v>22</v>
      </c>
      <c r="Z3" s="296">
        <v>69</v>
      </c>
      <c r="AD3" s="296">
        <v>42</v>
      </c>
      <c r="AE3" s="376">
        <f t="shared" ref="AE3:AE4" si="2">SUM(S3:AD3)</f>
        <v>235</v>
      </c>
    </row>
    <row r="4" spans="1:31">
      <c r="A4" s="285">
        <v>2000</v>
      </c>
      <c r="B4" s="291"/>
      <c r="C4" s="291"/>
      <c r="D4" s="291">
        <v>1.58</v>
      </c>
      <c r="E4" s="291"/>
      <c r="F4" s="291"/>
      <c r="G4" s="291"/>
      <c r="H4" s="291"/>
      <c r="I4" s="291">
        <v>1.58</v>
      </c>
      <c r="J4" s="291"/>
      <c r="K4" s="291"/>
      <c r="L4" s="291">
        <v>0.95</v>
      </c>
      <c r="M4" s="291">
        <v>3.79</v>
      </c>
      <c r="N4" s="290">
        <f>SUM(B4:M4)</f>
        <v>7.9</v>
      </c>
      <c r="O4" s="302">
        <f t="shared" si="0"/>
        <v>60</v>
      </c>
      <c r="P4" s="290">
        <f t="shared" si="1"/>
        <v>2.37</v>
      </c>
      <c r="Q4" s="302">
        <f t="shared" si="1"/>
        <v>18</v>
      </c>
      <c r="R4" s="294"/>
      <c r="U4" s="344">
        <v>13</v>
      </c>
      <c r="V4" s="344"/>
      <c r="Z4" s="296">
        <v>12</v>
      </c>
      <c r="AC4" s="296">
        <v>7</v>
      </c>
      <c r="AD4" s="296">
        <v>28</v>
      </c>
      <c r="AE4" s="376">
        <f t="shared" si="2"/>
        <v>60</v>
      </c>
    </row>
    <row r="5" spans="1:31">
      <c r="A5" s="285">
        <v>2001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0"/>
      <c r="O5" s="302"/>
      <c r="P5" s="290"/>
      <c r="Q5" s="302">
        <f t="shared" ref="Q5:Q17" si="3">SUM(B5:M5)</f>
        <v>0</v>
      </c>
      <c r="R5" s="294"/>
    </row>
    <row r="6" spans="1:31">
      <c r="A6" s="285">
        <v>2002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93"/>
      <c r="O6" s="421"/>
      <c r="P6" s="293"/>
      <c r="Q6" s="421">
        <f t="shared" si="3"/>
        <v>0</v>
      </c>
      <c r="R6" s="294"/>
      <c r="T6" s="513"/>
      <c r="U6" s="513"/>
    </row>
    <row r="7" spans="1:31">
      <c r="A7" s="285">
        <v>2003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54"/>
      <c r="M7" s="54"/>
      <c r="N7" s="293"/>
      <c r="O7" s="421"/>
      <c r="P7" s="293"/>
      <c r="Q7" s="421">
        <f t="shared" si="3"/>
        <v>0</v>
      </c>
      <c r="R7" s="294"/>
    </row>
    <row r="8" spans="1:31">
      <c r="A8" s="285">
        <v>2004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54"/>
      <c r="M8" s="54"/>
      <c r="N8" s="293"/>
      <c r="O8" s="421"/>
      <c r="P8" s="293"/>
      <c r="Q8" s="421">
        <f t="shared" si="3"/>
        <v>0</v>
      </c>
      <c r="R8" s="294"/>
    </row>
    <row r="9" spans="1:31">
      <c r="A9" s="285">
        <v>2005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93"/>
      <c r="O9" s="421"/>
      <c r="P9" s="293"/>
      <c r="Q9" s="421">
        <f t="shared" si="3"/>
        <v>0</v>
      </c>
      <c r="R9" s="294"/>
    </row>
    <row r="10" spans="1:31">
      <c r="A10" s="285">
        <v>2006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93"/>
      <c r="O10" s="421"/>
      <c r="P10" s="293"/>
      <c r="Q10" s="421">
        <f t="shared" si="3"/>
        <v>0</v>
      </c>
      <c r="R10" s="294"/>
    </row>
    <row r="11" spans="1:31">
      <c r="A11" s="285">
        <v>2007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93"/>
      <c r="O11" s="421"/>
      <c r="P11" s="293"/>
      <c r="Q11" s="421">
        <f t="shared" si="3"/>
        <v>0</v>
      </c>
      <c r="R11" s="294"/>
    </row>
    <row r="12" spans="1:31">
      <c r="A12" s="285">
        <v>2008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293"/>
      <c r="O12" s="421"/>
      <c r="P12" s="293"/>
      <c r="Q12" s="421">
        <f t="shared" si="3"/>
        <v>0</v>
      </c>
      <c r="R12" s="294"/>
    </row>
    <row r="13" spans="1:31">
      <c r="A13" s="285">
        <v>2009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293"/>
      <c r="O13" s="421"/>
      <c r="P13" s="293"/>
      <c r="Q13" s="421">
        <f t="shared" si="3"/>
        <v>0</v>
      </c>
      <c r="R13" s="294"/>
    </row>
    <row r="14" spans="1:31">
      <c r="A14" s="285">
        <v>2010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293"/>
      <c r="O14" s="421"/>
      <c r="P14" s="293"/>
      <c r="Q14" s="421">
        <f t="shared" si="3"/>
        <v>0</v>
      </c>
      <c r="R14" s="294"/>
    </row>
    <row r="15" spans="1:31">
      <c r="A15" s="285">
        <v>2011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293"/>
      <c r="O15" s="421"/>
      <c r="P15" s="293"/>
      <c r="Q15" s="421">
        <f t="shared" si="3"/>
        <v>0</v>
      </c>
      <c r="R15" s="294"/>
    </row>
    <row r="16" spans="1:31">
      <c r="A16" s="285">
        <v>2012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93"/>
      <c r="O16" s="421"/>
      <c r="P16" s="293"/>
      <c r="Q16" s="421">
        <f t="shared" si="3"/>
        <v>0</v>
      </c>
      <c r="R16" s="294"/>
    </row>
    <row r="17" spans="1:18">
      <c r="A17" s="285">
        <v>2013</v>
      </c>
      <c r="B17" s="54"/>
      <c r="C17" s="54"/>
      <c r="D17" s="54"/>
      <c r="E17" s="54"/>
      <c r="F17" s="54"/>
      <c r="G17" s="295"/>
      <c r="H17" s="295"/>
      <c r="I17" s="295"/>
      <c r="J17" s="295"/>
      <c r="K17" s="295"/>
      <c r="L17" s="295"/>
      <c r="M17" s="295"/>
      <c r="N17" s="289"/>
      <c r="O17" s="144"/>
      <c r="P17" s="289"/>
      <c r="Q17" s="421">
        <f t="shared" si="3"/>
        <v>0</v>
      </c>
      <c r="R17" s="304"/>
    </row>
    <row r="18" spans="1:18"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1">
        <f>SUM(N2:N17)</f>
        <v>63.83</v>
      </c>
      <c r="O18" s="299">
        <f>SUM(O2:O17)</f>
        <v>650</v>
      </c>
      <c r="P18" s="291">
        <f>SUM(P2:P17)</f>
        <v>19.149000000000001</v>
      </c>
      <c r="Q18" s="299">
        <f>SUM(Q2:Q17)</f>
        <v>195</v>
      </c>
    </row>
    <row r="20" spans="1:18" ht="15.75" customHeight="1">
      <c r="A20" s="576" t="s">
        <v>331</v>
      </c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381"/>
      <c r="O20" s="304" t="s">
        <v>470</v>
      </c>
      <c r="P20" s="381"/>
      <c r="Q20" s="381"/>
    </row>
    <row r="21" spans="1:18">
      <c r="C21" s="425"/>
      <c r="D21" s="425"/>
      <c r="E21" s="425"/>
      <c r="L21" s="304"/>
      <c r="O21" s="148">
        <v>45337</v>
      </c>
    </row>
    <row r="22" spans="1:18">
      <c r="A22" s="609">
        <v>1998</v>
      </c>
      <c r="B22" s="490" t="s">
        <v>449</v>
      </c>
      <c r="C22" s="349">
        <v>4985</v>
      </c>
      <c r="D22" s="491">
        <f>C22/340.75</f>
        <v>14.62949376375642</v>
      </c>
      <c r="E22" s="441"/>
      <c r="F22" s="428"/>
      <c r="G22" s="428"/>
      <c r="H22" s="428"/>
      <c r="I22" s="428"/>
      <c r="J22" s="428"/>
      <c r="K22" s="428"/>
      <c r="L22" s="429"/>
      <c r="M22" s="428"/>
      <c r="N22" s="428"/>
      <c r="O22" s="148"/>
      <c r="P22" s="428"/>
      <c r="Q22" s="428"/>
    </row>
    <row r="23" spans="1:18" ht="12" thickBot="1">
      <c r="A23" s="610"/>
      <c r="B23" s="445" t="s">
        <v>450</v>
      </c>
      <c r="C23" s="446">
        <v>5685</v>
      </c>
      <c r="D23" s="433">
        <f t="shared" ref="D23:D37" si="4">C23/340.75</f>
        <v>16.683785766691123</v>
      </c>
      <c r="E23" s="431"/>
      <c r="F23" s="428"/>
      <c r="G23" s="428"/>
      <c r="H23" s="428"/>
      <c r="I23" s="428"/>
      <c r="J23" s="428"/>
      <c r="K23" s="428"/>
      <c r="L23" s="429"/>
      <c r="M23" s="428"/>
      <c r="N23" s="428"/>
      <c r="O23" s="428"/>
      <c r="P23" s="428"/>
      <c r="Q23" s="428"/>
    </row>
    <row r="24" spans="1:18">
      <c r="A24" s="611">
        <v>1999</v>
      </c>
      <c r="B24" s="492" t="s">
        <v>451</v>
      </c>
      <c r="C24" s="493">
        <v>1565</v>
      </c>
      <c r="D24" s="494">
        <f t="shared" si="4"/>
        <v>4.5928099779897282</v>
      </c>
      <c r="E24" s="495"/>
      <c r="F24" s="428"/>
      <c r="G24" s="428"/>
      <c r="H24" s="428"/>
      <c r="I24" s="428"/>
      <c r="J24" s="428"/>
      <c r="K24" s="428"/>
      <c r="L24" s="429"/>
      <c r="M24" s="428"/>
      <c r="N24" s="428"/>
      <c r="O24" s="428"/>
      <c r="P24" s="428"/>
      <c r="Q24" s="428"/>
    </row>
    <row r="25" spans="1:18">
      <c r="A25" s="612"/>
      <c r="B25" s="490" t="s">
        <v>452</v>
      </c>
      <c r="C25" s="349">
        <v>310</v>
      </c>
      <c r="D25" s="444">
        <f t="shared" si="4"/>
        <v>0.90975788701393989</v>
      </c>
      <c r="E25" s="441"/>
      <c r="F25" s="428"/>
      <c r="G25" s="428"/>
      <c r="H25" s="428"/>
      <c r="I25" s="428"/>
      <c r="J25" s="428"/>
      <c r="K25" s="428"/>
      <c r="L25" s="429"/>
      <c r="M25" s="428"/>
      <c r="N25" s="428"/>
      <c r="O25" s="428"/>
      <c r="P25" s="428"/>
      <c r="Q25" s="428"/>
    </row>
    <row r="26" spans="1:18">
      <c r="A26" s="612"/>
      <c r="B26" s="490" t="s">
        <v>453</v>
      </c>
      <c r="C26" s="349">
        <v>284</v>
      </c>
      <c r="D26" s="444">
        <f t="shared" si="4"/>
        <v>0.8334556126192223</v>
      </c>
      <c r="E26" s="441"/>
      <c r="F26" s="428"/>
      <c r="G26" s="428"/>
      <c r="H26" s="428"/>
      <c r="I26" s="428"/>
      <c r="J26" s="428"/>
      <c r="K26" s="428"/>
      <c r="L26" s="429"/>
      <c r="M26" s="428"/>
      <c r="N26" s="428"/>
      <c r="O26" s="428"/>
      <c r="P26" s="428"/>
      <c r="Q26" s="428"/>
    </row>
    <row r="27" spans="1:18">
      <c r="A27" s="612"/>
      <c r="B27" s="490" t="s">
        <v>454</v>
      </c>
      <c r="C27" s="349">
        <v>1365</v>
      </c>
      <c r="D27" s="444">
        <f t="shared" si="4"/>
        <v>4.0058694057226703</v>
      </c>
      <c r="E27" s="388">
        <f>SUM(D25:D27)</f>
        <v>5.7490829053558326</v>
      </c>
      <c r="F27" s="428"/>
      <c r="G27" s="428"/>
      <c r="H27" s="428"/>
      <c r="I27" s="428"/>
      <c r="J27" s="428"/>
      <c r="K27" s="428"/>
      <c r="L27" s="429"/>
      <c r="M27" s="428"/>
      <c r="N27" s="428"/>
      <c r="O27" s="428"/>
      <c r="P27" s="428"/>
      <c r="Q27" s="428"/>
    </row>
    <row r="28" spans="1:18">
      <c r="A28" s="612"/>
      <c r="B28" s="490" t="s">
        <v>455</v>
      </c>
      <c r="C28" s="349">
        <v>771</v>
      </c>
      <c r="D28" s="491">
        <f t="shared" si="4"/>
        <v>2.2626559060895084</v>
      </c>
      <c r="E28" s="441"/>
      <c r="F28" s="428"/>
      <c r="G28" s="428"/>
      <c r="H28" s="428"/>
      <c r="I28" s="428"/>
      <c r="J28" s="428"/>
      <c r="K28" s="428"/>
      <c r="L28" s="429"/>
      <c r="M28" s="428"/>
      <c r="N28" s="428"/>
      <c r="O28" s="428"/>
      <c r="P28" s="428"/>
      <c r="Q28" s="428"/>
    </row>
    <row r="29" spans="1:18">
      <c r="A29" s="612"/>
      <c r="B29" s="490" t="s">
        <v>456</v>
      </c>
      <c r="C29" s="349">
        <v>1700</v>
      </c>
      <c r="D29" s="444">
        <f t="shared" si="4"/>
        <v>4.9889948642699924</v>
      </c>
      <c r="E29" s="441"/>
      <c r="F29" s="428"/>
      <c r="G29" s="428"/>
      <c r="H29" s="428"/>
      <c r="I29" s="428"/>
      <c r="J29" s="428"/>
      <c r="K29" s="428"/>
      <c r="L29" s="429"/>
      <c r="M29" s="428"/>
      <c r="N29" s="428"/>
      <c r="O29" s="428"/>
      <c r="P29" s="428"/>
      <c r="Q29" s="428"/>
    </row>
    <row r="30" spans="1:18">
      <c r="A30" s="612"/>
      <c r="B30" s="490" t="s">
        <v>457</v>
      </c>
      <c r="C30" s="349">
        <v>777</v>
      </c>
      <c r="D30" s="444">
        <f t="shared" si="4"/>
        <v>2.28026412325752</v>
      </c>
      <c r="E30" s="388">
        <f>SUM(D29:D30)</f>
        <v>7.2692589875275129</v>
      </c>
      <c r="F30" s="428"/>
      <c r="G30" s="428"/>
      <c r="H30" s="428"/>
      <c r="I30" s="428"/>
      <c r="J30" s="428"/>
      <c r="K30" s="428"/>
      <c r="L30" s="429"/>
      <c r="M30" s="428"/>
      <c r="N30" s="428"/>
      <c r="O30" s="428"/>
      <c r="P30" s="428"/>
      <c r="Q30" s="428"/>
    </row>
    <row r="31" spans="1:18">
      <c r="A31" s="612"/>
      <c r="B31" s="490" t="s">
        <v>458</v>
      </c>
      <c r="C31" s="349">
        <v>540</v>
      </c>
      <c r="D31" s="444">
        <f t="shared" si="4"/>
        <v>1.5847395451210564</v>
      </c>
      <c r="E31" s="441"/>
      <c r="F31" s="428"/>
      <c r="G31" s="428"/>
      <c r="H31" s="428"/>
      <c r="I31" s="428"/>
      <c r="J31" s="428"/>
      <c r="K31" s="428"/>
      <c r="L31" s="429"/>
      <c r="M31" s="428"/>
      <c r="N31" s="428"/>
      <c r="O31" s="428"/>
      <c r="P31" s="428"/>
      <c r="Q31" s="428"/>
    </row>
    <row r="32" spans="1:18" ht="12" thickBot="1">
      <c r="A32" s="613"/>
      <c r="B32" s="445" t="s">
        <v>459</v>
      </c>
      <c r="C32" s="446">
        <v>1080</v>
      </c>
      <c r="D32" s="440">
        <f t="shared" si="4"/>
        <v>3.1694790902421128</v>
      </c>
      <c r="E32" s="328">
        <f>SUM(D31:D32)</f>
        <v>4.754218635363169</v>
      </c>
      <c r="F32" s="428"/>
      <c r="G32" s="428"/>
      <c r="H32" s="428"/>
      <c r="I32" s="428"/>
      <c r="J32" s="428"/>
      <c r="K32" s="428"/>
      <c r="L32" s="429"/>
      <c r="M32" s="428"/>
      <c r="N32" s="428"/>
      <c r="O32" s="428"/>
      <c r="P32" s="428"/>
      <c r="Q32" s="428"/>
    </row>
    <row r="33" spans="1:17">
      <c r="A33" s="609">
        <v>2000</v>
      </c>
      <c r="B33" s="441" t="s">
        <v>460</v>
      </c>
      <c r="C33" s="443">
        <v>540</v>
      </c>
      <c r="D33" s="491">
        <f t="shared" si="4"/>
        <v>1.5847395451210564</v>
      </c>
      <c r="E33" s="428"/>
      <c r="F33" s="428"/>
      <c r="G33" s="428"/>
      <c r="H33" s="428"/>
      <c r="I33" s="428"/>
      <c r="J33" s="428"/>
      <c r="K33" s="428"/>
      <c r="L33" s="429"/>
      <c r="M33" s="428"/>
      <c r="N33" s="428"/>
      <c r="O33" s="428"/>
      <c r="P33" s="428"/>
      <c r="Q33" s="428"/>
    </row>
    <row r="34" spans="1:17">
      <c r="A34" s="609"/>
      <c r="B34" s="441" t="s">
        <v>461</v>
      </c>
      <c r="C34" s="443">
        <v>540</v>
      </c>
      <c r="D34" s="491">
        <f t="shared" si="4"/>
        <v>1.5847395451210564</v>
      </c>
      <c r="E34" s="428"/>
      <c r="F34" s="428"/>
      <c r="G34" s="428"/>
      <c r="H34" s="428"/>
      <c r="I34" s="428"/>
      <c r="J34" s="428"/>
      <c r="K34" s="428"/>
      <c r="L34" s="429"/>
      <c r="M34" s="428"/>
      <c r="N34" s="428"/>
      <c r="O34" s="428"/>
      <c r="P34" s="428"/>
      <c r="Q34" s="428"/>
    </row>
    <row r="35" spans="1:17">
      <c r="A35" s="609"/>
      <c r="B35" s="428" t="s">
        <v>469</v>
      </c>
      <c r="C35" s="438">
        <v>324</v>
      </c>
      <c r="D35" s="306">
        <f t="shared" si="4"/>
        <v>0.95084372707263387</v>
      </c>
      <c r="E35" s="428"/>
      <c r="F35" s="428"/>
      <c r="G35" s="428"/>
      <c r="H35" s="428"/>
      <c r="I35" s="428"/>
      <c r="J35" s="428"/>
      <c r="K35" s="428"/>
      <c r="L35" s="429"/>
      <c r="M35" s="428"/>
      <c r="N35" s="428"/>
      <c r="O35" s="428"/>
      <c r="P35" s="428"/>
      <c r="Q35" s="428"/>
    </row>
    <row r="36" spans="1:17" ht="12" thickBot="1">
      <c r="A36" s="610"/>
      <c r="B36" s="431" t="s">
        <v>462</v>
      </c>
      <c r="C36" s="432">
        <v>1293</v>
      </c>
      <c r="D36" s="433">
        <f t="shared" si="4"/>
        <v>3.7945707997065297</v>
      </c>
      <c r="E36" s="328"/>
      <c r="F36" s="428"/>
      <c r="G36" s="428"/>
      <c r="H36" s="428"/>
      <c r="I36" s="428"/>
      <c r="J36" s="428"/>
      <c r="K36" s="428"/>
      <c r="L36" s="429"/>
      <c r="M36" s="428"/>
      <c r="N36" s="428"/>
      <c r="O36" s="428"/>
      <c r="P36" s="428"/>
      <c r="Q36" s="428"/>
    </row>
    <row r="37" spans="1:17">
      <c r="A37" s="428"/>
      <c r="B37" s="428"/>
      <c r="C37" s="438"/>
      <c r="D37" s="199">
        <f t="shared" si="4"/>
        <v>0</v>
      </c>
      <c r="E37" s="428"/>
      <c r="F37" s="428"/>
      <c r="G37" s="428"/>
      <c r="H37" s="428"/>
      <c r="I37" s="428"/>
      <c r="J37" s="428"/>
      <c r="K37" s="428"/>
      <c r="L37" s="429"/>
      <c r="M37" s="428"/>
      <c r="N37" s="428"/>
      <c r="O37" s="428"/>
      <c r="P37" s="428"/>
      <c r="Q37" s="428"/>
    </row>
  </sheetData>
  <mergeCells count="4">
    <mergeCell ref="A22:A23"/>
    <mergeCell ref="A24:A32"/>
    <mergeCell ref="A33:A36"/>
    <mergeCell ref="A20:M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pane ySplit="1" topLeftCell="A2" activePane="bottomLeft" state="frozen"/>
      <selection pane="bottomLeft" activeCell="P19" sqref="P19"/>
    </sheetView>
  </sheetViews>
  <sheetFormatPr defaultRowHeight="15"/>
  <cols>
    <col min="1" max="1" width="5" style="22" bestFit="1" customWidth="1"/>
    <col min="2" max="2" width="7.109375" style="22" bestFit="1" customWidth="1"/>
    <col min="3" max="5" width="8" style="22" bestFit="1" customWidth="1"/>
    <col min="6" max="9" width="7.109375" style="22" bestFit="1" customWidth="1"/>
    <col min="10" max="12" width="8" style="22" bestFit="1" customWidth="1"/>
    <col min="13" max="13" width="7.109375" style="22" bestFit="1" customWidth="1"/>
    <col min="14" max="14" width="11.44140625" style="22" customWidth="1"/>
    <col min="15" max="15" width="8.6640625" style="22" bestFit="1" customWidth="1"/>
    <col min="16" max="16" width="11.44140625" style="22" customWidth="1"/>
    <col min="17" max="17" width="8.6640625" style="22" bestFit="1" customWidth="1"/>
    <col min="18" max="16384" width="8.88671875" style="22"/>
  </cols>
  <sheetData>
    <row r="1" spans="1:17">
      <c r="A1" s="233"/>
      <c r="B1" s="87" t="s">
        <v>18</v>
      </c>
      <c r="C1" s="88" t="s">
        <v>19</v>
      </c>
      <c r="D1" s="87" t="s">
        <v>20</v>
      </c>
      <c r="E1" s="89" t="s">
        <v>21</v>
      </c>
      <c r="F1" s="87" t="s">
        <v>2</v>
      </c>
      <c r="G1" s="88" t="s">
        <v>22</v>
      </c>
      <c r="H1" s="87" t="s">
        <v>23</v>
      </c>
      <c r="I1" s="89" t="s">
        <v>24</v>
      </c>
      <c r="J1" s="87" t="s">
        <v>25</v>
      </c>
      <c r="K1" s="88" t="s">
        <v>26</v>
      </c>
      <c r="L1" s="87" t="s">
        <v>27</v>
      </c>
      <c r="M1" s="89" t="s">
        <v>28</v>
      </c>
      <c r="N1" s="90" t="s">
        <v>16</v>
      </c>
      <c r="O1" s="234" t="s">
        <v>74</v>
      </c>
      <c r="P1" s="234" t="s">
        <v>329</v>
      </c>
      <c r="Q1" s="234" t="s">
        <v>74</v>
      </c>
    </row>
    <row r="2" spans="1:17">
      <c r="A2" s="25">
        <v>1998</v>
      </c>
      <c r="B2" s="26"/>
      <c r="C2" s="26"/>
      <c r="D2" s="26"/>
      <c r="E2" s="26"/>
      <c r="F2" s="26"/>
      <c r="G2" s="26"/>
      <c r="H2" s="26"/>
      <c r="I2" s="27">
        <f>'281υ1'!I2*6/9</f>
        <v>0</v>
      </c>
      <c r="J2" s="27">
        <f>'281υ1'!J2*6/9</f>
        <v>9.7533333333333339</v>
      </c>
      <c r="K2" s="27">
        <f>'281υ1'!K2*6/9</f>
        <v>0</v>
      </c>
      <c r="L2" s="27">
        <f>'281υ1'!L2*6/9</f>
        <v>11.12</v>
      </c>
      <c r="M2" s="27">
        <f>'281υ1'!M2*6/9</f>
        <v>0</v>
      </c>
      <c r="N2" s="27">
        <f>'281υ1'!N2*6/9</f>
        <v>20.873333333333335</v>
      </c>
      <c r="O2" s="36">
        <f>'281υ1'!O2*6/9</f>
        <v>236.66666666666666</v>
      </c>
      <c r="P2" s="27">
        <f>'281υ1'!P2*6/9</f>
        <v>6.2620000000000005</v>
      </c>
      <c r="Q2" s="36">
        <f>'281υ1'!Q2*6/9</f>
        <v>71</v>
      </c>
    </row>
    <row r="3" spans="1:17">
      <c r="A3" s="28">
        <v>1999</v>
      </c>
      <c r="B3" s="27">
        <f>'281υ1'!B3*6/9</f>
        <v>0</v>
      </c>
      <c r="C3" s="27">
        <f>'281υ1'!C3*6/9</f>
        <v>0</v>
      </c>
      <c r="D3" s="27">
        <f>'281υ1'!D3*6/9</f>
        <v>0</v>
      </c>
      <c r="E3" s="27">
        <f>'281υ1'!E3*6/9</f>
        <v>0</v>
      </c>
      <c r="F3" s="27">
        <f>'281υ1'!F3*6/9</f>
        <v>3.06</v>
      </c>
      <c r="G3" s="27">
        <f>'281υ1'!G3*6/9</f>
        <v>3.8333333333333335</v>
      </c>
      <c r="H3" s="27">
        <f>'281υ1'!H3*6/9</f>
        <v>1.5066666666666666</v>
      </c>
      <c r="I3" s="27">
        <f>'281υ1'!I3*6/9</f>
        <v>4.8466666666666667</v>
      </c>
      <c r="J3" s="27">
        <f>'281υ1'!J3*6/9</f>
        <v>0</v>
      </c>
      <c r="K3" s="27">
        <f>'281υ1'!K3*6/9</f>
        <v>0</v>
      </c>
      <c r="L3" s="27">
        <f>'281υ1'!L3*6/9</f>
        <v>0</v>
      </c>
      <c r="M3" s="27">
        <f>'281υ1'!M3*6/9</f>
        <v>3.1666666666666665</v>
      </c>
      <c r="N3" s="27">
        <f>'281υ1'!N3*6/9</f>
        <v>16.41333333333333</v>
      </c>
      <c r="O3" s="36">
        <f>'281υ1'!O3*6/9</f>
        <v>156.66666666666666</v>
      </c>
      <c r="P3" s="27">
        <f>'281υ1'!P3*6/9</f>
        <v>4.9239999999999995</v>
      </c>
      <c r="Q3" s="36">
        <f>'281υ1'!Q3*6/9</f>
        <v>47</v>
      </c>
    </row>
    <row r="4" spans="1:17">
      <c r="A4" s="28">
        <v>2000</v>
      </c>
      <c r="B4" s="27">
        <f>'281υ1'!B4*6/9</f>
        <v>0</v>
      </c>
      <c r="C4" s="27">
        <f>'281υ1'!C4*6/9</f>
        <v>0</v>
      </c>
      <c r="D4" s="27">
        <f>'281υ1'!D4*6/9</f>
        <v>1.0533333333333335</v>
      </c>
      <c r="E4" s="27">
        <f>'281υ1'!E4*6/9</f>
        <v>0</v>
      </c>
      <c r="F4" s="27">
        <f>'281υ1'!F4*6/9</f>
        <v>0</v>
      </c>
      <c r="G4" s="27">
        <f>'281υ1'!G4*6/9</f>
        <v>0</v>
      </c>
      <c r="H4" s="27">
        <f>'281υ1'!H4*6/9</f>
        <v>0</v>
      </c>
      <c r="I4" s="27">
        <f>'281υ1'!I4*6/9</f>
        <v>1.0533333333333335</v>
      </c>
      <c r="J4" s="27">
        <f>'281υ1'!J4*6/9</f>
        <v>0</v>
      </c>
      <c r="K4" s="27">
        <f>'281υ1'!K4*6/9</f>
        <v>0</v>
      </c>
      <c r="L4" s="27">
        <f>'281υ1'!L4*6/9</f>
        <v>0.6333333333333333</v>
      </c>
      <c r="M4" s="27">
        <f>'281υ1'!M4*6/9</f>
        <v>2.5266666666666668</v>
      </c>
      <c r="N4" s="27">
        <f>'281υ1'!N4*6/9</f>
        <v>5.2666666666666675</v>
      </c>
      <c r="O4" s="36">
        <f>'281υ1'!O4*6/9</f>
        <v>40</v>
      </c>
      <c r="P4" s="27">
        <f>'281υ1'!P4*6/9</f>
        <v>1.58</v>
      </c>
      <c r="Q4" s="36">
        <f>'281υ1'!Q4*6/9</f>
        <v>12</v>
      </c>
    </row>
    <row r="5" spans="1:17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67">
        <f>SUM(N2:N4)</f>
        <v>42.553333333333327</v>
      </c>
      <c r="O5" s="106">
        <f>SUM(O2:O4)</f>
        <v>433.33333333333331</v>
      </c>
      <c r="P5" s="67">
        <f>SUM(P2:P4)</f>
        <v>12.766</v>
      </c>
      <c r="Q5" s="106">
        <f>SUM(Q2:Q4)</f>
        <v>130</v>
      </c>
    </row>
    <row r="6" spans="1:17">
      <c r="O6" s="304" t="s">
        <v>470</v>
      </c>
    </row>
    <row r="7" spans="1:17">
      <c r="O7" s="148">
        <v>45337</v>
      </c>
    </row>
    <row r="9" spans="1:17" ht="15.75" customHeight="1">
      <c r="A9" s="577" t="s">
        <v>330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</row>
    <row r="10" spans="1:17" ht="15.75">
      <c r="C10" s="91"/>
      <c r="D10" s="91"/>
      <c r="E10" s="91"/>
      <c r="L10" s="30"/>
    </row>
  </sheetData>
  <mergeCells count="1">
    <mergeCell ref="A9:Q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160"/>
  <sheetViews>
    <sheetView workbookViewId="0">
      <pane ySplit="1" topLeftCell="A2" activePane="bottomLeft" state="frozen"/>
      <selection pane="bottomLeft" activeCell="F12" sqref="F12"/>
    </sheetView>
  </sheetViews>
  <sheetFormatPr defaultRowHeight="15"/>
  <cols>
    <col min="1" max="1" width="5" style="22" bestFit="1" customWidth="1"/>
    <col min="2" max="7" width="8" style="22" bestFit="1" customWidth="1"/>
    <col min="8" max="9" width="7.109375" style="22" bestFit="1" customWidth="1"/>
    <col min="10" max="12" width="8" style="22" bestFit="1" customWidth="1"/>
    <col min="13" max="13" width="7.109375" style="22" bestFit="1" customWidth="1"/>
    <col min="14" max="14" width="11.44140625" style="22" customWidth="1"/>
    <col min="15" max="15" width="8.6640625" style="22" bestFit="1" customWidth="1"/>
    <col min="16" max="16" width="16.21875" style="22" customWidth="1"/>
    <col min="17" max="17" width="8.6640625" style="22" bestFit="1" customWidth="1"/>
    <col min="18" max="19" width="11.44140625" style="22" bestFit="1" customWidth="1"/>
    <col min="20" max="20" width="8.44140625" style="22" bestFit="1" customWidth="1"/>
    <col min="21" max="21" width="9.6640625" style="22" customWidth="1"/>
    <col min="22" max="22" width="10.44140625" style="22" customWidth="1"/>
    <col min="23" max="25" width="9" style="22" bestFit="1" customWidth="1"/>
    <col min="26" max="26" width="12.44140625" style="22" customWidth="1"/>
    <col min="27" max="27" width="11.77734375" style="22" customWidth="1"/>
    <col min="28" max="29" width="9" style="22" bestFit="1" customWidth="1"/>
    <col min="30" max="30" width="10" style="22" bestFit="1" customWidth="1"/>
    <col min="31" max="31" width="10.5546875" style="22" customWidth="1"/>
    <col min="32" max="32" width="10.44140625" style="22" bestFit="1" customWidth="1"/>
    <col min="33" max="33" width="9.33203125" style="22" bestFit="1" customWidth="1"/>
    <col min="34" max="36" width="9" style="22" bestFit="1" customWidth="1"/>
    <col min="37" max="37" width="10.44140625" style="22" bestFit="1" customWidth="1"/>
    <col min="38" max="38" width="8" style="22" bestFit="1" customWidth="1"/>
    <col min="39" max="39" width="9" style="22" bestFit="1" customWidth="1"/>
    <col min="40" max="40" width="8" style="22" bestFit="1" customWidth="1"/>
    <col min="41" max="42" width="11.44140625" style="22" bestFit="1" customWidth="1"/>
    <col min="43" max="43" width="10.44140625" style="22" bestFit="1" customWidth="1"/>
    <col min="44" max="50" width="8.88671875" style="22"/>
    <col min="51" max="51" width="11.44140625" style="22" bestFit="1" customWidth="1"/>
    <col min="52" max="16384" width="8.88671875" style="22"/>
  </cols>
  <sheetData>
    <row r="1" spans="1:60">
      <c r="A1" s="228"/>
      <c r="B1" s="87" t="s">
        <v>18</v>
      </c>
      <c r="C1" s="88" t="s">
        <v>19</v>
      </c>
      <c r="D1" s="87" t="s">
        <v>20</v>
      </c>
      <c r="E1" s="89" t="s">
        <v>21</v>
      </c>
      <c r="F1" s="87" t="s">
        <v>2</v>
      </c>
      <c r="G1" s="88" t="s">
        <v>22</v>
      </c>
      <c r="H1" s="87" t="s">
        <v>23</v>
      </c>
      <c r="I1" s="89" t="s">
        <v>24</v>
      </c>
      <c r="J1" s="87" t="s">
        <v>25</v>
      </c>
      <c r="K1" s="88" t="s">
        <v>26</v>
      </c>
      <c r="L1" s="87" t="s">
        <v>27</v>
      </c>
      <c r="M1" s="89" t="s">
        <v>28</v>
      </c>
      <c r="N1" s="90" t="s">
        <v>16</v>
      </c>
      <c r="O1" s="234" t="s">
        <v>74</v>
      </c>
      <c r="P1" s="235" t="s">
        <v>263</v>
      </c>
      <c r="Q1" s="234" t="s">
        <v>74</v>
      </c>
      <c r="U1" s="614">
        <v>1998</v>
      </c>
      <c r="V1" s="614"/>
      <c r="W1" s="615">
        <v>1997</v>
      </c>
      <c r="X1" s="615"/>
      <c r="Y1" s="614">
        <v>1996</v>
      </c>
      <c r="Z1" s="614"/>
      <c r="AA1" s="615">
        <v>1995</v>
      </c>
      <c r="AB1" s="615"/>
      <c r="AC1" s="614">
        <v>1994</v>
      </c>
      <c r="AD1" s="614"/>
      <c r="AE1" s="615">
        <v>1993</v>
      </c>
      <c r="AF1" s="615"/>
      <c r="AG1" s="614">
        <v>1992</v>
      </c>
      <c r="AH1" s="614"/>
      <c r="AI1" s="615">
        <v>1991</v>
      </c>
      <c r="AJ1" s="615"/>
      <c r="AK1" s="614">
        <v>1990</v>
      </c>
      <c r="AL1" s="614"/>
      <c r="AM1" s="615">
        <v>1989</v>
      </c>
      <c r="AN1" s="615"/>
      <c r="AO1" s="614">
        <v>1988</v>
      </c>
      <c r="AP1" s="614"/>
      <c r="AQ1" s="615">
        <v>1987</v>
      </c>
      <c r="AR1" s="615"/>
      <c r="AS1" s="614">
        <v>1986</v>
      </c>
      <c r="AT1" s="614"/>
      <c r="AU1" s="615">
        <v>1985</v>
      </c>
      <c r="AV1" s="615"/>
      <c r="AW1" s="614">
        <v>1984</v>
      </c>
      <c r="AX1" s="614"/>
      <c r="AY1" s="615">
        <v>1983</v>
      </c>
      <c r="AZ1" s="615"/>
      <c r="BA1" s="614">
        <v>1982</v>
      </c>
      <c r="BB1" s="614"/>
      <c r="BC1" s="615">
        <v>1981</v>
      </c>
      <c r="BD1" s="615"/>
      <c r="BE1" s="614">
        <v>1980</v>
      </c>
      <c r="BF1" s="614"/>
      <c r="BG1" s="615">
        <v>1979</v>
      </c>
      <c r="BH1" s="615"/>
    </row>
    <row r="2" spans="1:60">
      <c r="A2" s="25">
        <v>1998</v>
      </c>
      <c r="B2" s="81"/>
      <c r="C2" s="81"/>
      <c r="D2" s="81"/>
      <c r="E2" s="81"/>
      <c r="F2" s="81"/>
      <c r="G2" s="81"/>
      <c r="H2" s="81"/>
      <c r="I2" s="27"/>
      <c r="J2" s="27"/>
      <c r="K2" s="27">
        <v>17.559999999999999</v>
      </c>
      <c r="L2" s="27"/>
      <c r="M2" s="27"/>
      <c r="N2" s="27">
        <f>SUM(I2:M2)</f>
        <v>17.559999999999999</v>
      </c>
      <c r="O2" s="36">
        <v>199</v>
      </c>
      <c r="P2" s="27">
        <f>N2*30%</f>
        <v>5.2679999999999998</v>
      </c>
      <c r="Q2" s="36">
        <f>O2*30%</f>
        <v>59.699999999999996</v>
      </c>
      <c r="U2" s="236">
        <v>14084</v>
      </c>
      <c r="V2" s="236">
        <v>10152</v>
      </c>
      <c r="W2" s="236">
        <v>13287</v>
      </c>
      <c r="X2" s="236">
        <v>12879</v>
      </c>
      <c r="Y2" s="66">
        <v>12631</v>
      </c>
      <c r="Z2" s="237">
        <v>11386</v>
      </c>
      <c r="AA2" s="66"/>
      <c r="AB2" s="66">
        <v>12139</v>
      </c>
      <c r="AC2" s="66"/>
      <c r="AD2" s="66">
        <v>11455</v>
      </c>
      <c r="AE2" s="66"/>
      <c r="AF2" s="66">
        <v>10809</v>
      </c>
      <c r="AG2" s="66">
        <v>10435</v>
      </c>
      <c r="AH2" s="66">
        <v>5280</v>
      </c>
      <c r="AI2" s="66"/>
      <c r="AJ2" s="66">
        <v>9858</v>
      </c>
      <c r="AK2" s="66"/>
      <c r="AL2" s="66">
        <v>9367</v>
      </c>
      <c r="AM2" s="236">
        <v>8788</v>
      </c>
      <c r="AN2" s="236">
        <v>7753</v>
      </c>
      <c r="AO2" s="236">
        <v>8248</v>
      </c>
      <c r="AP2" s="236">
        <v>8132</v>
      </c>
      <c r="AQ2" s="236">
        <v>8029</v>
      </c>
      <c r="AR2" s="236">
        <v>7641</v>
      </c>
      <c r="AS2" s="236">
        <v>7414</v>
      </c>
      <c r="AT2" s="236">
        <v>7171</v>
      </c>
      <c r="AU2" s="66"/>
      <c r="AV2" s="66">
        <v>7037</v>
      </c>
      <c r="AW2" s="236">
        <v>6572</v>
      </c>
      <c r="AX2" s="236">
        <v>6513</v>
      </c>
      <c r="AY2" s="236">
        <v>6105</v>
      </c>
      <c r="AZ2" s="236">
        <v>5546</v>
      </c>
      <c r="BA2" s="236">
        <v>5591</v>
      </c>
      <c r="BB2" s="236">
        <v>5466</v>
      </c>
      <c r="BC2" s="236">
        <v>5200</v>
      </c>
      <c r="BD2" s="236">
        <v>4916</v>
      </c>
      <c r="BE2" s="66">
        <v>4663</v>
      </c>
      <c r="BF2" s="66">
        <v>4376</v>
      </c>
    </row>
    <row r="3" spans="1:60">
      <c r="A3" s="28">
        <v>1999</v>
      </c>
      <c r="B3" s="67"/>
      <c r="C3" s="67"/>
      <c r="D3" s="67"/>
      <c r="E3" s="67"/>
      <c r="F3" s="67"/>
      <c r="G3" s="67">
        <v>3.62</v>
      </c>
      <c r="H3" s="67"/>
      <c r="I3" s="67">
        <v>5.52</v>
      </c>
      <c r="J3" s="67"/>
      <c r="K3" s="67"/>
      <c r="L3" s="67"/>
      <c r="M3" s="67"/>
      <c r="N3" s="27">
        <f>SUM(B3:M3)</f>
        <v>9.14</v>
      </c>
      <c r="O3" s="36">
        <v>70</v>
      </c>
      <c r="P3" s="27">
        <f t="shared" ref="P3:Q12" si="0">N3*30%</f>
        <v>2.742</v>
      </c>
      <c r="Q3" s="36">
        <f t="shared" si="0"/>
        <v>21</v>
      </c>
      <c r="U3" s="66"/>
      <c r="V3" s="66">
        <v>14262</v>
      </c>
      <c r="W3" s="66"/>
      <c r="X3" s="66">
        <v>13325</v>
      </c>
      <c r="Y3" s="66"/>
      <c r="Z3" s="66">
        <v>12639</v>
      </c>
      <c r="AA3" s="236">
        <v>12208</v>
      </c>
      <c r="AB3" s="236">
        <v>12104</v>
      </c>
      <c r="AC3" s="66"/>
      <c r="AD3" s="66">
        <v>11547</v>
      </c>
      <c r="AE3" s="236">
        <v>10830</v>
      </c>
      <c r="AF3" s="236">
        <v>10624</v>
      </c>
      <c r="AG3" s="66"/>
      <c r="AH3" s="66">
        <v>10447</v>
      </c>
      <c r="AI3" s="66"/>
      <c r="AJ3" s="66">
        <v>9900</v>
      </c>
      <c r="AK3" s="236">
        <v>9369</v>
      </c>
      <c r="AL3" s="236">
        <v>7539</v>
      </c>
      <c r="AM3" s="236">
        <v>8797</v>
      </c>
      <c r="AN3" s="236">
        <v>8598</v>
      </c>
      <c r="AO3" s="236">
        <v>8258</v>
      </c>
      <c r="AP3" s="236">
        <v>8135</v>
      </c>
      <c r="AQ3" s="66">
        <v>8058</v>
      </c>
      <c r="AR3" s="66">
        <v>3508</v>
      </c>
      <c r="AS3" s="66">
        <v>7419</v>
      </c>
      <c r="AT3" s="66">
        <v>5276</v>
      </c>
      <c r="AU3" s="66"/>
      <c r="AV3" s="66">
        <v>7169</v>
      </c>
      <c r="AW3" s="66"/>
      <c r="AX3" s="66">
        <v>6574</v>
      </c>
      <c r="AY3" s="66">
        <v>6128</v>
      </c>
      <c r="AZ3" s="66">
        <v>3927</v>
      </c>
      <c r="BA3" s="66">
        <v>5609</v>
      </c>
      <c r="BB3" s="66">
        <v>4477</v>
      </c>
      <c r="BC3" s="66">
        <v>5268</v>
      </c>
      <c r="BD3" s="66">
        <v>4135</v>
      </c>
      <c r="BE3" s="66">
        <v>4723</v>
      </c>
      <c r="BF3" s="66">
        <v>1841</v>
      </c>
    </row>
    <row r="4" spans="1:60">
      <c r="A4" s="28">
        <v>2000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27">
        <f t="shared" ref="N4:N8" si="1">SUM(B4:M4)</f>
        <v>0</v>
      </c>
      <c r="O4" s="36">
        <v>103</v>
      </c>
      <c r="P4" s="27">
        <f t="shared" si="0"/>
        <v>0</v>
      </c>
      <c r="Q4" s="36">
        <f t="shared" si="0"/>
        <v>30.9</v>
      </c>
      <c r="U4" s="236">
        <v>14266</v>
      </c>
      <c r="V4" s="236">
        <v>14127</v>
      </c>
      <c r="W4" s="66"/>
      <c r="X4" s="66">
        <v>13402</v>
      </c>
      <c r="Y4" s="66"/>
      <c r="Z4" s="66">
        <v>12725</v>
      </c>
      <c r="AA4" s="236">
        <v>12231</v>
      </c>
      <c r="AB4" s="236">
        <v>12100</v>
      </c>
      <c r="AC4" s="66"/>
      <c r="AD4" s="66">
        <v>11608</v>
      </c>
      <c r="AE4" s="236">
        <v>10938</v>
      </c>
      <c r="AF4" s="236">
        <v>10874</v>
      </c>
      <c r="AG4" s="66"/>
      <c r="AH4" s="66">
        <v>10459</v>
      </c>
      <c r="AI4" s="66"/>
      <c r="AJ4" s="66">
        <v>9902</v>
      </c>
      <c r="AK4" s="66">
        <v>9387</v>
      </c>
      <c r="AL4" s="66">
        <v>2225</v>
      </c>
      <c r="AM4" s="236">
        <v>8863</v>
      </c>
      <c r="AN4" s="236">
        <v>8567</v>
      </c>
      <c r="AO4" s="66"/>
      <c r="AP4" s="66">
        <v>8260</v>
      </c>
      <c r="AQ4" s="236">
        <v>8068</v>
      </c>
      <c r="AR4" s="236">
        <v>8025</v>
      </c>
      <c r="AS4" s="66">
        <v>7631</v>
      </c>
      <c r="AT4" s="66">
        <v>1948</v>
      </c>
      <c r="AU4" s="236">
        <v>7191</v>
      </c>
      <c r="AV4" s="236">
        <v>6394</v>
      </c>
      <c r="AW4" s="66">
        <v>6661</v>
      </c>
      <c r="AX4" s="66">
        <v>2829</v>
      </c>
      <c r="AY4" s="66">
        <v>6186</v>
      </c>
      <c r="AZ4" s="66">
        <v>2345</v>
      </c>
      <c r="BA4" s="107">
        <v>5639</v>
      </c>
      <c r="BB4" s="236">
        <v>5477</v>
      </c>
      <c r="BC4" s="236">
        <v>5328</v>
      </c>
      <c r="BD4" s="236">
        <v>5249</v>
      </c>
      <c r="BE4" s="66">
        <v>4733</v>
      </c>
      <c r="BF4" s="66">
        <v>2926</v>
      </c>
    </row>
    <row r="5" spans="1:60">
      <c r="A5" s="28">
        <v>2001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>
        <v>6.47</v>
      </c>
      <c r="N5" s="27">
        <f t="shared" si="1"/>
        <v>6.47</v>
      </c>
      <c r="O5" s="36">
        <v>85</v>
      </c>
      <c r="P5" s="27">
        <f t="shared" si="0"/>
        <v>1.9409999999999998</v>
      </c>
      <c r="Q5" s="36">
        <f t="shared" si="0"/>
        <v>25.5</v>
      </c>
      <c r="U5" s="66"/>
      <c r="V5" s="66"/>
      <c r="W5" s="66"/>
      <c r="X5" s="66">
        <v>13403</v>
      </c>
      <c r="Y5" s="236">
        <v>12728</v>
      </c>
      <c r="Z5" s="236">
        <v>12282</v>
      </c>
      <c r="AA5" s="66"/>
      <c r="AB5" s="66">
        <v>12275</v>
      </c>
      <c r="AC5" s="236">
        <v>11629</v>
      </c>
      <c r="AD5" s="236">
        <v>11602</v>
      </c>
      <c r="AE5" s="66"/>
      <c r="AF5" s="66">
        <v>10966</v>
      </c>
      <c r="AG5" s="66">
        <v>10483</v>
      </c>
      <c r="AH5" s="66">
        <v>10353</v>
      </c>
      <c r="AI5" s="66"/>
      <c r="AJ5" s="66">
        <v>9920</v>
      </c>
      <c r="AK5" s="66"/>
      <c r="AL5" s="66">
        <v>9455</v>
      </c>
      <c r="AM5" s="236">
        <v>8964</v>
      </c>
      <c r="AN5" s="236">
        <v>8926</v>
      </c>
      <c r="AO5" s="66"/>
      <c r="AP5" s="66">
        <v>8263</v>
      </c>
      <c r="AQ5" s="66"/>
      <c r="AR5" s="66">
        <v>8074</v>
      </c>
      <c r="AS5" s="66"/>
      <c r="AT5" s="66">
        <v>7643</v>
      </c>
      <c r="AU5" s="236">
        <v>7192</v>
      </c>
      <c r="AV5" s="236">
        <v>6393</v>
      </c>
      <c r="AW5" s="66">
        <v>6855</v>
      </c>
      <c r="AX5" s="66">
        <v>6813</v>
      </c>
      <c r="AY5" s="236">
        <v>6195</v>
      </c>
      <c r="AZ5" s="236">
        <v>6057</v>
      </c>
      <c r="BA5" s="236">
        <v>5731</v>
      </c>
      <c r="BB5" s="236">
        <v>4919</v>
      </c>
      <c r="BC5" s="66">
        <v>5353</v>
      </c>
      <c r="BD5" s="66">
        <v>3938</v>
      </c>
      <c r="BE5" s="236">
        <v>4737</v>
      </c>
      <c r="BF5" s="236">
        <v>4670</v>
      </c>
    </row>
    <row r="6" spans="1:60">
      <c r="A6" s="28">
        <v>2002</v>
      </c>
      <c r="B6" s="67"/>
      <c r="C6" s="67"/>
      <c r="D6" s="67"/>
      <c r="E6" s="67"/>
      <c r="F6" s="67"/>
      <c r="G6" s="67"/>
      <c r="H6" s="67"/>
      <c r="I6" s="67"/>
      <c r="J6" s="67">
        <v>2.08</v>
      </c>
      <c r="K6" s="67"/>
      <c r="L6" s="67"/>
      <c r="M6" s="67"/>
      <c r="N6" s="27">
        <f t="shared" si="1"/>
        <v>2.08</v>
      </c>
      <c r="O6" s="36">
        <v>25</v>
      </c>
      <c r="P6" s="27">
        <f t="shared" si="0"/>
        <v>0.624</v>
      </c>
      <c r="Q6" s="36">
        <f t="shared" si="0"/>
        <v>7.5</v>
      </c>
      <c r="S6" s="84" t="s">
        <v>260</v>
      </c>
      <c r="T6" s="84" t="s">
        <v>265</v>
      </c>
      <c r="U6" s="66"/>
      <c r="V6" s="66"/>
      <c r="W6" s="236">
        <v>13611</v>
      </c>
      <c r="X6" s="236">
        <v>13503</v>
      </c>
      <c r="Y6" s="236">
        <v>12729</v>
      </c>
      <c r="Z6" s="236">
        <v>10660</v>
      </c>
      <c r="AA6" s="236">
        <v>12340</v>
      </c>
      <c r="AB6" s="236">
        <v>12157</v>
      </c>
      <c r="AC6" s="66"/>
      <c r="AD6" s="66">
        <v>11669</v>
      </c>
      <c r="AE6" s="66"/>
      <c r="AF6" s="66">
        <v>10996</v>
      </c>
      <c r="AG6" s="66"/>
      <c r="AH6" s="66">
        <v>10512</v>
      </c>
      <c r="AI6" s="66">
        <v>9968</v>
      </c>
      <c r="AJ6" s="66">
        <v>8027</v>
      </c>
      <c r="AK6" s="236">
        <v>9528</v>
      </c>
      <c r="AL6" s="236">
        <v>9511</v>
      </c>
      <c r="AM6" s="66"/>
      <c r="AN6" s="66">
        <v>9090</v>
      </c>
      <c r="AO6" s="66"/>
      <c r="AP6" s="66">
        <v>8306</v>
      </c>
      <c r="AQ6" s="66"/>
      <c r="AR6" s="66">
        <v>8207</v>
      </c>
      <c r="AS6" s="236">
        <v>7808</v>
      </c>
      <c r="AT6" s="236">
        <v>7603</v>
      </c>
      <c r="AU6" s="236">
        <v>7265</v>
      </c>
      <c r="AV6" s="236">
        <v>6839</v>
      </c>
      <c r="AW6" s="66">
        <v>6861</v>
      </c>
      <c r="AX6" s="66">
        <v>482</v>
      </c>
      <c r="AY6" s="236">
        <v>6202</v>
      </c>
      <c r="AZ6" s="236">
        <v>6118</v>
      </c>
      <c r="BA6" s="66"/>
      <c r="BB6" s="66">
        <v>5734</v>
      </c>
      <c r="BC6" s="66">
        <v>5354</v>
      </c>
      <c r="BD6" s="66">
        <v>3939</v>
      </c>
      <c r="BE6" s="66">
        <v>4729</v>
      </c>
      <c r="BF6" s="66">
        <v>2926</v>
      </c>
    </row>
    <row r="7" spans="1:60">
      <c r="A7" s="28">
        <v>2003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67"/>
      <c r="M7" s="67"/>
      <c r="N7" s="27">
        <f t="shared" si="1"/>
        <v>0</v>
      </c>
      <c r="O7" s="36"/>
      <c r="P7" s="27">
        <f t="shared" si="0"/>
        <v>0</v>
      </c>
      <c r="Q7" s="36">
        <f t="shared" si="0"/>
        <v>0</v>
      </c>
      <c r="S7" s="66">
        <v>1200000</v>
      </c>
      <c r="U7" s="66"/>
      <c r="V7" s="66"/>
      <c r="W7" s="236">
        <v>13636</v>
      </c>
      <c r="X7" s="236">
        <v>13388</v>
      </c>
      <c r="Y7" s="236">
        <v>12811</v>
      </c>
      <c r="Z7" s="236">
        <v>12803</v>
      </c>
      <c r="AA7" s="66"/>
      <c r="AB7" s="66">
        <v>12373</v>
      </c>
      <c r="AC7" s="236">
        <v>11676</v>
      </c>
      <c r="AD7" s="236">
        <v>11222</v>
      </c>
      <c r="AE7" s="66"/>
      <c r="AF7" s="66">
        <v>11023</v>
      </c>
      <c r="AG7" s="236">
        <v>10607</v>
      </c>
      <c r="AH7" s="236">
        <v>10079</v>
      </c>
      <c r="AI7" s="236">
        <v>9987</v>
      </c>
      <c r="AJ7" s="236">
        <v>9663</v>
      </c>
      <c r="AK7" s="236">
        <v>9549</v>
      </c>
      <c r="AL7" s="236">
        <v>9131</v>
      </c>
      <c r="AM7" s="66"/>
      <c r="AN7" s="66">
        <v>9092</v>
      </c>
      <c r="AO7" s="236">
        <v>8436</v>
      </c>
      <c r="AP7" s="236">
        <v>8186</v>
      </c>
      <c r="AQ7" s="66"/>
      <c r="AR7" s="66">
        <v>8230</v>
      </c>
      <c r="AS7" s="66"/>
      <c r="AT7" s="66">
        <v>7809</v>
      </c>
      <c r="AU7" s="66"/>
      <c r="AV7" s="66">
        <v>7332</v>
      </c>
      <c r="AW7" s="236">
        <v>6935</v>
      </c>
      <c r="AX7" s="236">
        <v>6577</v>
      </c>
      <c r="AY7" s="236">
        <v>6205</v>
      </c>
      <c r="AZ7" s="236">
        <v>6114</v>
      </c>
      <c r="BA7" s="66"/>
      <c r="BB7" s="66">
        <v>5735</v>
      </c>
      <c r="BC7" s="236">
        <v>5363</v>
      </c>
      <c r="BD7" s="236">
        <v>5261</v>
      </c>
      <c r="BE7" s="66"/>
      <c r="BF7" s="66">
        <v>4852</v>
      </c>
    </row>
    <row r="8" spans="1:60">
      <c r="A8" s="28">
        <v>2004</v>
      </c>
      <c r="B8" s="238"/>
      <c r="C8" s="238">
        <v>37.25</v>
      </c>
      <c r="D8" s="238"/>
      <c r="E8" s="238"/>
      <c r="F8" s="238"/>
      <c r="G8" s="238"/>
      <c r="H8" s="238"/>
      <c r="I8" s="238"/>
      <c r="J8" s="238"/>
      <c r="K8" s="238"/>
      <c r="L8" s="67"/>
      <c r="M8" s="67"/>
      <c r="N8" s="27">
        <f t="shared" si="1"/>
        <v>37.25</v>
      </c>
      <c r="O8" s="36">
        <v>389</v>
      </c>
      <c r="P8" s="27">
        <f t="shared" si="0"/>
        <v>11.174999999999999</v>
      </c>
      <c r="Q8" s="36">
        <f t="shared" si="0"/>
        <v>116.69999999999999</v>
      </c>
      <c r="S8" s="66">
        <f>S7*1.2%</f>
        <v>14400</v>
      </c>
      <c r="U8" s="66"/>
      <c r="V8" s="66"/>
      <c r="W8" s="236">
        <v>13637</v>
      </c>
      <c r="X8" s="236">
        <v>13389</v>
      </c>
      <c r="Y8" s="66">
        <v>12846</v>
      </c>
      <c r="Z8" s="66">
        <v>11086</v>
      </c>
      <c r="AA8" s="66"/>
      <c r="AB8" s="66">
        <v>12387</v>
      </c>
      <c r="AC8" s="236">
        <v>11693</v>
      </c>
      <c r="AD8" s="236">
        <v>11667</v>
      </c>
      <c r="AE8" s="236">
        <v>11028</v>
      </c>
      <c r="AF8" s="236">
        <v>10759</v>
      </c>
      <c r="AG8" s="236">
        <v>10649</v>
      </c>
      <c r="AH8" s="236">
        <v>10572</v>
      </c>
      <c r="AI8" s="66">
        <v>10016</v>
      </c>
      <c r="AJ8" s="66">
        <v>8196</v>
      </c>
      <c r="AK8" s="66"/>
      <c r="AL8" s="66">
        <v>9580</v>
      </c>
      <c r="AM8" s="236">
        <v>9104</v>
      </c>
      <c r="AN8" s="236">
        <v>8752</v>
      </c>
      <c r="AO8" s="66"/>
      <c r="AP8" s="66">
        <v>8490</v>
      </c>
      <c r="AQ8" s="66"/>
      <c r="AR8" s="66">
        <v>8231</v>
      </c>
      <c r="AS8" s="66"/>
      <c r="AT8" s="66">
        <v>7810</v>
      </c>
      <c r="AU8" s="236">
        <v>7354</v>
      </c>
      <c r="AV8" s="236">
        <v>6058</v>
      </c>
      <c r="AW8" s="66"/>
      <c r="AX8" s="66"/>
      <c r="AY8" s="66">
        <v>6233</v>
      </c>
      <c r="AZ8" s="66">
        <v>4381</v>
      </c>
      <c r="BA8" s="66"/>
      <c r="BB8" s="66">
        <v>5736</v>
      </c>
      <c r="BC8" s="66">
        <v>5375</v>
      </c>
      <c r="BD8" s="66">
        <v>4369</v>
      </c>
      <c r="BE8" s="66">
        <v>4995</v>
      </c>
      <c r="BF8" s="66">
        <v>4297</v>
      </c>
    </row>
    <row r="9" spans="1:60">
      <c r="A9" s="28">
        <v>2005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27"/>
      <c r="O9" s="36"/>
      <c r="P9" s="27">
        <f t="shared" si="0"/>
        <v>0</v>
      </c>
      <c r="Q9" s="36">
        <f t="shared" si="0"/>
        <v>0</v>
      </c>
      <c r="R9" s="22">
        <v>4212</v>
      </c>
      <c r="S9" s="66">
        <f>S8*9%</f>
        <v>1296</v>
      </c>
      <c r="T9" s="86">
        <f>R9-S9</f>
        <v>2916</v>
      </c>
      <c r="U9" s="66"/>
      <c r="V9" s="66"/>
      <c r="W9" s="66">
        <v>13760</v>
      </c>
      <c r="X9" s="237">
        <v>9675</v>
      </c>
      <c r="Y9" s="66"/>
      <c r="Z9" s="66">
        <v>12943</v>
      </c>
      <c r="AA9" s="66"/>
      <c r="AB9" s="66">
        <v>12397</v>
      </c>
      <c r="AC9" s="236">
        <v>11694</v>
      </c>
      <c r="AD9" s="236">
        <v>11661</v>
      </c>
      <c r="AE9" s="66">
        <v>11047</v>
      </c>
      <c r="AF9" s="66">
        <v>10561</v>
      </c>
      <c r="AG9" s="66">
        <v>10653</v>
      </c>
      <c r="AH9" s="66">
        <v>10541</v>
      </c>
      <c r="AI9" s="66"/>
      <c r="AJ9" s="66">
        <v>10043</v>
      </c>
      <c r="AK9" s="66"/>
      <c r="AL9" s="66">
        <v>9583</v>
      </c>
      <c r="AM9" s="66"/>
      <c r="AN9" s="66">
        <v>9153</v>
      </c>
      <c r="AO9" s="236">
        <v>8494</v>
      </c>
      <c r="AP9" s="236">
        <v>5641</v>
      </c>
      <c r="AQ9" s="236">
        <v>8233</v>
      </c>
      <c r="AR9" s="236">
        <v>8162</v>
      </c>
      <c r="AS9" s="66"/>
      <c r="AT9" s="66">
        <v>7811</v>
      </c>
      <c r="AU9" s="66"/>
      <c r="AV9" s="66"/>
      <c r="AW9" s="66"/>
      <c r="AX9" s="66"/>
      <c r="AY9" s="236">
        <v>6289</v>
      </c>
      <c r="AZ9" s="236">
        <v>6254</v>
      </c>
      <c r="BA9" s="66">
        <v>5787</v>
      </c>
      <c r="BB9" s="66">
        <v>4394</v>
      </c>
      <c r="BC9" s="66">
        <v>5385</v>
      </c>
      <c r="BD9" s="66">
        <v>4423</v>
      </c>
      <c r="BE9" s="66">
        <v>5097</v>
      </c>
      <c r="BF9" s="66">
        <v>1706</v>
      </c>
    </row>
    <row r="10" spans="1:60">
      <c r="A10" s="28">
        <v>2006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7"/>
      <c r="O10" s="36"/>
      <c r="P10" s="27">
        <f t="shared" si="0"/>
        <v>0</v>
      </c>
      <c r="Q10" s="36">
        <f t="shared" si="0"/>
        <v>0</v>
      </c>
      <c r="U10" s="66"/>
      <c r="V10" s="66"/>
      <c r="W10" s="66"/>
      <c r="X10" s="66">
        <v>13807</v>
      </c>
      <c r="Y10" s="66"/>
      <c r="Z10" s="66">
        <v>12979</v>
      </c>
      <c r="AA10" s="236">
        <v>12450</v>
      </c>
      <c r="AB10" s="236">
        <v>7238</v>
      </c>
      <c r="AC10" s="236">
        <v>11715</v>
      </c>
      <c r="AD10" s="236">
        <v>10661</v>
      </c>
      <c r="AE10" s="66"/>
      <c r="AF10" s="66">
        <v>11088</v>
      </c>
      <c r="AG10" s="66"/>
      <c r="AH10" s="66">
        <v>10699</v>
      </c>
      <c r="AI10" s="236">
        <v>10123</v>
      </c>
      <c r="AJ10" s="236">
        <v>9641</v>
      </c>
      <c r="AK10" s="66"/>
      <c r="AL10" s="66">
        <v>9609</v>
      </c>
      <c r="AM10" s="66">
        <v>9269</v>
      </c>
      <c r="AN10" s="66">
        <v>9063</v>
      </c>
      <c r="AO10" s="66"/>
      <c r="AP10" s="66">
        <v>8508</v>
      </c>
      <c r="AQ10" s="66"/>
      <c r="AR10" s="66"/>
      <c r="AS10" s="66"/>
      <c r="AT10" s="107">
        <v>7812</v>
      </c>
      <c r="AU10" s="66"/>
      <c r="AV10" s="66"/>
      <c r="AW10" s="66"/>
      <c r="AX10" s="66"/>
      <c r="AY10" s="236">
        <v>6290</v>
      </c>
      <c r="AZ10" s="236">
        <v>6253</v>
      </c>
      <c r="BA10" s="236">
        <v>5857</v>
      </c>
      <c r="BB10" s="236">
        <v>5640</v>
      </c>
      <c r="BC10" s="236">
        <v>5411</v>
      </c>
      <c r="BD10" s="236">
        <v>4808</v>
      </c>
      <c r="BE10" s="236">
        <v>5165</v>
      </c>
      <c r="BF10" s="236">
        <v>4860</v>
      </c>
    </row>
    <row r="11" spans="1:60">
      <c r="A11" s="28">
        <v>2007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27"/>
      <c r="O11" s="36"/>
      <c r="P11" s="27">
        <f t="shared" si="0"/>
        <v>0</v>
      </c>
      <c r="Q11" s="36">
        <f t="shared" si="0"/>
        <v>0</v>
      </c>
      <c r="U11" s="66"/>
      <c r="V11" s="66"/>
      <c r="W11" s="236">
        <v>13828</v>
      </c>
      <c r="X11" s="236">
        <v>11017</v>
      </c>
      <c r="Y11" s="66">
        <v>13058</v>
      </c>
      <c r="Z11" s="66">
        <v>2684</v>
      </c>
      <c r="AA11" s="66"/>
      <c r="AB11" s="66">
        <v>12453</v>
      </c>
      <c r="AC11" s="236">
        <v>11726</v>
      </c>
      <c r="AD11" s="236">
        <v>11229</v>
      </c>
      <c r="AE11" s="66"/>
      <c r="AF11" s="66">
        <v>11090</v>
      </c>
      <c r="AG11" s="66"/>
      <c r="AH11" s="66">
        <v>10712</v>
      </c>
      <c r="AI11" s="66"/>
      <c r="AJ11" s="66">
        <v>10179</v>
      </c>
      <c r="AK11" s="66"/>
      <c r="AL11" s="66">
        <v>9674</v>
      </c>
      <c r="AM11" s="66"/>
      <c r="AN11" s="66">
        <v>9295</v>
      </c>
      <c r="AO11" s="66"/>
      <c r="AP11" s="66">
        <v>8510</v>
      </c>
      <c r="AQ11" s="66"/>
      <c r="AR11" s="66"/>
      <c r="AS11" s="66"/>
      <c r="AT11" s="66">
        <v>7813</v>
      </c>
      <c r="AU11" s="66"/>
      <c r="AV11" s="66"/>
      <c r="AW11" s="66"/>
      <c r="AX11" s="66"/>
      <c r="AY11" s="236">
        <v>6316</v>
      </c>
      <c r="AZ11" s="236">
        <v>5945</v>
      </c>
      <c r="BA11" s="236">
        <v>5890</v>
      </c>
      <c r="BB11" s="236">
        <v>5826</v>
      </c>
      <c r="BC11" s="236">
        <v>5421</v>
      </c>
      <c r="BD11" s="236">
        <v>4913</v>
      </c>
      <c r="BE11" s="66"/>
      <c r="BF11" s="66"/>
    </row>
    <row r="12" spans="1:60">
      <c r="A12" s="28">
        <v>2008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7"/>
      <c r="O12" s="36"/>
      <c r="P12" s="27">
        <f t="shared" si="0"/>
        <v>0</v>
      </c>
      <c r="Q12" s="36">
        <f t="shared" si="0"/>
        <v>0</v>
      </c>
      <c r="U12" s="66"/>
      <c r="V12" s="66"/>
      <c r="W12" s="236">
        <v>13877</v>
      </c>
      <c r="X12" s="236">
        <v>12380</v>
      </c>
      <c r="Y12" s="236">
        <v>13067</v>
      </c>
      <c r="Z12" s="236">
        <v>12632</v>
      </c>
      <c r="AA12" s="66">
        <v>12455</v>
      </c>
      <c r="AB12" s="66">
        <v>9373</v>
      </c>
      <c r="AC12" s="236">
        <v>11790</v>
      </c>
      <c r="AD12" s="236">
        <v>11203</v>
      </c>
      <c r="AE12" s="66">
        <v>11099</v>
      </c>
      <c r="AF12" s="66">
        <v>10747</v>
      </c>
      <c r="AG12" s="66"/>
      <c r="AH12" s="66">
        <v>10749</v>
      </c>
      <c r="AI12" s="66"/>
      <c r="AJ12" s="66">
        <v>10184</v>
      </c>
      <c r="AK12" s="236">
        <v>9684</v>
      </c>
      <c r="AL12" s="236">
        <v>9349</v>
      </c>
      <c r="AM12" s="66"/>
      <c r="AN12" s="66">
        <v>9298</v>
      </c>
      <c r="AO12" s="66"/>
      <c r="AP12" s="66">
        <v>8540</v>
      </c>
      <c r="AQ12" s="66"/>
      <c r="AR12" s="66"/>
      <c r="AS12" s="66"/>
      <c r="AT12" s="66"/>
      <c r="AU12" s="66"/>
      <c r="AV12" s="66"/>
      <c r="AW12" s="66"/>
      <c r="AX12" s="66"/>
      <c r="AY12" s="236">
        <v>6504</v>
      </c>
      <c r="AZ12" s="236">
        <v>6439</v>
      </c>
      <c r="BA12" s="236">
        <v>5970</v>
      </c>
      <c r="BB12" s="236">
        <v>5878</v>
      </c>
      <c r="BC12" s="236">
        <v>5447</v>
      </c>
      <c r="BD12" s="236">
        <v>5052</v>
      </c>
      <c r="BE12" s="66"/>
      <c r="BF12" s="66"/>
    </row>
    <row r="13" spans="1:60">
      <c r="A13" s="28">
        <v>2009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5"/>
      <c r="O13" s="514"/>
      <c r="P13" s="35"/>
      <c r="Q13" s="514"/>
      <c r="U13" s="66"/>
      <c r="V13" s="66"/>
      <c r="W13" s="66"/>
      <c r="X13" s="66"/>
      <c r="Y13" s="236">
        <v>13074</v>
      </c>
      <c r="Z13" s="236">
        <v>12843</v>
      </c>
      <c r="AA13" s="236">
        <v>12471</v>
      </c>
      <c r="AB13" s="236">
        <v>12372</v>
      </c>
      <c r="AC13" s="236">
        <v>11886</v>
      </c>
      <c r="AD13" s="236">
        <v>11010</v>
      </c>
      <c r="AE13" s="236">
        <v>11103</v>
      </c>
      <c r="AF13" s="236">
        <v>10748</v>
      </c>
      <c r="AG13" s="66"/>
      <c r="AH13" s="66">
        <v>10787</v>
      </c>
      <c r="AI13" s="66"/>
      <c r="AJ13" s="66">
        <v>10221</v>
      </c>
      <c r="AK13" s="66"/>
      <c r="AL13" s="66">
        <v>9689</v>
      </c>
      <c r="AM13" s="66">
        <v>9329</v>
      </c>
      <c r="AN13" s="66">
        <v>5624</v>
      </c>
      <c r="AO13" s="66">
        <v>8568</v>
      </c>
      <c r="AP13" s="66">
        <v>3912</v>
      </c>
      <c r="AQ13" s="66"/>
      <c r="AR13" s="66"/>
      <c r="AS13" s="66"/>
      <c r="AT13" s="66"/>
      <c r="AU13" s="66"/>
      <c r="AV13" s="66"/>
      <c r="AW13" s="66"/>
      <c r="AX13" s="66"/>
      <c r="AY13" s="236">
        <v>6507</v>
      </c>
      <c r="AZ13" s="236">
        <v>6442</v>
      </c>
      <c r="BA13" s="236">
        <v>5975</v>
      </c>
      <c r="BB13" s="236">
        <v>5921</v>
      </c>
      <c r="BC13" s="236">
        <v>5448</v>
      </c>
      <c r="BD13" s="236">
        <v>5053</v>
      </c>
      <c r="BE13" s="66"/>
      <c r="BF13" s="66"/>
    </row>
    <row r="14" spans="1:60">
      <c r="A14" s="28">
        <v>2010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5"/>
      <c r="O14" s="514"/>
      <c r="P14" s="35"/>
      <c r="Q14" s="514"/>
      <c r="U14" s="66"/>
      <c r="V14" s="66"/>
      <c r="W14" s="66"/>
      <c r="X14" s="66"/>
      <c r="Y14" s="236">
        <v>13081</v>
      </c>
      <c r="Z14" s="236">
        <v>12815</v>
      </c>
      <c r="AA14" s="236">
        <v>12497</v>
      </c>
      <c r="AB14" s="236">
        <v>5923</v>
      </c>
      <c r="AC14" s="236">
        <v>11887</v>
      </c>
      <c r="AD14" s="236">
        <v>11009</v>
      </c>
      <c r="AE14" s="66"/>
      <c r="AF14" s="66">
        <v>11175</v>
      </c>
      <c r="AG14" s="66">
        <v>10794</v>
      </c>
      <c r="AH14" s="66">
        <v>936</v>
      </c>
      <c r="AI14" s="66"/>
      <c r="AJ14" s="66">
        <v>10229</v>
      </c>
      <c r="AK14" s="236">
        <v>9712</v>
      </c>
      <c r="AL14" s="236">
        <v>9539</v>
      </c>
      <c r="AM14" s="66"/>
      <c r="AN14" s="66"/>
      <c r="AO14" s="66">
        <v>8587</v>
      </c>
      <c r="AP14" s="107">
        <v>8587</v>
      </c>
      <c r="AQ14" s="66"/>
      <c r="AR14" s="66"/>
      <c r="AS14" s="66"/>
      <c r="AT14" s="66"/>
      <c r="AU14" s="66"/>
      <c r="AV14" s="66"/>
      <c r="AW14" s="66"/>
      <c r="AX14" s="66"/>
      <c r="AY14" s="236">
        <v>6508</v>
      </c>
      <c r="AZ14" s="236">
        <v>6441</v>
      </c>
      <c r="BA14" s="66"/>
      <c r="BB14" s="66"/>
      <c r="BC14" s="236">
        <v>5464</v>
      </c>
      <c r="BD14" s="236">
        <v>4975</v>
      </c>
      <c r="BE14" s="66"/>
      <c r="BF14" s="66"/>
    </row>
    <row r="15" spans="1:60">
      <c r="A15" s="28">
        <v>2011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5"/>
      <c r="O15" s="514"/>
      <c r="P15" s="35"/>
      <c r="Q15" s="514"/>
      <c r="U15" s="66"/>
      <c r="V15" s="66"/>
      <c r="W15" s="66"/>
      <c r="X15" s="66"/>
      <c r="Y15" s="236">
        <v>13098</v>
      </c>
      <c r="Z15" s="236">
        <v>12838</v>
      </c>
      <c r="AA15" s="236">
        <v>12502</v>
      </c>
      <c r="AB15" s="236">
        <v>12345</v>
      </c>
      <c r="AC15" s="66"/>
      <c r="AD15" s="66">
        <v>11970</v>
      </c>
      <c r="AE15" s="236">
        <v>11208</v>
      </c>
      <c r="AF15" s="236">
        <v>10994</v>
      </c>
      <c r="AG15" s="66"/>
      <c r="AH15" s="66"/>
      <c r="AI15" s="66"/>
      <c r="AJ15" s="66"/>
      <c r="AK15" s="236">
        <v>9716</v>
      </c>
      <c r="AL15" s="236">
        <v>9643</v>
      </c>
      <c r="AM15" s="66"/>
      <c r="AN15" s="66"/>
      <c r="AO15" s="66">
        <v>8625</v>
      </c>
      <c r="AP15" s="66">
        <v>8509</v>
      </c>
      <c r="AQ15" s="66"/>
      <c r="AR15" s="66"/>
      <c r="AS15" s="66"/>
      <c r="AT15" s="66"/>
      <c r="AU15" s="66"/>
      <c r="AV15" s="66"/>
      <c r="AW15" s="66"/>
      <c r="AX15" s="66"/>
      <c r="AY15" s="236">
        <v>6557</v>
      </c>
      <c r="AZ15" s="236">
        <v>5896</v>
      </c>
      <c r="BA15" s="66"/>
      <c r="BB15" s="66"/>
      <c r="BC15" s="236">
        <v>5495</v>
      </c>
      <c r="BD15" s="236">
        <v>4792</v>
      </c>
      <c r="BE15" s="66"/>
      <c r="BF15" s="66"/>
    </row>
    <row r="16" spans="1:60">
      <c r="A16" s="28">
        <v>2012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5"/>
      <c r="O16" s="514"/>
      <c r="P16" s="35"/>
      <c r="Q16" s="514"/>
      <c r="U16" s="66"/>
      <c r="V16" s="66"/>
      <c r="W16" s="66"/>
      <c r="X16" s="66"/>
      <c r="Y16" s="66"/>
      <c r="Z16" s="237">
        <v>13200</v>
      </c>
      <c r="AA16" s="66"/>
      <c r="AB16" s="66"/>
      <c r="AC16" s="236">
        <v>12002</v>
      </c>
      <c r="AD16" s="236">
        <v>11791</v>
      </c>
      <c r="AE16" s="236">
        <v>11228</v>
      </c>
      <c r="AF16" s="236">
        <v>11153</v>
      </c>
      <c r="AG16" s="66"/>
      <c r="AH16" s="66"/>
      <c r="AI16" s="66"/>
      <c r="AJ16" s="66"/>
      <c r="AK16" s="66">
        <v>9721</v>
      </c>
      <c r="AL16" s="66">
        <v>9453</v>
      </c>
      <c r="AM16" s="66"/>
      <c r="AN16" s="66"/>
      <c r="AO16" s="66"/>
      <c r="AP16" s="66">
        <v>8672</v>
      </c>
      <c r="AQ16" s="66"/>
      <c r="AR16" s="66"/>
      <c r="AS16" s="66"/>
      <c r="AT16" s="66"/>
      <c r="AU16" s="66"/>
      <c r="AV16" s="66"/>
      <c r="AW16" s="66"/>
      <c r="AX16" s="66"/>
      <c r="AY16" s="236">
        <v>6558</v>
      </c>
      <c r="AZ16" s="236">
        <v>5895</v>
      </c>
      <c r="BA16" s="66"/>
      <c r="BB16" s="66"/>
      <c r="BC16" s="66"/>
      <c r="BD16" s="66"/>
      <c r="BE16" s="66"/>
      <c r="BF16" s="66"/>
    </row>
    <row r="17" spans="1:58">
      <c r="A17" s="28">
        <v>2013</v>
      </c>
      <c r="B17" s="33"/>
      <c r="C17" s="33"/>
      <c r="D17" s="33"/>
      <c r="E17" s="33"/>
      <c r="F17" s="33"/>
      <c r="G17" s="29"/>
      <c r="H17" s="29"/>
      <c r="I17" s="29"/>
      <c r="J17" s="29"/>
      <c r="K17" s="29"/>
      <c r="L17" s="29"/>
      <c r="M17" s="29"/>
      <c r="N17" s="26"/>
      <c r="O17" s="230"/>
      <c r="P17" s="26"/>
      <c r="Q17" s="230"/>
      <c r="U17" s="66"/>
      <c r="V17" s="66"/>
      <c r="W17" s="66"/>
      <c r="X17" s="66"/>
      <c r="AA17" s="66"/>
      <c r="AB17" s="66"/>
      <c r="AC17" s="66"/>
      <c r="AD17" s="239">
        <v>11203</v>
      </c>
      <c r="AE17" s="236">
        <v>11239</v>
      </c>
      <c r="AF17" s="236">
        <v>11091</v>
      </c>
      <c r="AG17" s="66"/>
      <c r="AH17" s="66"/>
      <c r="AI17" s="66"/>
      <c r="AJ17" s="66"/>
      <c r="AK17" s="236">
        <v>9729</v>
      </c>
      <c r="AL17" s="236">
        <v>9685</v>
      </c>
      <c r="AM17" s="66"/>
      <c r="AN17" s="66"/>
      <c r="AO17" s="236">
        <v>8740</v>
      </c>
      <c r="AP17" s="236">
        <v>8289</v>
      </c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</row>
    <row r="18" spans="1:58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71">
        <f>SUM(N2:N17)</f>
        <v>72.5</v>
      </c>
      <c r="O18" s="515">
        <f>SUM(O2:O17)</f>
        <v>871</v>
      </c>
      <c r="P18" s="71">
        <f>SUM(P2:P17)</f>
        <v>21.75</v>
      </c>
      <c r="Q18" s="515">
        <f>SUM(Q2:Q17)</f>
        <v>261.29999999999995</v>
      </c>
      <c r="U18" s="66"/>
      <c r="V18" s="66"/>
      <c r="W18" s="66"/>
      <c r="X18" s="66"/>
      <c r="AA18" s="66"/>
      <c r="AB18" s="66"/>
      <c r="AC18" s="236">
        <v>12016</v>
      </c>
      <c r="AD18" s="236">
        <v>11962</v>
      </c>
      <c r="AE18" s="236">
        <v>11289</v>
      </c>
      <c r="AF18" s="236">
        <v>11174</v>
      </c>
      <c r="AG18" s="66"/>
      <c r="AH18" s="66"/>
      <c r="AI18" s="66"/>
      <c r="AJ18" s="66"/>
      <c r="AK18" s="236">
        <v>9732</v>
      </c>
      <c r="AL18" s="236">
        <v>9600</v>
      </c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</row>
    <row r="19" spans="1:58" ht="15.75">
      <c r="P19" s="232">
        <v>299</v>
      </c>
      <c r="U19"/>
      <c r="AA19" s="66"/>
      <c r="AB19" s="66"/>
      <c r="AC19" s="236">
        <v>12025</v>
      </c>
      <c r="AD19" s="236">
        <v>11578</v>
      </c>
      <c r="AE19" s="236">
        <v>11293</v>
      </c>
      <c r="AF19" s="236">
        <v>10069</v>
      </c>
      <c r="AG19" s="66"/>
      <c r="AH19" s="66"/>
      <c r="AI19" s="66"/>
      <c r="AJ19" s="66"/>
      <c r="AK19" s="66">
        <v>9733</v>
      </c>
      <c r="AL19" s="66">
        <v>9588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</row>
    <row r="20" spans="1:58" ht="15.75">
      <c r="A20" s="577" t="s">
        <v>266</v>
      </c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U20"/>
      <c r="AA20" s="66"/>
      <c r="AB20" s="66"/>
      <c r="AC20" s="66">
        <v>12026</v>
      </c>
      <c r="AD20" s="66">
        <v>890</v>
      </c>
      <c r="AE20" s="236">
        <v>11299</v>
      </c>
      <c r="AF20" s="236">
        <v>10765</v>
      </c>
      <c r="AG20" s="66"/>
      <c r="AH20" s="66"/>
      <c r="AI20" s="66"/>
      <c r="AJ20" s="66"/>
      <c r="AK20" s="236">
        <v>9778</v>
      </c>
      <c r="AL20" s="236">
        <v>9309</v>
      </c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</row>
    <row r="21" spans="1:58" ht="15.75">
      <c r="C21" s="91"/>
      <c r="D21" s="91"/>
      <c r="E21" s="91"/>
      <c r="L21" s="30"/>
      <c r="U21"/>
      <c r="AA21" s="66"/>
      <c r="AB21" s="66"/>
      <c r="AC21" s="236">
        <v>12027</v>
      </c>
      <c r="AD21" s="236">
        <v>11149</v>
      </c>
      <c r="AE21" s="236">
        <v>11322</v>
      </c>
      <c r="AF21" s="236">
        <v>11048</v>
      </c>
      <c r="AG21" s="66"/>
      <c r="AH21" s="66"/>
      <c r="AI21" s="66"/>
      <c r="AJ21" s="66"/>
      <c r="AK21" s="236">
        <v>9797</v>
      </c>
      <c r="AL21" s="236">
        <v>7520</v>
      </c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</row>
    <row r="22" spans="1:58" ht="15.75">
      <c r="A22"/>
      <c r="C22" s="91"/>
      <c r="L22" s="30"/>
      <c r="AA22" s="66"/>
      <c r="AB22" s="66"/>
      <c r="AC22" s="236">
        <v>12030</v>
      </c>
      <c r="AD22" s="236">
        <v>5863</v>
      </c>
      <c r="AE22" s="236">
        <v>11362</v>
      </c>
      <c r="AF22" s="236">
        <v>11037</v>
      </c>
      <c r="AG22" s="66"/>
      <c r="AH22" s="66"/>
      <c r="AI22" s="66"/>
      <c r="AJ22" s="66"/>
      <c r="AK22" s="236">
        <v>9812</v>
      </c>
      <c r="AL22" s="236">
        <v>9197</v>
      </c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</row>
    <row r="23" spans="1:58" ht="15.75">
      <c r="A23"/>
      <c r="C23" s="91"/>
      <c r="K23" s="616"/>
      <c r="L23" s="616"/>
      <c r="M23" s="616"/>
      <c r="N23" s="616"/>
      <c r="O23" s="616"/>
      <c r="P23" s="616"/>
      <c r="Q23" s="616"/>
      <c r="AA23" s="66"/>
      <c r="AB23" s="66"/>
      <c r="AC23" s="236">
        <v>12031</v>
      </c>
      <c r="AD23" s="236">
        <v>9942</v>
      </c>
      <c r="AE23" s="66"/>
      <c r="AF23" s="239">
        <v>11396</v>
      </c>
      <c r="AG23" s="66"/>
      <c r="AH23" s="66"/>
      <c r="AI23" s="66"/>
      <c r="AJ23" s="66"/>
      <c r="AK23" s="236">
        <v>9813</v>
      </c>
      <c r="AL23" s="236">
        <v>9520</v>
      </c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</row>
    <row r="24" spans="1:58" ht="15.75">
      <c r="B24"/>
      <c r="L24" s="30"/>
      <c r="AA24" s="66"/>
      <c r="AB24" s="66"/>
      <c r="AC24" s="236">
        <v>12032</v>
      </c>
      <c r="AD24" s="236">
        <v>9979</v>
      </c>
      <c r="AE24" s="66"/>
      <c r="AF24" s="66">
        <v>11400</v>
      </c>
      <c r="AG24" s="66"/>
      <c r="AH24" s="66"/>
      <c r="AI24" s="66"/>
      <c r="AJ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</row>
    <row r="25" spans="1:58">
      <c r="R25" t="s">
        <v>267</v>
      </c>
      <c r="S25" t="s">
        <v>268</v>
      </c>
      <c r="T25" t="s">
        <v>269</v>
      </c>
      <c r="U25" t="s">
        <v>45</v>
      </c>
      <c r="V25" t="s">
        <v>270</v>
      </c>
      <c r="W25" t="s">
        <v>271</v>
      </c>
      <c r="AA25" t="s">
        <v>272</v>
      </c>
      <c r="AB25" t="s">
        <v>270</v>
      </c>
      <c r="AC25" t="s">
        <v>45</v>
      </c>
      <c r="AD25" t="s">
        <v>273</v>
      </c>
      <c r="AE25" s="66" t="s">
        <v>274</v>
      </c>
      <c r="AF25" s="66"/>
      <c r="AG25" t="s">
        <v>267</v>
      </c>
      <c r="AH25" t="s">
        <v>268</v>
      </c>
      <c r="AI25" t="s">
        <v>269</v>
      </c>
      <c r="AJ25" t="s">
        <v>45</v>
      </c>
      <c r="AK25" t="s">
        <v>270</v>
      </c>
      <c r="AL25" t="s">
        <v>271</v>
      </c>
      <c r="AP25" t="s">
        <v>272</v>
      </c>
      <c r="AQ25" t="s">
        <v>270</v>
      </c>
      <c r="AR25" t="s">
        <v>45</v>
      </c>
      <c r="AS25" t="s">
        <v>273</v>
      </c>
      <c r="AT25" s="66" t="s">
        <v>274</v>
      </c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</row>
    <row r="26" spans="1:58">
      <c r="A26" s="92" t="s">
        <v>57</v>
      </c>
      <c r="B26" s="240"/>
      <c r="C26" s="241"/>
      <c r="D26" s="240"/>
      <c r="E26" s="242"/>
      <c r="F26" s="242"/>
      <c r="G26" s="242"/>
      <c r="H26" s="243"/>
      <c r="I26" s="243"/>
      <c r="J26" s="244"/>
      <c r="K26" s="244"/>
      <c r="L26" s="242"/>
      <c r="M26" s="242"/>
      <c r="N26" s="242"/>
      <c r="O26" s="242"/>
      <c r="P26" s="242"/>
      <c r="R26" s="245">
        <v>4985</v>
      </c>
      <c r="S26" s="246"/>
      <c r="T26" s="66">
        <v>4985</v>
      </c>
      <c r="U26" t="s">
        <v>275</v>
      </c>
      <c r="V26" s="31" t="s">
        <v>276</v>
      </c>
      <c r="W26" s="247" t="s">
        <v>277</v>
      </c>
      <c r="X26" s="248">
        <v>15</v>
      </c>
      <c r="Y26" s="236">
        <v>14170</v>
      </c>
      <c r="Z26" s="66">
        <v>5866000</v>
      </c>
      <c r="AA26" s="236">
        <v>1250000</v>
      </c>
      <c r="AB26" s="66">
        <v>15437</v>
      </c>
      <c r="AC26" s="66">
        <v>1635</v>
      </c>
      <c r="AD26" s="237">
        <v>1635</v>
      </c>
      <c r="AE26" s="249"/>
      <c r="AF26" s="66"/>
      <c r="AG26" s="66">
        <v>11085</v>
      </c>
      <c r="AH26" s="250"/>
      <c r="AI26" s="239"/>
      <c r="AJ26" s="66" t="s">
        <v>278</v>
      </c>
      <c r="AK26" s="66" t="s">
        <v>279</v>
      </c>
      <c r="AL26" s="108" t="s">
        <v>280</v>
      </c>
      <c r="AM26" s="248">
        <v>527</v>
      </c>
      <c r="AN26" s="251" t="s">
        <v>281</v>
      </c>
      <c r="AO26" s="66">
        <v>1300000</v>
      </c>
      <c r="AP26" s="66">
        <v>1300000</v>
      </c>
      <c r="AQ26" s="66">
        <v>16460</v>
      </c>
      <c r="AR26" s="66">
        <v>1234</v>
      </c>
      <c r="AS26" s="245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</row>
    <row r="27" spans="1:58">
      <c r="A27" s="28">
        <v>1998</v>
      </c>
      <c r="B27" s="252">
        <v>15</v>
      </c>
      <c r="C27" s="253">
        <v>75</v>
      </c>
      <c r="D27" s="253">
        <v>17.559999999999999</v>
      </c>
      <c r="E27" s="110"/>
      <c r="F27" s="100"/>
      <c r="G27" s="254"/>
      <c r="H27" s="255"/>
      <c r="I27" s="256"/>
      <c r="J27" s="257"/>
      <c r="K27" s="257"/>
      <c r="L27" s="257"/>
      <c r="M27" s="257"/>
      <c r="N27" s="257"/>
      <c r="O27" s="257"/>
      <c r="P27" s="257"/>
      <c r="R27" s="236">
        <v>5684</v>
      </c>
      <c r="S27" s="246"/>
      <c r="T27" s="66">
        <v>5685</v>
      </c>
      <c r="U27" s="258" t="s">
        <v>282</v>
      </c>
      <c r="V27" s="66">
        <v>53685</v>
      </c>
      <c r="W27" s="108" t="s">
        <v>280</v>
      </c>
      <c r="X27" s="248">
        <v>75</v>
      </c>
      <c r="Y27" s="236">
        <v>13320</v>
      </c>
      <c r="Z27" s="66">
        <v>5000000</v>
      </c>
      <c r="AA27" s="66">
        <v>5000000</v>
      </c>
      <c r="AB27" s="66">
        <v>68160</v>
      </c>
      <c r="AC27" s="66">
        <v>5774</v>
      </c>
      <c r="AD27" s="245"/>
      <c r="AE27" s="249"/>
      <c r="AG27" s="66"/>
      <c r="AH27" s="66"/>
      <c r="AI27" s="66"/>
      <c r="AJ27" s="66"/>
      <c r="AM27" s="248">
        <v>3075</v>
      </c>
      <c r="AN27" t="s">
        <v>283</v>
      </c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</row>
    <row r="28" spans="1:58">
      <c r="A28" s="28">
        <v>1999</v>
      </c>
      <c r="B28" s="252">
        <v>441</v>
      </c>
      <c r="C28" s="253">
        <v>527</v>
      </c>
      <c r="D28" s="259">
        <v>3.62</v>
      </c>
      <c r="E28" s="260">
        <v>597</v>
      </c>
      <c r="F28" s="261">
        <v>1.9</v>
      </c>
      <c r="G28" s="110"/>
      <c r="H28" s="106"/>
      <c r="I28" s="100"/>
      <c r="J28" s="100"/>
      <c r="K28" s="105"/>
      <c r="L28" s="100"/>
      <c r="M28" s="100"/>
      <c r="N28" s="100"/>
      <c r="O28" s="100"/>
      <c r="P28" s="257"/>
      <c r="R28" s="66"/>
      <c r="S28" s="262"/>
      <c r="T28" s="239"/>
      <c r="U28" s="258" t="s">
        <v>284</v>
      </c>
      <c r="V28" s="66" t="s">
        <v>285</v>
      </c>
      <c r="W28" s="247" t="s">
        <v>277</v>
      </c>
      <c r="X28" s="248">
        <v>441</v>
      </c>
      <c r="Y28" s="236">
        <v>14214</v>
      </c>
      <c r="Z28" s="66">
        <v>2000000</v>
      </c>
      <c r="AA28" s="66">
        <v>2000000</v>
      </c>
      <c r="AB28" s="66">
        <v>23087</v>
      </c>
      <c r="AC28" s="66">
        <v>2444</v>
      </c>
      <c r="AD28" s="66">
        <v>2444</v>
      </c>
      <c r="AE28" s="263"/>
      <c r="AG28" s="66"/>
      <c r="AH28" s="66"/>
      <c r="AI28" s="66"/>
      <c r="AJ28" s="31" t="s">
        <v>280</v>
      </c>
      <c r="AK28" s="108" t="s">
        <v>286</v>
      </c>
      <c r="AM28" s="248">
        <v>3132</v>
      </c>
      <c r="AN28" s="236" t="s">
        <v>287</v>
      </c>
      <c r="AO28" s="31">
        <v>1467.35</v>
      </c>
      <c r="AP28" s="31">
        <v>1467.35</v>
      </c>
      <c r="AQ28" s="66" t="s">
        <v>288</v>
      </c>
      <c r="AR28" s="250"/>
      <c r="AS28" t="s">
        <v>289</v>
      </c>
      <c r="AT28" s="250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</row>
    <row r="29" spans="1:58">
      <c r="A29" s="28">
        <v>2000</v>
      </c>
      <c r="B29" s="106"/>
      <c r="C29" s="109"/>
      <c r="D29" s="109"/>
      <c r="E29" s="106"/>
      <c r="F29" s="100"/>
      <c r="G29" s="100"/>
      <c r="H29" s="105"/>
      <c r="I29" s="100"/>
      <c r="J29" s="100"/>
      <c r="K29" s="106"/>
      <c r="L29" s="100"/>
      <c r="M29" s="100"/>
      <c r="N29" s="100"/>
      <c r="O29" s="100"/>
      <c r="P29" s="257"/>
      <c r="R29" s="246">
        <v>932</v>
      </c>
      <c r="S29" s="264"/>
      <c r="T29" s="250"/>
      <c r="U29" s="258" t="s">
        <v>290</v>
      </c>
      <c r="V29" s="66">
        <v>8805</v>
      </c>
      <c r="W29" s="108" t="s">
        <v>280</v>
      </c>
      <c r="X29" s="248">
        <v>597</v>
      </c>
      <c r="Y29" s="239">
        <v>10776</v>
      </c>
      <c r="Z29" s="66">
        <v>600000</v>
      </c>
      <c r="AA29" s="66">
        <v>600000</v>
      </c>
      <c r="AB29" s="66"/>
      <c r="AC29" s="66"/>
      <c r="AD29" s="66"/>
      <c r="AE29" s="66"/>
      <c r="AG29" s="66"/>
      <c r="AH29" s="66"/>
      <c r="AI29" s="66"/>
      <c r="AJ29" s="66"/>
      <c r="AM29" s="248">
        <v>3392</v>
      </c>
      <c r="AN29" t="s">
        <v>291</v>
      </c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</row>
    <row r="30" spans="1:58">
      <c r="A30" s="28">
        <v>2001</v>
      </c>
      <c r="B30" s="252">
        <v>1893</v>
      </c>
      <c r="C30" s="253">
        <v>1930</v>
      </c>
      <c r="D30" s="259">
        <v>6.47</v>
      </c>
      <c r="E30" s="265">
        <v>1946</v>
      </c>
      <c r="F30" s="109"/>
      <c r="G30" s="266"/>
      <c r="H30" s="229"/>
      <c r="I30" s="106"/>
      <c r="J30" s="105"/>
      <c r="K30" s="105"/>
      <c r="L30" s="257"/>
      <c r="M30" s="257"/>
      <c r="N30" s="257"/>
      <c r="O30" s="257"/>
      <c r="P30" s="257"/>
      <c r="R30" s="267">
        <v>0.01</v>
      </c>
      <c r="S30" s="262"/>
      <c r="T30" s="239"/>
      <c r="U30" s="258" t="s">
        <v>292</v>
      </c>
      <c r="V30" s="66" t="s">
        <v>285</v>
      </c>
      <c r="W30" s="247" t="s">
        <v>277</v>
      </c>
      <c r="X30" s="248">
        <v>1893</v>
      </c>
      <c r="Y30" s="236">
        <v>13429</v>
      </c>
      <c r="Z30" s="66">
        <v>800000</v>
      </c>
      <c r="AA30" s="66">
        <v>800000</v>
      </c>
      <c r="AB30" s="66">
        <v>12760</v>
      </c>
      <c r="AC30" s="239"/>
      <c r="AD30" s="239"/>
      <c r="AE30" s="249"/>
      <c r="AG30" s="66"/>
      <c r="AH30" s="66"/>
      <c r="AI30" s="258" t="s">
        <v>293</v>
      </c>
      <c r="AJ30" s="66"/>
      <c r="AM30" s="248">
        <v>3561</v>
      </c>
      <c r="AN30" s="268" t="s">
        <v>294</v>
      </c>
      <c r="AO30" s="31">
        <v>11738.81</v>
      </c>
      <c r="AP30" s="31">
        <v>11738.81</v>
      </c>
      <c r="AR30" s="250"/>
      <c r="AS30" s="66" t="s">
        <v>295</v>
      </c>
      <c r="AT30" s="239"/>
      <c r="AU30" s="66"/>
      <c r="AV30" s="66"/>
      <c r="AY30" s="66"/>
      <c r="AZ30" s="66"/>
      <c r="BA30" s="66"/>
      <c r="BB30" s="66"/>
      <c r="BC30" s="66"/>
      <c r="BD30" s="66"/>
      <c r="BE30" s="66"/>
      <c r="BF30" s="66"/>
    </row>
    <row r="31" spans="1:58">
      <c r="A31" s="28">
        <v>2002</v>
      </c>
      <c r="B31" s="252">
        <v>2272</v>
      </c>
      <c r="C31" s="260">
        <v>2414</v>
      </c>
      <c r="D31" s="261">
        <v>2.08</v>
      </c>
      <c r="E31" s="269">
        <v>2504</v>
      </c>
      <c r="F31" s="100"/>
      <c r="G31" s="254"/>
      <c r="H31" s="229"/>
      <c r="I31" s="106"/>
      <c r="J31" s="105"/>
      <c r="K31" s="105"/>
      <c r="L31" s="257"/>
      <c r="M31" s="257"/>
      <c r="N31" s="257"/>
      <c r="O31" s="257"/>
      <c r="P31" s="257"/>
      <c r="R31" s="270">
        <v>14.91</v>
      </c>
      <c r="S31" s="264"/>
      <c r="T31" s="239"/>
      <c r="U31" s="66">
        <v>5092</v>
      </c>
      <c r="V31" s="66" t="s">
        <v>296</v>
      </c>
      <c r="W31" s="108" t="s">
        <v>280</v>
      </c>
      <c r="X31" s="248">
        <v>1930</v>
      </c>
      <c r="Y31" s="236">
        <v>9190</v>
      </c>
      <c r="Z31" s="66">
        <v>2000000</v>
      </c>
      <c r="AA31" s="66">
        <v>2000000</v>
      </c>
      <c r="AB31" s="66">
        <v>24510</v>
      </c>
      <c r="AC31" s="239"/>
      <c r="AD31" s="66">
        <v>2206</v>
      </c>
      <c r="AE31" s="66"/>
      <c r="AG31" s="66"/>
      <c r="AH31" s="66"/>
      <c r="AI31" s="258" t="s">
        <v>293</v>
      </c>
      <c r="AJ31" s="66"/>
      <c r="AM31" s="248">
        <v>3562</v>
      </c>
      <c r="AN31" s="268" t="s">
        <v>297</v>
      </c>
      <c r="AO31" s="31">
        <v>11738.81</v>
      </c>
      <c r="AP31" s="31">
        <v>11738.81</v>
      </c>
      <c r="AR31" s="250"/>
      <c r="AS31" s="66" t="s">
        <v>295</v>
      </c>
      <c r="AT31" s="239"/>
      <c r="AU31" s="66"/>
      <c r="AV31" s="66"/>
      <c r="AY31" s="66"/>
      <c r="AZ31" s="66"/>
      <c r="BA31" s="66"/>
      <c r="BB31" s="66"/>
      <c r="BC31" s="66"/>
      <c r="BD31" s="66"/>
      <c r="BE31" s="66"/>
      <c r="BF31" s="66"/>
    </row>
    <row r="32" spans="1:58">
      <c r="A32" s="28">
        <v>2003</v>
      </c>
      <c r="B32" s="271">
        <v>3460</v>
      </c>
      <c r="C32" s="109"/>
      <c r="D32" s="110"/>
      <c r="E32" s="109"/>
      <c r="F32" s="110"/>
      <c r="G32" s="254"/>
      <c r="H32" s="229"/>
      <c r="I32" s="106"/>
      <c r="J32" s="105"/>
      <c r="K32" s="105"/>
      <c r="L32" s="257"/>
      <c r="M32" s="257"/>
      <c r="N32" s="257"/>
      <c r="O32" s="257"/>
      <c r="P32" s="257"/>
      <c r="R32" s="267">
        <v>0.01</v>
      </c>
      <c r="S32" s="262"/>
      <c r="T32" s="239"/>
      <c r="U32" s="66"/>
      <c r="V32" s="66" t="s">
        <v>285</v>
      </c>
      <c r="W32" s="247" t="s">
        <v>277</v>
      </c>
      <c r="X32" s="248">
        <v>1946</v>
      </c>
      <c r="Y32" s="236">
        <v>11265</v>
      </c>
      <c r="Z32" s="66">
        <v>100000</v>
      </c>
      <c r="AA32" s="66">
        <v>100000</v>
      </c>
      <c r="AB32" s="66">
        <v>2660</v>
      </c>
      <c r="AC32" s="239"/>
      <c r="AD32" s="239"/>
      <c r="AE32" s="249"/>
      <c r="AF32" s="66"/>
      <c r="AG32" s="66"/>
      <c r="AH32" s="66"/>
      <c r="AI32" s="66"/>
      <c r="AJ32" s="66"/>
      <c r="AK32" t="s">
        <v>298</v>
      </c>
      <c r="AL32" s="91" t="s">
        <v>280</v>
      </c>
      <c r="AM32" s="248">
        <v>4214</v>
      </c>
      <c r="AN32" s="236" t="s">
        <v>299</v>
      </c>
      <c r="AO32" s="66" t="s">
        <v>300</v>
      </c>
      <c r="AP32" s="66" t="s">
        <v>300</v>
      </c>
      <c r="AQ32" s="22">
        <v>370</v>
      </c>
      <c r="AR32" s="250"/>
      <c r="AS32" t="s">
        <v>289</v>
      </c>
      <c r="AT32" s="245" t="s">
        <v>301</v>
      </c>
      <c r="AU32" s="66"/>
      <c r="AV32" s="66"/>
      <c r="AY32" s="66"/>
      <c r="AZ32" s="66"/>
      <c r="BA32" s="66"/>
      <c r="BB32" s="66"/>
      <c r="BC32" s="66"/>
      <c r="BD32" s="66"/>
      <c r="BE32" s="66"/>
      <c r="BF32" s="66"/>
    </row>
    <row r="33" spans="1:58">
      <c r="A33" s="28">
        <v>2004</v>
      </c>
      <c r="B33" s="253">
        <v>3684</v>
      </c>
      <c r="C33" s="259">
        <v>24.7</v>
      </c>
      <c r="D33" s="260">
        <v>3684</v>
      </c>
      <c r="E33" s="261">
        <v>12.55</v>
      </c>
      <c r="F33" s="265">
        <v>3705</v>
      </c>
      <c r="G33" s="272">
        <v>3915</v>
      </c>
      <c r="H33" s="229"/>
      <c r="I33" s="106"/>
      <c r="J33" s="105"/>
      <c r="K33" s="105"/>
      <c r="L33" s="257"/>
      <c r="M33" s="257"/>
      <c r="N33" s="257"/>
      <c r="O33" s="257"/>
      <c r="P33" s="257"/>
      <c r="R33" s="270">
        <v>0.01</v>
      </c>
      <c r="S33" s="262"/>
      <c r="T33" s="239"/>
      <c r="U33" s="258" t="s">
        <v>302</v>
      </c>
      <c r="V33" s="66" t="s">
        <v>285</v>
      </c>
      <c r="W33" s="247" t="s">
        <v>277</v>
      </c>
      <c r="X33" s="248">
        <v>2272</v>
      </c>
      <c r="Y33" s="236">
        <v>12454</v>
      </c>
      <c r="Z33" s="66">
        <v>2500000</v>
      </c>
      <c r="AA33" s="66">
        <v>2500000</v>
      </c>
      <c r="AB33" s="66">
        <v>32960</v>
      </c>
      <c r="AC33" s="239"/>
      <c r="AD33" s="239"/>
      <c r="AE33" s="263"/>
      <c r="AG33" s="66"/>
      <c r="AH33" s="66"/>
      <c r="AI33" s="66"/>
      <c r="AJ33" s="66"/>
      <c r="AK33" t="s">
        <v>303</v>
      </c>
      <c r="AL33" s="91" t="s">
        <v>280</v>
      </c>
      <c r="AM33" s="248">
        <v>4361</v>
      </c>
      <c r="AN33" s="236" t="s">
        <v>304</v>
      </c>
      <c r="AO33" s="66" t="s">
        <v>305</v>
      </c>
      <c r="AP33" s="66" t="s">
        <v>300</v>
      </c>
      <c r="AQ33" s="22">
        <v>951</v>
      </c>
      <c r="AR33" s="250"/>
      <c r="AS33" t="s">
        <v>289</v>
      </c>
      <c r="AT33" s="245" t="s">
        <v>301</v>
      </c>
      <c r="AU33" s="66"/>
      <c r="AV33" s="66"/>
      <c r="AY33" s="66"/>
      <c r="AZ33" s="66"/>
      <c r="BA33" s="66"/>
      <c r="BB33" s="66"/>
      <c r="BC33" s="66"/>
      <c r="BD33" s="66"/>
      <c r="BE33" s="66"/>
      <c r="BF33" s="66"/>
    </row>
    <row r="34" spans="1:58">
      <c r="A34" s="28">
        <v>2005</v>
      </c>
      <c r="B34" s="105"/>
      <c r="C34" s="100"/>
      <c r="D34" s="100"/>
      <c r="E34" s="100"/>
      <c r="F34" s="100"/>
      <c r="G34" s="254"/>
      <c r="H34" s="229"/>
      <c r="I34" s="105"/>
      <c r="J34" s="105"/>
      <c r="K34" s="105"/>
      <c r="L34" s="257"/>
      <c r="M34" s="257"/>
      <c r="N34" s="257"/>
      <c r="O34" s="257"/>
      <c r="P34" s="257"/>
      <c r="R34" s="270">
        <v>14.36</v>
      </c>
      <c r="S34" s="264"/>
      <c r="T34" s="239"/>
      <c r="U34" s="258" t="s">
        <v>306</v>
      </c>
      <c r="V34" s="66"/>
      <c r="W34" s="108" t="s">
        <v>280</v>
      </c>
      <c r="X34" s="248">
        <v>2414</v>
      </c>
      <c r="Y34" s="236">
        <v>12037</v>
      </c>
      <c r="Z34" s="66">
        <v>325000</v>
      </c>
      <c r="AA34" s="66">
        <v>325000</v>
      </c>
      <c r="AB34" s="66">
        <v>11860</v>
      </c>
      <c r="AC34" s="239"/>
      <c r="AD34" s="66">
        <v>708</v>
      </c>
      <c r="AE34" s="263"/>
      <c r="AG34" s="66"/>
      <c r="AH34" s="66"/>
      <c r="AI34" s="66"/>
      <c r="AJ34" s="66"/>
      <c r="AK34" t="s">
        <v>285</v>
      </c>
      <c r="AL34" s="273"/>
      <c r="AM34" s="248">
        <v>4979</v>
      </c>
      <c r="AN34" s="236" t="s">
        <v>307</v>
      </c>
      <c r="AO34" s="66"/>
      <c r="AP34" s="66"/>
      <c r="AQ34" t="s">
        <v>308</v>
      </c>
      <c r="AR34" s="250"/>
      <c r="AS34" t="s">
        <v>289</v>
      </c>
      <c r="AT34" s="250"/>
      <c r="AU34" s="66"/>
      <c r="AV34" s="66"/>
      <c r="AY34" s="66"/>
      <c r="AZ34" s="66"/>
      <c r="BA34" s="66"/>
      <c r="BB34" s="66"/>
      <c r="BC34" s="66"/>
      <c r="BD34" s="66"/>
      <c r="BE34" s="66"/>
      <c r="BF34" s="66"/>
    </row>
    <row r="35" spans="1:58">
      <c r="A35" s="28">
        <v>2006</v>
      </c>
      <c r="B35" s="105"/>
      <c r="C35" s="100"/>
      <c r="D35" s="100"/>
      <c r="E35" s="100"/>
      <c r="F35" s="100"/>
      <c r="G35" s="254"/>
      <c r="H35" s="229"/>
      <c r="I35" s="105"/>
      <c r="J35" s="105"/>
      <c r="K35" s="105"/>
      <c r="L35" s="257"/>
      <c r="M35" s="257"/>
      <c r="N35" s="257"/>
      <c r="O35" s="257"/>
      <c r="P35" s="257"/>
      <c r="R35" s="249"/>
      <c r="S35" s="264"/>
      <c r="T35" s="249"/>
      <c r="U35" s="249"/>
      <c r="V35" s="249"/>
      <c r="W35" s="249"/>
      <c r="X35" s="248">
        <v>2504</v>
      </c>
      <c r="Y35" s="236">
        <v>9901</v>
      </c>
      <c r="Z35" s="66">
        <v>200000</v>
      </c>
      <c r="AA35" s="66"/>
      <c r="AB35" s="66"/>
      <c r="AC35" s="66"/>
      <c r="AD35" s="66"/>
      <c r="AE35" s="66"/>
      <c r="AG35" s="66"/>
      <c r="AH35" s="66"/>
      <c r="AI35" s="66"/>
      <c r="AJ35" s="66"/>
      <c r="AK35" t="s">
        <v>285</v>
      </c>
      <c r="AL35" s="273"/>
      <c r="AM35" s="248">
        <v>4980</v>
      </c>
      <c r="AN35" s="236" t="s">
        <v>309</v>
      </c>
      <c r="AO35" s="66"/>
      <c r="AP35" s="66"/>
      <c r="AQ35" t="s">
        <v>310</v>
      </c>
      <c r="AR35" s="250"/>
      <c r="AS35" t="s">
        <v>289</v>
      </c>
      <c r="AT35" s="250"/>
      <c r="AU35" s="66"/>
      <c r="AV35" s="66"/>
      <c r="AY35" s="66"/>
      <c r="AZ35" s="66"/>
      <c r="BA35" s="66"/>
      <c r="BB35" s="66"/>
      <c r="BC35" s="66"/>
      <c r="BE35" s="66"/>
      <c r="BF35" s="66"/>
    </row>
    <row r="36" spans="1:58">
      <c r="A36" s="28">
        <v>2007</v>
      </c>
      <c r="B36" s="105"/>
      <c r="C36" s="100"/>
      <c r="D36" s="100"/>
      <c r="E36" s="100"/>
      <c r="F36" s="100"/>
      <c r="G36" s="254"/>
      <c r="H36" s="229"/>
      <c r="I36" s="105"/>
      <c r="J36" s="105"/>
      <c r="K36" s="105"/>
      <c r="L36" s="257"/>
      <c r="M36" s="257"/>
      <c r="N36" s="257"/>
      <c r="O36" s="257"/>
      <c r="P36" s="257"/>
      <c r="R36" s="249"/>
      <c r="S36" s="264"/>
      <c r="T36" s="249"/>
      <c r="U36" s="249"/>
      <c r="V36" s="249"/>
      <c r="W36" s="264"/>
      <c r="X36" s="248">
        <v>3460</v>
      </c>
      <c r="Y36" s="236">
        <v>6979</v>
      </c>
      <c r="Z36" s="66">
        <v>250000</v>
      </c>
      <c r="AA36" s="66"/>
      <c r="AB36" s="66"/>
      <c r="AC36" s="66"/>
      <c r="AD36" s="66"/>
      <c r="AE36" s="66"/>
      <c r="AG36" s="66"/>
      <c r="AH36" s="66"/>
      <c r="AI36" s="66"/>
      <c r="AJ36" s="66"/>
      <c r="AL36" s="91" t="s">
        <v>280</v>
      </c>
      <c r="AM36" s="248">
        <v>7161</v>
      </c>
      <c r="AN36" s="274" t="s">
        <v>311</v>
      </c>
      <c r="AO36" s="66">
        <v>70000</v>
      </c>
      <c r="AP36" s="66">
        <v>70000</v>
      </c>
      <c r="AQ36" s="66">
        <v>7129</v>
      </c>
      <c r="AU36" s="66"/>
      <c r="AV36" s="66"/>
      <c r="AY36" s="66"/>
      <c r="AZ36" s="66"/>
      <c r="BA36" s="66"/>
      <c r="BB36" s="66"/>
      <c r="BC36" s="66"/>
      <c r="BE36" s="66"/>
      <c r="BF36" s="66"/>
    </row>
    <row r="37" spans="1:58">
      <c r="A37" s="28">
        <v>2008</v>
      </c>
      <c r="B37" s="252">
        <v>7736</v>
      </c>
      <c r="C37" s="100"/>
      <c r="D37" s="100"/>
      <c r="E37" s="100"/>
      <c r="F37" s="100"/>
      <c r="G37" s="254"/>
      <c r="H37" s="229"/>
      <c r="I37" s="105"/>
      <c r="J37" s="105"/>
      <c r="K37" s="105"/>
      <c r="L37" s="257"/>
      <c r="M37" s="257"/>
      <c r="N37" s="257"/>
      <c r="O37" s="257"/>
      <c r="P37" s="257"/>
      <c r="R37" s="617">
        <v>73.010000000000005</v>
      </c>
      <c r="S37" s="264"/>
      <c r="T37" s="239"/>
      <c r="U37" s="618" t="s">
        <v>312</v>
      </c>
      <c r="V37" s="619" t="s">
        <v>313</v>
      </c>
      <c r="W37" s="108" t="s">
        <v>280</v>
      </c>
      <c r="X37" s="248">
        <v>3684</v>
      </c>
      <c r="Y37" s="236">
        <v>10341</v>
      </c>
      <c r="Z37" s="66">
        <v>8000000</v>
      </c>
      <c r="AA37" s="66">
        <v>8000000</v>
      </c>
      <c r="AB37" s="66">
        <v>93510</v>
      </c>
      <c r="AC37" s="239"/>
      <c r="AD37" s="66">
        <v>8416</v>
      </c>
      <c r="AE37" s="66"/>
      <c r="AG37" s="66"/>
      <c r="AH37" s="66"/>
      <c r="AI37" t="s">
        <v>314</v>
      </c>
      <c r="AJ37" s="91">
        <v>7.42</v>
      </c>
      <c r="AK37" s="22">
        <v>24</v>
      </c>
      <c r="AL37" s="91" t="s">
        <v>315</v>
      </c>
      <c r="AM37" s="248">
        <v>7379</v>
      </c>
      <c r="AN37" s="236" t="s">
        <v>316</v>
      </c>
      <c r="AO37" s="275">
        <v>2000000</v>
      </c>
      <c r="AP37" s="275">
        <v>2000000</v>
      </c>
      <c r="AQ37" t="s">
        <v>317</v>
      </c>
      <c r="AR37" s="250"/>
      <c r="AS37" t="s">
        <v>289</v>
      </c>
      <c r="AT37" s="250"/>
      <c r="AU37" s="66"/>
      <c r="AV37" s="66"/>
      <c r="AY37" s="66"/>
      <c r="AZ37" s="66"/>
      <c r="BA37" s="66"/>
      <c r="BB37" s="66"/>
      <c r="BC37" s="66"/>
      <c r="BE37" s="66"/>
      <c r="BF37" s="66"/>
    </row>
    <row r="38" spans="1:58">
      <c r="A38" s="28">
        <v>2009</v>
      </c>
      <c r="B38" s="105"/>
      <c r="C38" s="100"/>
      <c r="D38" s="100"/>
      <c r="E38" s="100"/>
      <c r="F38" s="100"/>
      <c r="G38" s="254"/>
      <c r="H38" s="229"/>
      <c r="I38" s="105"/>
      <c r="J38" s="105"/>
      <c r="K38" s="105"/>
      <c r="L38" s="257"/>
      <c r="M38" s="257"/>
      <c r="N38" s="257"/>
      <c r="O38" s="257"/>
      <c r="P38" s="257"/>
      <c r="R38" s="617"/>
      <c r="S38" s="264"/>
      <c r="T38" s="239"/>
      <c r="U38" s="618"/>
      <c r="V38" s="619"/>
      <c r="W38" s="108" t="s">
        <v>280</v>
      </c>
      <c r="X38" s="248">
        <v>3684</v>
      </c>
      <c r="Y38" s="236">
        <v>10772</v>
      </c>
      <c r="Z38" s="66">
        <v>4000000</v>
      </c>
      <c r="AA38" s="66">
        <v>4000000</v>
      </c>
      <c r="AB38" s="66">
        <v>47510</v>
      </c>
      <c r="AC38" s="239"/>
      <c r="AD38" s="66">
        <v>4275</v>
      </c>
      <c r="AE38" s="249"/>
      <c r="AG38" s="66"/>
      <c r="AH38" s="66"/>
      <c r="AJ38" s="66"/>
      <c r="AM38" s="248">
        <v>10286</v>
      </c>
      <c r="AN38" t="s">
        <v>318</v>
      </c>
      <c r="AY38" s="66"/>
      <c r="AZ38" s="66"/>
      <c r="BA38" s="66"/>
      <c r="BB38" s="66"/>
      <c r="BC38" s="66"/>
      <c r="BE38" s="66"/>
      <c r="BF38" s="66"/>
    </row>
    <row r="39" spans="1:58">
      <c r="A39" s="28">
        <v>2010</v>
      </c>
      <c r="B39" s="105"/>
      <c r="C39" s="100"/>
      <c r="D39" s="100"/>
      <c r="E39" s="100"/>
      <c r="F39" s="100"/>
      <c r="G39" s="254"/>
      <c r="H39" s="229"/>
      <c r="I39" s="105"/>
      <c r="J39" s="105"/>
      <c r="K39" s="105"/>
      <c r="L39" s="257"/>
      <c r="M39" s="257"/>
      <c r="N39" s="257"/>
      <c r="O39" s="257"/>
      <c r="P39" s="257"/>
      <c r="R39" s="270">
        <v>3.3</v>
      </c>
      <c r="S39" s="264"/>
      <c r="T39" s="239"/>
      <c r="U39" s="31">
        <v>3.3</v>
      </c>
      <c r="V39" s="66" t="s">
        <v>285</v>
      </c>
      <c r="W39" s="247" t="s">
        <v>277</v>
      </c>
      <c r="X39" s="248">
        <v>3705</v>
      </c>
      <c r="Y39" s="236">
        <v>10692</v>
      </c>
      <c r="Z39" s="66">
        <v>1000000</v>
      </c>
      <c r="AA39" s="66">
        <v>1000000</v>
      </c>
      <c r="AB39" s="66">
        <v>13010</v>
      </c>
      <c r="AC39" s="239"/>
      <c r="AD39" s="66">
        <v>1171</v>
      </c>
      <c r="AE39" s="249"/>
      <c r="AG39" s="66"/>
      <c r="AH39" s="66"/>
      <c r="AJ39" s="66"/>
      <c r="AM39" s="66"/>
      <c r="AN39" s="66"/>
      <c r="AY39" s="66"/>
      <c r="AZ39" s="66"/>
      <c r="BA39" s="66"/>
      <c r="BB39" s="66"/>
    </row>
    <row r="40" spans="1:58">
      <c r="A40" s="28">
        <v>2011</v>
      </c>
      <c r="B40" s="99"/>
      <c r="C40" s="100"/>
      <c r="D40" s="100"/>
      <c r="E40" s="100"/>
      <c r="F40" s="100"/>
      <c r="G40" s="101"/>
      <c r="H40" s="104"/>
      <c r="I40" s="103"/>
      <c r="J40" s="103"/>
      <c r="K40" s="103"/>
      <c r="L40" s="3"/>
      <c r="M40" s="3"/>
      <c r="N40" s="3"/>
      <c r="O40" s="3"/>
      <c r="P40" s="3"/>
      <c r="R40" s="66"/>
      <c r="S40" s="264"/>
      <c r="T40" s="239"/>
      <c r="U40" s="258" t="s">
        <v>319</v>
      </c>
      <c r="V40" s="66" t="s">
        <v>285</v>
      </c>
      <c r="W40" s="247" t="s">
        <v>277</v>
      </c>
      <c r="X40" s="248">
        <v>3915</v>
      </c>
      <c r="Y40" s="236">
        <v>12489</v>
      </c>
      <c r="Z40" s="66">
        <v>400000</v>
      </c>
      <c r="AA40" s="66">
        <v>400000</v>
      </c>
      <c r="AB40" s="66">
        <v>9760</v>
      </c>
      <c r="AC40" s="239"/>
      <c r="AD40" s="239"/>
      <c r="AE40" s="249"/>
      <c r="AJ40" s="66"/>
      <c r="AY40" s="66"/>
      <c r="AZ40" s="66"/>
      <c r="BA40" s="66"/>
      <c r="BB40" s="66"/>
    </row>
    <row r="41" spans="1:58">
      <c r="A41" s="28"/>
      <c r="B41" s="99"/>
      <c r="C41" s="100"/>
      <c r="D41" s="100"/>
      <c r="E41" s="100"/>
      <c r="F41" s="100"/>
      <c r="G41" s="101"/>
      <c r="H41" s="104"/>
      <c r="I41" s="103"/>
      <c r="J41" s="103"/>
      <c r="K41" s="103"/>
      <c r="L41" s="3"/>
      <c r="M41" s="3"/>
      <c r="N41" s="3"/>
      <c r="O41" s="3"/>
      <c r="P41" s="3"/>
      <c r="R41" s="66"/>
      <c r="S41" s="264"/>
      <c r="T41" s="239"/>
      <c r="U41" s="66"/>
      <c r="V41" s="66" t="s">
        <v>285</v>
      </c>
      <c r="X41" s="248">
        <v>4212</v>
      </c>
      <c r="Y41" s="236">
        <v>11744</v>
      </c>
      <c r="Z41" s="258" t="s">
        <v>315</v>
      </c>
      <c r="AA41" s="66" t="s">
        <v>320</v>
      </c>
      <c r="AB41" s="66"/>
      <c r="AC41" s="66"/>
      <c r="AD41" s="66"/>
      <c r="AE41" s="66"/>
      <c r="AO41" s="22">
        <f>600000*1.2%</f>
        <v>7200</v>
      </c>
      <c r="AP41" s="22">
        <f>2440150*1.2%</f>
        <v>29281.8</v>
      </c>
      <c r="AY41" s="66"/>
      <c r="AZ41" s="66"/>
      <c r="BA41" s="66"/>
      <c r="BB41" s="66"/>
    </row>
    <row r="42" spans="1:58">
      <c r="A42" s="28"/>
      <c r="B42" s="99"/>
      <c r="C42" s="100"/>
      <c r="D42" s="100"/>
      <c r="E42" s="100"/>
      <c r="F42" s="100"/>
      <c r="G42" s="101"/>
      <c r="H42" s="28"/>
      <c r="I42" s="103"/>
      <c r="J42" s="103"/>
      <c r="K42" s="103"/>
      <c r="L42" s="3"/>
      <c r="M42" s="3"/>
      <c r="N42" s="3"/>
      <c r="O42" s="3"/>
      <c r="P42" s="3"/>
      <c r="R42" s="66"/>
      <c r="S42" s="264"/>
      <c r="T42" s="250"/>
      <c r="U42" s="66"/>
      <c r="V42" s="66"/>
      <c r="X42" s="245">
        <v>4212</v>
      </c>
      <c r="Y42" s="236">
        <v>12520</v>
      </c>
      <c r="Z42" s="66"/>
      <c r="AA42" s="66"/>
      <c r="AB42" s="66"/>
      <c r="AC42" s="66"/>
      <c r="AD42" s="66"/>
      <c r="AE42" s="66"/>
      <c r="AO42" s="66">
        <f>AO41*9%</f>
        <v>648</v>
      </c>
      <c r="AP42" s="66">
        <f>AP41*9%</f>
        <v>2635.3619999999996</v>
      </c>
      <c r="AY42" s="66"/>
      <c r="AZ42" s="66"/>
      <c r="BA42" s="66"/>
      <c r="BB42" s="66"/>
    </row>
    <row r="43" spans="1:58" ht="20.25">
      <c r="U43" s="66" t="s">
        <v>320</v>
      </c>
      <c r="V43" s="66">
        <v>33</v>
      </c>
      <c r="W43" s="91" t="s">
        <v>315</v>
      </c>
      <c r="X43" s="248">
        <v>7109</v>
      </c>
      <c r="Y43" s="236">
        <v>10434</v>
      </c>
      <c r="Z43" s="275">
        <v>700000</v>
      </c>
      <c r="AA43" s="275">
        <v>700000</v>
      </c>
      <c r="AB43" s="66">
        <v>9560</v>
      </c>
      <c r="AC43" s="66">
        <v>860</v>
      </c>
      <c r="AD43" s="66">
        <v>860</v>
      </c>
      <c r="AE43" s="276">
        <v>1200</v>
      </c>
      <c r="AM43" s="22">
        <f>350000/340.75</f>
        <v>1027.1460014673514</v>
      </c>
      <c r="AO43" s="31">
        <f>AO42/340.75</f>
        <v>1.9016874541452677</v>
      </c>
      <c r="AP43" s="31">
        <f>AP42/340.75</f>
        <v>7.7340044020542908</v>
      </c>
      <c r="AY43" s="66"/>
      <c r="AZ43" s="66"/>
      <c r="BA43" s="66"/>
      <c r="BB43" s="66"/>
    </row>
    <row r="44" spans="1:58">
      <c r="U44" s="66"/>
      <c r="V44" s="66" t="s">
        <v>285</v>
      </c>
      <c r="W44" s="247" t="s">
        <v>277</v>
      </c>
      <c r="X44" s="248">
        <v>7736</v>
      </c>
      <c r="Y44" s="236">
        <v>12121</v>
      </c>
      <c r="Z44" s="66">
        <v>5000000</v>
      </c>
      <c r="AA44" s="66">
        <v>5000000</v>
      </c>
      <c r="AB44" s="66">
        <v>62960</v>
      </c>
      <c r="AC44" s="239"/>
      <c r="AD44" s="66">
        <v>5667</v>
      </c>
      <c r="AE44" s="66"/>
      <c r="AK44" s="31"/>
      <c r="BA44" s="66"/>
      <c r="BB44" s="66"/>
    </row>
    <row r="45" spans="1:58">
      <c r="U45" s="66"/>
      <c r="V45" s="66"/>
      <c r="Y45" s="66"/>
      <c r="AL45" s="31"/>
      <c r="BA45" s="66"/>
      <c r="BB45" s="66"/>
    </row>
    <row r="46" spans="1:58">
      <c r="B46" t="s">
        <v>321</v>
      </c>
      <c r="E46" s="57"/>
      <c r="V46" s="86"/>
      <c r="Y46" s="66"/>
      <c r="BA46" s="66"/>
      <c r="BB46" s="66"/>
    </row>
    <row r="47" spans="1:58">
      <c r="B47" t="s">
        <v>322</v>
      </c>
      <c r="V47" s="86"/>
      <c r="Y47" s="66">
        <v>14262</v>
      </c>
      <c r="Z47" s="66">
        <v>2000000</v>
      </c>
      <c r="AA47" s="277"/>
      <c r="AB47" s="66"/>
      <c r="AC47" s="66"/>
      <c r="AD47" s="66"/>
      <c r="AE47" s="66"/>
    </row>
    <row r="48" spans="1:58">
      <c r="V48" s="86"/>
      <c r="Y48" s="66">
        <v>13807</v>
      </c>
      <c r="Z48" s="66">
        <v>400000</v>
      </c>
      <c r="AA48" s="66">
        <v>400000</v>
      </c>
      <c r="AB48" s="66"/>
      <c r="AC48" s="66"/>
      <c r="AD48" s="66"/>
      <c r="AE48" s="66"/>
    </row>
    <row r="49" spans="16:41">
      <c r="V49" s="86"/>
      <c r="Y49" s="66">
        <v>13403</v>
      </c>
      <c r="Z49" s="66">
        <v>1000000</v>
      </c>
      <c r="AA49" s="277"/>
      <c r="AB49" s="66"/>
      <c r="AC49" s="66"/>
      <c r="AD49" s="66"/>
      <c r="AE49" s="66"/>
      <c r="AG49" s="86"/>
      <c r="AO49" s="86"/>
    </row>
    <row r="50" spans="16:41">
      <c r="P50" s="31">
        <f>5667/340.75</f>
        <v>16.630961115187088</v>
      </c>
      <c r="R50" s="31">
        <f>12000000/340.75</f>
        <v>35216.434336023478</v>
      </c>
      <c r="V50" s="86"/>
      <c r="Y50" s="66">
        <v>13402</v>
      </c>
      <c r="Z50" s="66">
        <v>4000000</v>
      </c>
      <c r="AA50" s="277"/>
      <c r="AB50" s="66"/>
      <c r="AC50" s="66"/>
      <c r="AD50" s="66"/>
      <c r="AE50" s="66"/>
    </row>
    <row r="51" spans="16:41">
      <c r="P51" s="57">
        <f>P50*1.2%</f>
        <v>0.19957153338224506</v>
      </c>
      <c r="Y51" s="66">
        <v>13325</v>
      </c>
      <c r="Z51" s="66">
        <v>600000</v>
      </c>
      <c r="AA51" s="66">
        <v>100000</v>
      </c>
      <c r="AB51" s="66"/>
      <c r="AC51" s="66"/>
      <c r="AD51" s="66"/>
      <c r="AE51" s="66"/>
    </row>
    <row r="52" spans="16:41">
      <c r="P52" s="57">
        <f>P51*9%</f>
        <v>1.7961438004402055E-2</v>
      </c>
      <c r="R52" s="66">
        <f>14183.33*340.75</f>
        <v>4832969.6974999998</v>
      </c>
      <c r="Y52" s="66">
        <v>13200</v>
      </c>
      <c r="Z52" s="66">
        <v>6000000</v>
      </c>
      <c r="AA52" s="66">
        <v>6000000</v>
      </c>
      <c r="AB52" s="66"/>
      <c r="AC52" s="66">
        <v>6954</v>
      </c>
      <c r="AD52" s="66">
        <v>6954</v>
      </c>
      <c r="AE52" s="66"/>
    </row>
    <row r="53" spans="16:41">
      <c r="Y53" s="66">
        <v>12979</v>
      </c>
      <c r="Z53" s="66">
        <v>15000000</v>
      </c>
      <c r="AA53" s="66">
        <v>3000000</v>
      </c>
      <c r="AB53" s="66"/>
      <c r="AC53" s="66">
        <v>3754</v>
      </c>
      <c r="AD53" s="66">
        <v>3754</v>
      </c>
      <c r="AE53" s="66"/>
    </row>
    <row r="54" spans="16:41">
      <c r="Y54" s="66">
        <v>12943</v>
      </c>
      <c r="Z54" s="66">
        <v>1000000</v>
      </c>
      <c r="AA54" s="66">
        <v>1000000</v>
      </c>
      <c r="AB54" s="66"/>
      <c r="AC54" s="66"/>
      <c r="AD54" s="66"/>
      <c r="AE54" s="66"/>
    </row>
    <row r="55" spans="16:41">
      <c r="R55" s="57"/>
      <c r="Y55" s="66">
        <v>12725</v>
      </c>
      <c r="Z55" s="66">
        <v>2000000</v>
      </c>
      <c r="AA55" s="249"/>
      <c r="AB55" s="66"/>
      <c r="AC55" s="66"/>
      <c r="AD55" s="66"/>
      <c r="AE55" s="66"/>
    </row>
    <row r="56" spans="16:41">
      <c r="Y56" s="66">
        <v>12639</v>
      </c>
      <c r="Z56" s="66">
        <v>500000</v>
      </c>
      <c r="AA56" s="66">
        <v>500000</v>
      </c>
      <c r="AB56" s="66"/>
      <c r="AC56" s="66">
        <v>806</v>
      </c>
      <c r="AD56" s="66">
        <v>806</v>
      </c>
      <c r="AE56" s="66"/>
    </row>
    <row r="57" spans="16:41">
      <c r="Y57" s="66">
        <v>12453</v>
      </c>
      <c r="Z57" s="66">
        <v>1000000</v>
      </c>
      <c r="AA57" s="249"/>
      <c r="AB57" s="66"/>
      <c r="AC57" s="66"/>
      <c r="AD57" s="66"/>
      <c r="AE57" s="66"/>
    </row>
    <row r="58" spans="16:41">
      <c r="Y58" s="66">
        <v>12397</v>
      </c>
      <c r="Z58" s="66">
        <v>100000</v>
      </c>
      <c r="AA58" s="66">
        <v>100000</v>
      </c>
      <c r="AB58" s="66"/>
      <c r="AC58" s="66"/>
      <c r="AD58" s="66"/>
      <c r="AE58" s="66"/>
    </row>
    <row r="59" spans="16:41">
      <c r="Y59" s="66">
        <v>12387</v>
      </c>
      <c r="Z59" s="66">
        <v>500000</v>
      </c>
      <c r="AA59" s="249"/>
      <c r="AB59" s="66"/>
      <c r="AC59" s="66"/>
      <c r="AD59" s="66"/>
      <c r="AE59" s="66"/>
    </row>
    <row r="60" spans="16:41">
      <c r="Y60" s="66">
        <v>12373</v>
      </c>
      <c r="Z60" s="66">
        <v>500000</v>
      </c>
      <c r="AA60" s="66">
        <v>500000</v>
      </c>
      <c r="AB60" s="66"/>
      <c r="AC60" s="66">
        <v>806</v>
      </c>
      <c r="AD60" s="66">
        <v>806</v>
      </c>
      <c r="AE60" s="66"/>
    </row>
    <row r="61" spans="16:41">
      <c r="Y61" s="66">
        <v>12275</v>
      </c>
      <c r="Z61" s="66">
        <v>1200000</v>
      </c>
      <c r="AA61" s="66">
        <v>1200000</v>
      </c>
      <c r="AB61" s="66"/>
      <c r="AC61" s="66">
        <v>1563</v>
      </c>
      <c r="AD61" s="66">
        <v>1563</v>
      </c>
      <c r="AE61" s="66"/>
    </row>
    <row r="62" spans="16:41">
      <c r="Y62" s="66">
        <v>12139</v>
      </c>
      <c r="Z62" s="66">
        <v>3500000</v>
      </c>
      <c r="AA62" s="66">
        <v>500000</v>
      </c>
      <c r="AB62" s="66"/>
      <c r="AC62" s="66">
        <v>806</v>
      </c>
      <c r="AD62" s="66">
        <v>806</v>
      </c>
      <c r="AE62" s="66"/>
    </row>
    <row r="63" spans="16:41">
      <c r="Y63" s="239">
        <v>11203</v>
      </c>
      <c r="Z63" s="66"/>
      <c r="AA63" s="66"/>
      <c r="AB63" s="66" t="s">
        <v>323</v>
      </c>
      <c r="AC63" s="66"/>
      <c r="AD63" s="66"/>
      <c r="AE63" s="66"/>
    </row>
    <row r="64" spans="16:41">
      <c r="Y64" s="66">
        <v>11970</v>
      </c>
      <c r="Z64" s="66">
        <v>300000</v>
      </c>
      <c r="AA64" s="66">
        <v>300000</v>
      </c>
      <c r="AB64" s="66"/>
      <c r="AC64" s="66">
        <v>591</v>
      </c>
      <c r="AD64" s="66">
        <v>591</v>
      </c>
      <c r="AE64" s="66"/>
    </row>
    <row r="65" spans="25:32">
      <c r="Y65" s="66">
        <v>11669</v>
      </c>
      <c r="Z65" s="66">
        <v>970000</v>
      </c>
      <c r="AA65" s="249"/>
      <c r="AB65" s="66"/>
      <c r="AC65" s="66"/>
      <c r="AD65" s="66"/>
      <c r="AE65" s="66"/>
    </row>
    <row r="66" spans="25:32">
      <c r="Y66" s="66">
        <v>11608</v>
      </c>
      <c r="Z66" s="66">
        <v>263000</v>
      </c>
      <c r="AA66" s="249"/>
      <c r="AB66" s="66"/>
      <c r="AC66" s="66"/>
      <c r="AD66" s="66"/>
      <c r="AE66" s="66"/>
    </row>
    <row r="67" spans="25:32">
      <c r="Y67" s="66">
        <v>11547</v>
      </c>
      <c r="Z67" s="66">
        <v>4000000</v>
      </c>
      <c r="AA67" s="66">
        <v>4000000</v>
      </c>
      <c r="AB67" s="66"/>
      <c r="AC67" s="66">
        <v>4276</v>
      </c>
      <c r="AD67" s="66">
        <v>4276</v>
      </c>
      <c r="AE67" s="66"/>
    </row>
    <row r="68" spans="25:32">
      <c r="Y68" s="66">
        <v>11455</v>
      </c>
      <c r="Z68" s="66">
        <v>500000</v>
      </c>
      <c r="AA68" s="66">
        <v>500000</v>
      </c>
      <c r="AB68" s="66"/>
      <c r="AC68" s="66">
        <v>654</v>
      </c>
      <c r="AD68" s="66">
        <v>654</v>
      </c>
      <c r="AE68" s="66"/>
    </row>
    <row r="69" spans="25:32">
      <c r="Y69" s="66">
        <v>11400</v>
      </c>
      <c r="Z69" s="66">
        <v>1500000</v>
      </c>
      <c r="AA69" s="66">
        <v>1500000</v>
      </c>
      <c r="AB69" s="66"/>
      <c r="AC69" s="66">
        <v>1689</v>
      </c>
      <c r="AD69" s="66">
        <v>1689</v>
      </c>
      <c r="AE69" s="66"/>
    </row>
    <row r="70" spans="25:32">
      <c r="Y70" s="239">
        <v>11396</v>
      </c>
      <c r="Z70" s="66"/>
      <c r="AA70" s="66"/>
      <c r="AB70" s="66"/>
      <c r="AC70" s="66"/>
      <c r="AD70" s="66"/>
      <c r="AE70" s="66"/>
    </row>
    <row r="71" spans="25:32">
      <c r="Y71" s="66">
        <v>11175</v>
      </c>
      <c r="Z71" s="66">
        <v>700000</v>
      </c>
      <c r="AA71" s="66">
        <v>700000</v>
      </c>
      <c r="AB71" s="66"/>
      <c r="AC71" s="66">
        <v>861</v>
      </c>
      <c r="AD71" s="66">
        <v>861</v>
      </c>
      <c r="AE71" s="66"/>
    </row>
    <row r="72" spans="25:32">
      <c r="Y72" s="66">
        <v>11090</v>
      </c>
      <c r="Z72" s="66">
        <v>2510000</v>
      </c>
      <c r="AA72" s="66">
        <v>1726000</v>
      </c>
      <c r="AB72" s="66"/>
      <c r="AC72" s="66">
        <v>2182</v>
      </c>
      <c r="AD72" s="66">
        <v>2182</v>
      </c>
      <c r="AE72" s="66"/>
    </row>
    <row r="73" spans="25:32">
      <c r="Y73" s="66">
        <v>11088</v>
      </c>
      <c r="Z73" s="66">
        <v>2000000</v>
      </c>
      <c r="AA73" s="66">
        <v>2000000</v>
      </c>
      <c r="AB73" s="66"/>
      <c r="AC73" s="66">
        <v>2413</v>
      </c>
      <c r="AD73" s="66">
        <v>2413</v>
      </c>
      <c r="AE73" s="66"/>
    </row>
    <row r="74" spans="25:32" ht="15.75">
      <c r="Y74" s="66">
        <v>11023</v>
      </c>
      <c r="Z74" s="66">
        <v>20000000</v>
      </c>
      <c r="AA74" s="66">
        <v>5690000</v>
      </c>
      <c r="AB74" s="66"/>
      <c r="AC74" s="258">
        <v>25836</v>
      </c>
      <c r="AD74" s="258">
        <v>25836</v>
      </c>
      <c r="AE74" s="66"/>
      <c r="AF74" s="278" t="s">
        <v>324</v>
      </c>
    </row>
    <row r="75" spans="25:32">
      <c r="Y75" s="66">
        <v>10996</v>
      </c>
      <c r="Z75" s="66">
        <v>2000000</v>
      </c>
      <c r="AA75" s="66">
        <v>2000000</v>
      </c>
      <c r="AB75" s="66"/>
      <c r="AC75" s="66">
        <v>2206</v>
      </c>
      <c r="AD75" s="66">
        <v>2206</v>
      </c>
      <c r="AE75" s="66"/>
    </row>
    <row r="76" spans="25:32">
      <c r="Y76" s="66">
        <v>10966</v>
      </c>
      <c r="Z76" s="66">
        <v>400000</v>
      </c>
      <c r="AA76" s="66">
        <v>400000</v>
      </c>
      <c r="AB76" s="66"/>
      <c r="AC76" s="66"/>
      <c r="AD76" s="66"/>
      <c r="AE76" s="66"/>
    </row>
    <row r="77" spans="25:32">
      <c r="Y77" s="66">
        <v>10809</v>
      </c>
      <c r="Z77" s="66">
        <v>137000</v>
      </c>
      <c r="AA77" s="66">
        <v>137000</v>
      </c>
      <c r="AB77" s="66"/>
      <c r="AC77" s="66"/>
      <c r="AD77" s="66"/>
      <c r="AE77" s="66"/>
    </row>
    <row r="78" spans="25:32">
      <c r="Y78" s="66">
        <v>10787</v>
      </c>
      <c r="Z78" s="66">
        <v>271121</v>
      </c>
      <c r="AA78" s="66">
        <v>271121</v>
      </c>
      <c r="AB78" s="66"/>
      <c r="AC78" s="66"/>
      <c r="AD78" s="66"/>
      <c r="AE78" s="66"/>
    </row>
    <row r="79" spans="25:32">
      <c r="Y79" s="66">
        <v>10749</v>
      </c>
      <c r="Z79" s="66">
        <v>300000</v>
      </c>
      <c r="AA79" s="66">
        <v>300000</v>
      </c>
      <c r="AB79" s="66"/>
      <c r="AC79" s="66"/>
      <c r="AD79" s="66"/>
      <c r="AE79" s="66"/>
    </row>
    <row r="80" spans="25:32">
      <c r="Y80" s="66">
        <v>10712</v>
      </c>
      <c r="Z80" s="66">
        <v>5000000</v>
      </c>
      <c r="AA80" s="66">
        <v>3000000</v>
      </c>
      <c r="AB80" s="66"/>
      <c r="AC80" s="66">
        <v>5311</v>
      </c>
      <c r="AD80" s="66">
        <v>5311</v>
      </c>
      <c r="AE80" s="66"/>
    </row>
    <row r="81" spans="24:33">
      <c r="Y81" s="66">
        <v>10699</v>
      </c>
      <c r="Z81" s="66">
        <v>200000</v>
      </c>
      <c r="AA81" s="66">
        <v>200000</v>
      </c>
      <c r="AB81" s="66"/>
      <c r="AC81" s="66"/>
      <c r="AD81" s="66"/>
      <c r="AE81" s="66"/>
    </row>
    <row r="82" spans="24:33">
      <c r="Y82" s="66">
        <v>10512</v>
      </c>
      <c r="Z82" s="66">
        <v>1500000</v>
      </c>
      <c r="AA82" s="66">
        <v>1500000</v>
      </c>
      <c r="AB82" s="66"/>
      <c r="AC82" s="66">
        <v>1689</v>
      </c>
      <c r="AD82" s="66">
        <v>1689</v>
      </c>
      <c r="AE82" s="66"/>
    </row>
    <row r="83" spans="24:33">
      <c r="Y83" s="66">
        <v>10459</v>
      </c>
      <c r="Z83" s="66">
        <v>10000000</v>
      </c>
      <c r="AA83" s="66">
        <v>1000000</v>
      </c>
      <c r="AB83" s="66"/>
      <c r="AC83" s="66">
        <v>1151</v>
      </c>
      <c r="AD83" s="66">
        <v>1151</v>
      </c>
      <c r="AE83" s="66"/>
    </row>
    <row r="84" spans="24:33">
      <c r="Y84" s="237">
        <v>10447</v>
      </c>
      <c r="Z84" s="66">
        <v>5000000</v>
      </c>
      <c r="AA84" s="66">
        <v>4000000</v>
      </c>
      <c r="AB84" s="66"/>
      <c r="AC84" s="239"/>
      <c r="AD84" s="66">
        <v>4276</v>
      </c>
      <c r="AE84" s="66"/>
    </row>
    <row r="85" spans="24:33">
      <c r="Y85" s="66">
        <v>10229</v>
      </c>
      <c r="Z85" s="66">
        <v>1760000</v>
      </c>
      <c r="AA85" s="66">
        <v>1760000</v>
      </c>
      <c r="AB85" s="66"/>
      <c r="AC85" s="66">
        <v>2135</v>
      </c>
      <c r="AD85" s="66">
        <v>2135</v>
      </c>
      <c r="AE85" s="66"/>
    </row>
    <row r="86" spans="24:33">
      <c r="Y86" s="66">
        <v>10221</v>
      </c>
      <c r="Z86" s="66">
        <v>4000000</v>
      </c>
      <c r="AA86" s="66">
        <v>4000000</v>
      </c>
      <c r="AB86" s="66"/>
      <c r="AC86" s="66">
        <v>4276</v>
      </c>
      <c r="AD86" s="66">
        <v>4276</v>
      </c>
      <c r="AE86" s="66"/>
    </row>
    <row r="87" spans="24:33">
      <c r="Y87" s="66">
        <v>10184</v>
      </c>
      <c r="Z87" s="66">
        <v>1500000</v>
      </c>
      <c r="AA87" s="66">
        <v>1500000</v>
      </c>
      <c r="AB87" s="66"/>
      <c r="AC87" s="66">
        <v>1658</v>
      </c>
      <c r="AD87" s="66">
        <v>1658</v>
      </c>
      <c r="AE87" s="66"/>
    </row>
    <row r="88" spans="24:33">
      <c r="Y88" s="66">
        <v>10179</v>
      </c>
      <c r="Z88" s="66">
        <v>1500000</v>
      </c>
      <c r="AA88" s="66">
        <v>1500000</v>
      </c>
      <c r="AB88" s="66"/>
      <c r="AC88" s="66">
        <v>1689</v>
      </c>
      <c r="AD88" s="66">
        <v>1689</v>
      </c>
      <c r="AE88" s="66"/>
    </row>
    <row r="89" spans="24:33">
      <c r="Y89" s="66">
        <v>10043</v>
      </c>
      <c r="Z89" s="66">
        <v>500000</v>
      </c>
      <c r="AA89" s="66">
        <v>500000</v>
      </c>
      <c r="AB89" s="66"/>
      <c r="AC89" s="66">
        <v>654</v>
      </c>
      <c r="AD89" s="66">
        <v>654</v>
      </c>
      <c r="AE89" s="66"/>
    </row>
    <row r="90" spans="24:33">
      <c r="Y90" s="66">
        <v>9920</v>
      </c>
      <c r="Z90" s="66">
        <v>500000</v>
      </c>
      <c r="AA90" s="66">
        <v>500000</v>
      </c>
      <c r="AB90" s="66"/>
      <c r="AC90" s="66">
        <v>654</v>
      </c>
      <c r="AD90" s="66">
        <v>654</v>
      </c>
      <c r="AE90" s="66"/>
    </row>
    <row r="91" spans="24:33">
      <c r="Y91" s="66">
        <v>9902</v>
      </c>
      <c r="Z91" s="66">
        <v>400000</v>
      </c>
      <c r="AA91" s="66">
        <v>400000</v>
      </c>
      <c r="AB91" s="66"/>
      <c r="AC91" s="66">
        <v>550</v>
      </c>
      <c r="AD91" s="66">
        <v>550</v>
      </c>
      <c r="AE91" s="66"/>
    </row>
    <row r="92" spans="24:33">
      <c r="Y92" s="66">
        <v>9900</v>
      </c>
      <c r="Z92" s="66">
        <v>2500000</v>
      </c>
      <c r="AA92" s="66">
        <v>2500000</v>
      </c>
      <c r="AB92" s="66"/>
      <c r="AC92" s="66">
        <v>2780</v>
      </c>
      <c r="AD92" s="66">
        <v>2780</v>
      </c>
      <c r="AE92" s="66"/>
    </row>
    <row r="93" spans="24:33">
      <c r="Y93" s="66">
        <v>9858</v>
      </c>
      <c r="Z93" s="66">
        <v>500000</v>
      </c>
      <c r="AA93" s="66">
        <v>500000</v>
      </c>
      <c r="AB93" s="66"/>
      <c r="AC93" s="66">
        <v>654</v>
      </c>
      <c r="AD93" s="66">
        <v>654</v>
      </c>
      <c r="AE93" s="66"/>
    </row>
    <row r="94" spans="24:33">
      <c r="X94" s="66">
        <v>9688</v>
      </c>
      <c r="Y94" s="258">
        <v>9689</v>
      </c>
      <c r="Z94" s="66">
        <v>1300000</v>
      </c>
      <c r="AA94" s="66">
        <v>1300000</v>
      </c>
      <c r="AB94" s="66"/>
      <c r="AC94" s="66">
        <v>1476</v>
      </c>
      <c r="AD94" s="66">
        <v>1476</v>
      </c>
      <c r="AE94" s="66"/>
      <c r="AF94" s="66"/>
      <c r="AG94" s="66"/>
    </row>
    <row r="95" spans="24:33">
      <c r="Y95" s="66">
        <v>9674</v>
      </c>
      <c r="Z95" s="66"/>
      <c r="AA95" s="66">
        <v>100000</v>
      </c>
      <c r="AB95" s="66"/>
      <c r="AC95" s="66"/>
      <c r="AD95" s="66"/>
      <c r="AE95" s="66"/>
    </row>
    <row r="96" spans="24:33">
      <c r="Y96" s="66">
        <v>9609</v>
      </c>
      <c r="Z96" s="66">
        <v>4000000</v>
      </c>
      <c r="AA96" s="66">
        <v>4000000</v>
      </c>
      <c r="AB96" s="66"/>
      <c r="AC96" s="66">
        <v>4275</v>
      </c>
      <c r="AD96" s="66">
        <v>4275</v>
      </c>
      <c r="AE96" s="66"/>
    </row>
    <row r="97" spans="25:36">
      <c r="Y97" s="66">
        <v>9580</v>
      </c>
      <c r="Z97" s="66">
        <v>600000</v>
      </c>
      <c r="AA97" s="66">
        <v>600000</v>
      </c>
      <c r="AB97" s="66"/>
      <c r="AC97" s="66">
        <v>756</v>
      </c>
      <c r="AD97" s="66">
        <v>756</v>
      </c>
      <c r="AE97" s="66"/>
    </row>
    <row r="98" spans="25:36">
      <c r="Y98" s="66">
        <v>9367</v>
      </c>
      <c r="Z98" s="66">
        <v>735000</v>
      </c>
      <c r="AA98" s="66">
        <v>235000</v>
      </c>
      <c r="AB98" s="66"/>
      <c r="AC98" s="66">
        <v>897</v>
      </c>
      <c r="AD98" s="66">
        <v>897</v>
      </c>
      <c r="AE98" s="66"/>
    </row>
    <row r="99" spans="25:36">
      <c r="Y99" s="66">
        <v>9298</v>
      </c>
      <c r="Z99" s="66">
        <v>200000</v>
      </c>
      <c r="AA99" s="66">
        <v>200000</v>
      </c>
      <c r="AB99" s="66"/>
      <c r="AC99" s="66">
        <v>351</v>
      </c>
      <c r="AD99" s="66">
        <v>351</v>
      </c>
      <c r="AE99" s="66"/>
    </row>
    <row r="100" spans="25:36">
      <c r="Y100" s="66">
        <v>9295</v>
      </c>
      <c r="Z100" s="66">
        <v>300000</v>
      </c>
      <c r="AA100" s="66">
        <v>300000</v>
      </c>
      <c r="AB100" s="66"/>
      <c r="AC100" s="66">
        <v>498</v>
      </c>
      <c r="AD100" s="66">
        <v>498</v>
      </c>
      <c r="AE100" s="66"/>
    </row>
    <row r="101" spans="25:36">
      <c r="Y101" s="66">
        <v>9153</v>
      </c>
      <c r="Z101" s="66">
        <v>20000000</v>
      </c>
      <c r="AA101" s="66">
        <v>1350000</v>
      </c>
      <c r="AB101" s="66"/>
      <c r="AC101" s="66">
        <v>1359</v>
      </c>
      <c r="AD101" s="66">
        <v>1359</v>
      </c>
      <c r="AE101" s="66"/>
    </row>
    <row r="102" spans="25:36">
      <c r="Y102" s="66">
        <v>9092</v>
      </c>
      <c r="Z102" s="66">
        <v>3500000</v>
      </c>
      <c r="AA102" s="66">
        <v>3500000</v>
      </c>
      <c r="AB102" s="66"/>
      <c r="AC102" s="66">
        <v>3759</v>
      </c>
      <c r="AD102" s="66">
        <v>3759</v>
      </c>
      <c r="AE102" s="66"/>
    </row>
    <row r="103" spans="25:36">
      <c r="Y103" s="66">
        <v>9090</v>
      </c>
      <c r="Z103" s="66">
        <v>800000</v>
      </c>
      <c r="AA103" s="66">
        <v>800000</v>
      </c>
      <c r="AB103" s="66"/>
      <c r="AC103" s="66">
        <v>964</v>
      </c>
      <c r="AD103" s="66">
        <v>964</v>
      </c>
      <c r="AE103" s="66"/>
    </row>
    <row r="104" spans="25:36" ht="15.75">
      <c r="AD104" s="279">
        <f>SUM(AD47:AD103)</f>
        <v>97209</v>
      </c>
      <c r="AE104" s="280">
        <f>AD104/340.75</f>
        <v>285.27953044754219</v>
      </c>
    </row>
    <row r="105" spans="25:36">
      <c r="Y105" s="66">
        <v>8260</v>
      </c>
      <c r="Z105" s="66">
        <v>500000</v>
      </c>
      <c r="AA105" s="66">
        <v>500000</v>
      </c>
      <c r="AB105" s="66"/>
      <c r="AC105" s="66">
        <v>540</v>
      </c>
      <c r="AD105" s="66">
        <v>540</v>
      </c>
    </row>
    <row r="106" spans="25:36">
      <c r="Y106" s="66">
        <v>8263</v>
      </c>
      <c r="Z106" s="66">
        <v>3050000</v>
      </c>
      <c r="AA106" s="66">
        <v>50000</v>
      </c>
      <c r="AB106" s="66"/>
      <c r="AC106" s="66">
        <v>2835</v>
      </c>
      <c r="AD106" s="107">
        <v>2835</v>
      </c>
      <c r="AE106" s="281"/>
      <c r="AF106" s="281"/>
      <c r="AG106" s="281"/>
      <c r="AH106" s="281"/>
      <c r="AI106" s="281"/>
      <c r="AJ106" s="281"/>
    </row>
    <row r="107" spans="25:36">
      <c r="Y107" s="66">
        <v>8306</v>
      </c>
      <c r="Z107" s="66">
        <v>100000</v>
      </c>
      <c r="AA107" s="66"/>
      <c r="AB107" s="66"/>
      <c r="AC107" s="66"/>
      <c r="AD107" s="66"/>
      <c r="AE107"/>
    </row>
    <row r="108" spans="25:36">
      <c r="Y108" s="66">
        <v>8490</v>
      </c>
      <c r="Z108" s="66">
        <v>5400000</v>
      </c>
      <c r="AA108" s="66">
        <v>300000</v>
      </c>
      <c r="AB108" s="66"/>
      <c r="AC108" s="66">
        <v>4590</v>
      </c>
      <c r="AD108" s="107">
        <v>4590</v>
      </c>
      <c r="AE108" s="281"/>
      <c r="AF108" s="281"/>
      <c r="AG108" s="281"/>
      <c r="AH108" s="281"/>
      <c r="AI108" s="281"/>
      <c r="AJ108" s="281"/>
    </row>
    <row r="109" spans="25:36">
      <c r="Y109" s="66">
        <v>8508</v>
      </c>
      <c r="Z109" s="66">
        <v>400000</v>
      </c>
      <c r="AA109" s="66">
        <v>400000</v>
      </c>
      <c r="AB109" s="66"/>
      <c r="AC109" s="66">
        <v>540</v>
      </c>
      <c r="AD109" s="66">
        <v>540</v>
      </c>
    </row>
    <row r="110" spans="25:36">
      <c r="Y110" s="66">
        <v>8510</v>
      </c>
      <c r="Z110" s="66">
        <v>200000</v>
      </c>
      <c r="AA110" s="66">
        <v>200000</v>
      </c>
      <c r="AB110" s="66"/>
      <c r="AC110" s="66"/>
      <c r="AD110" s="66">
        <v>342</v>
      </c>
    </row>
    <row r="111" spans="25:36">
      <c r="Y111" s="66">
        <v>8540</v>
      </c>
      <c r="Z111" s="66">
        <v>350000</v>
      </c>
      <c r="AA111" s="66">
        <v>350000</v>
      </c>
      <c r="AB111" s="66"/>
      <c r="AC111" s="66"/>
      <c r="AD111" s="66">
        <v>425</v>
      </c>
    </row>
    <row r="112" spans="25:36">
      <c r="Y112" s="66">
        <v>8509</v>
      </c>
      <c r="Z112" s="66">
        <v>400000</v>
      </c>
      <c r="AA112" s="66">
        <v>50000</v>
      </c>
      <c r="AB112" s="66"/>
      <c r="AC112" s="66"/>
      <c r="AD112" s="107">
        <v>360</v>
      </c>
      <c r="AE112" s="281"/>
      <c r="AF112" s="281"/>
      <c r="AG112" s="281"/>
      <c r="AH112" s="281"/>
      <c r="AI112" s="281"/>
      <c r="AJ112" s="281"/>
    </row>
    <row r="113" spans="25:34">
      <c r="Y113" s="66">
        <v>8672</v>
      </c>
      <c r="Z113" s="66">
        <v>1000000</v>
      </c>
      <c r="AA113" s="66">
        <v>1000000</v>
      </c>
      <c r="AB113" s="66"/>
      <c r="AC113" s="66"/>
      <c r="AD113" s="66">
        <v>990</v>
      </c>
    </row>
    <row r="114" spans="25:34">
      <c r="Y114" s="66">
        <v>8380</v>
      </c>
      <c r="Z114" s="66"/>
      <c r="AA114" s="66"/>
      <c r="AB114" s="66"/>
      <c r="AC114" s="66"/>
      <c r="AD114" s="66"/>
      <c r="AE114" s="268" t="s">
        <v>325</v>
      </c>
    </row>
    <row r="115" spans="25:34">
      <c r="Y115" s="66">
        <v>8074</v>
      </c>
      <c r="Z115" s="66">
        <v>350000</v>
      </c>
      <c r="AA115" s="66">
        <v>350000</v>
      </c>
      <c r="AB115" s="66"/>
      <c r="AC115" s="66"/>
      <c r="AD115" s="66">
        <v>405</v>
      </c>
      <c r="AE115" s="282" t="s">
        <v>326</v>
      </c>
      <c r="AF115" s="281"/>
      <c r="AG115" s="281"/>
      <c r="AH115" s="281"/>
    </row>
    <row r="116" spans="25:34">
      <c r="Y116" s="66">
        <v>8207</v>
      </c>
      <c r="Z116" s="66">
        <v>1500000</v>
      </c>
      <c r="AA116" s="66">
        <v>1500000</v>
      </c>
      <c r="AB116" s="66"/>
      <c r="AC116" s="66"/>
      <c r="AD116" s="66">
        <v>1440</v>
      </c>
    </row>
    <row r="117" spans="25:34">
      <c r="Y117" s="66">
        <v>8230</v>
      </c>
      <c r="Z117" s="66">
        <v>400000</v>
      </c>
      <c r="AA117" s="66">
        <v>400000</v>
      </c>
      <c r="AB117" s="66"/>
      <c r="AC117" s="66"/>
      <c r="AD117" s="239"/>
    </row>
    <row r="118" spans="25:34">
      <c r="Y118" s="66">
        <v>8231</v>
      </c>
      <c r="Z118" s="66">
        <v>400000</v>
      </c>
      <c r="AA118" s="66">
        <v>400000</v>
      </c>
      <c r="AB118" s="66"/>
      <c r="AC118" s="66"/>
      <c r="AD118" s="239"/>
    </row>
    <row r="119" spans="25:34" ht="15.75">
      <c r="Y119" s="66"/>
      <c r="Z119" s="66"/>
      <c r="AA119" s="66"/>
      <c r="AB119" s="66"/>
      <c r="AC119" s="66"/>
      <c r="AD119" s="283">
        <f>SUM(AD104:AD118)</f>
        <v>109676</v>
      </c>
      <c r="AE119" t="s">
        <v>327</v>
      </c>
      <c r="AF119" t="s">
        <v>328</v>
      </c>
      <c r="AG119"/>
    </row>
    <row r="120" spans="25:34" ht="15.75">
      <c r="Y120" s="66"/>
      <c r="Z120" s="66"/>
      <c r="AA120" s="66"/>
      <c r="AB120" s="66"/>
      <c r="AC120" s="66"/>
      <c r="AD120" s="280">
        <f>AD119/340.75</f>
        <v>321.86647101980924</v>
      </c>
      <c r="AE120"/>
      <c r="AF120" s="66">
        <v>1200</v>
      </c>
      <c r="AG120"/>
    </row>
    <row r="121" spans="25:34">
      <c r="Y121" s="66">
        <v>7643</v>
      </c>
      <c r="Z121" s="66">
        <v>3000000</v>
      </c>
      <c r="AA121" s="66">
        <v>3000000</v>
      </c>
      <c r="AB121" s="66"/>
      <c r="AC121" s="66"/>
      <c r="AD121" s="66">
        <v>2781</v>
      </c>
      <c r="AE121" s="66"/>
      <c r="AF121" s="66">
        <v>10800</v>
      </c>
      <c r="AG121" s="66"/>
    </row>
    <row r="122" spans="25:34">
      <c r="Y122" s="66">
        <v>7809</v>
      </c>
      <c r="Z122" s="66">
        <v>1500000</v>
      </c>
      <c r="AA122" s="66">
        <v>50000</v>
      </c>
      <c r="AB122" s="66"/>
      <c r="AC122" s="66"/>
      <c r="AD122" s="66">
        <v>1431</v>
      </c>
      <c r="AE122" s="66"/>
      <c r="AF122" s="66">
        <v>1800</v>
      </c>
      <c r="AG122" s="66"/>
    </row>
    <row r="123" spans="25:34">
      <c r="Y123" s="66">
        <v>7810</v>
      </c>
      <c r="Z123" s="66">
        <v>2000000</v>
      </c>
      <c r="AA123" s="66">
        <v>50000</v>
      </c>
      <c r="AB123" s="66"/>
      <c r="AC123" s="66"/>
      <c r="AD123" s="66">
        <v>1881</v>
      </c>
      <c r="AE123" s="66"/>
      <c r="AF123" s="66">
        <v>1800</v>
      </c>
      <c r="AG123" s="66"/>
    </row>
    <row r="124" spans="25:34">
      <c r="Y124" s="66">
        <v>7811</v>
      </c>
      <c r="Z124" s="66">
        <v>300000</v>
      </c>
      <c r="AA124" s="66">
        <v>50000</v>
      </c>
      <c r="AB124" s="66"/>
      <c r="AC124" s="66"/>
      <c r="AD124" s="66">
        <v>351</v>
      </c>
      <c r="AE124" s="66"/>
      <c r="AF124" s="66">
        <v>1800</v>
      </c>
      <c r="AG124" s="66"/>
    </row>
    <row r="125" spans="25:34">
      <c r="Y125" s="66">
        <v>7813</v>
      </c>
      <c r="Z125" s="66">
        <v>300000</v>
      </c>
      <c r="AA125" s="66">
        <v>50000</v>
      </c>
      <c r="AB125" s="66"/>
      <c r="AC125" s="66"/>
      <c r="AD125" s="66">
        <v>351</v>
      </c>
      <c r="AE125" s="66"/>
      <c r="AF125" s="66">
        <v>1800</v>
      </c>
      <c r="AG125" s="66"/>
    </row>
    <row r="126" spans="25:34">
      <c r="Y126" s="66">
        <v>7037</v>
      </c>
      <c r="Z126" s="66">
        <v>1500000</v>
      </c>
      <c r="AA126" s="66">
        <v>1500000</v>
      </c>
      <c r="AB126" s="66"/>
      <c r="AC126" s="66"/>
      <c r="AD126" s="66">
        <v>1431</v>
      </c>
      <c r="AE126" s="66">
        <v>45000</v>
      </c>
      <c r="AF126" s="66">
        <v>9000</v>
      </c>
      <c r="AG126" s="66"/>
    </row>
    <row r="127" spans="25:34">
      <c r="Y127" s="66">
        <v>7169</v>
      </c>
      <c r="Z127" s="66">
        <v>210000</v>
      </c>
      <c r="AA127" s="66">
        <v>210000</v>
      </c>
      <c r="AB127" s="66"/>
      <c r="AC127" s="66"/>
      <c r="AD127" s="66">
        <v>270</v>
      </c>
      <c r="AE127" s="66"/>
      <c r="AF127" s="66"/>
      <c r="AG127" s="66"/>
    </row>
    <row r="128" spans="25:34">
      <c r="Y128" s="66">
        <v>7332</v>
      </c>
      <c r="Z128" s="66">
        <v>1600000</v>
      </c>
      <c r="AA128" s="66">
        <v>100000</v>
      </c>
      <c r="AB128" s="66"/>
      <c r="AC128" s="66"/>
      <c r="AD128" s="66">
        <v>1521</v>
      </c>
      <c r="AE128" s="66"/>
      <c r="AF128" s="66">
        <v>3600</v>
      </c>
      <c r="AG128" s="66"/>
    </row>
    <row r="129" spans="25:33">
      <c r="Y129" s="66">
        <v>6574</v>
      </c>
      <c r="Z129" s="66">
        <v>6000000</v>
      </c>
      <c r="AA129" s="66">
        <v>6000000</v>
      </c>
      <c r="AB129" s="66"/>
      <c r="AC129" s="66"/>
      <c r="AD129" s="66">
        <v>5481</v>
      </c>
      <c r="AE129" s="66">
        <v>30600</v>
      </c>
      <c r="AF129" s="66"/>
      <c r="AG129" s="66"/>
    </row>
    <row r="130" spans="25:33">
      <c r="Y130" s="66">
        <v>5734</v>
      </c>
      <c r="Z130" s="66">
        <v>3500000</v>
      </c>
      <c r="AA130" s="66">
        <v>1750000</v>
      </c>
      <c r="AB130" s="66"/>
      <c r="AC130" s="66"/>
      <c r="AD130" s="66">
        <v>2872</v>
      </c>
      <c r="AE130" s="66">
        <v>52500</v>
      </c>
      <c r="AF130" s="66">
        <v>10500</v>
      </c>
      <c r="AG130" s="66"/>
    </row>
    <row r="131" spans="25:33">
      <c r="Y131" s="66">
        <v>5735</v>
      </c>
      <c r="Z131" s="66">
        <v>100000</v>
      </c>
      <c r="AA131" s="66">
        <v>100000</v>
      </c>
      <c r="AB131" s="66"/>
      <c r="AC131" s="66"/>
      <c r="AD131" s="66">
        <v>152</v>
      </c>
      <c r="AE131" s="66">
        <v>3000</v>
      </c>
      <c r="AF131" s="66">
        <v>600</v>
      </c>
      <c r="AG131" s="66"/>
    </row>
    <row r="132" spans="25:33">
      <c r="Y132" s="66">
        <v>5736</v>
      </c>
      <c r="Z132" s="66">
        <v>800000</v>
      </c>
      <c r="AA132" s="245"/>
      <c r="AB132" s="66"/>
      <c r="AC132" s="66"/>
      <c r="AD132" s="66">
        <v>728</v>
      </c>
      <c r="AE132" s="66">
        <v>12000</v>
      </c>
      <c r="AF132" s="66">
        <v>4000</v>
      </c>
      <c r="AG132" s="66"/>
    </row>
    <row r="133" spans="25:33">
      <c r="Y133" s="66">
        <v>4852</v>
      </c>
      <c r="Z133" s="66">
        <v>200000</v>
      </c>
      <c r="AA133" s="66">
        <v>200000</v>
      </c>
      <c r="AB133" s="66"/>
      <c r="AC133" s="66"/>
      <c r="AD133" s="66">
        <v>200</v>
      </c>
      <c r="AE133" s="66">
        <v>5000</v>
      </c>
      <c r="AF133" s="66">
        <v>1200</v>
      </c>
      <c r="AG133" s="66"/>
    </row>
    <row r="134" spans="25:33" ht="15.75">
      <c r="Y134" s="66"/>
      <c r="Z134" s="66"/>
      <c r="AA134" s="66"/>
      <c r="AB134" s="66"/>
      <c r="AC134" s="66"/>
      <c r="AD134" s="283">
        <f>SUM(AD119:AD133)</f>
        <v>129447.86647101981</v>
      </c>
      <c r="AE134" s="283">
        <f>SUM(AE119:AE133)</f>
        <v>148100</v>
      </c>
      <c r="AF134" s="283">
        <f>SUM(AF119:AF133)+1200</f>
        <v>49300</v>
      </c>
      <c r="AG134" s="283"/>
    </row>
    <row r="135" spans="25:33" ht="15.75">
      <c r="Y135" s="66"/>
      <c r="Z135" s="66"/>
      <c r="AA135" s="66"/>
      <c r="AB135" s="66"/>
      <c r="AC135" s="66"/>
      <c r="AD135" s="280">
        <f>AD134/340.75</f>
        <v>379.89102412625033</v>
      </c>
      <c r="AE135" s="280">
        <f t="shared" ref="AE135:AF135" si="2">AE134/340.75</f>
        <v>434.62949376375644</v>
      </c>
      <c r="AF135" s="280">
        <f t="shared" si="2"/>
        <v>144.68085106382978</v>
      </c>
      <c r="AG135" s="66"/>
    </row>
    <row r="136" spans="25:33">
      <c r="Y136" s="66"/>
      <c r="Z136" s="66"/>
      <c r="AA136" s="66"/>
      <c r="AB136" s="66"/>
      <c r="AC136" s="66"/>
      <c r="AD136" s="66"/>
      <c r="AF136" s="66"/>
      <c r="AG136" s="66"/>
    </row>
    <row r="137" spans="25:33">
      <c r="Y137" s="66"/>
      <c r="Z137" s="66"/>
      <c r="AA137" s="66"/>
      <c r="AB137" s="66"/>
      <c r="AC137" s="66"/>
      <c r="AD137" s="66"/>
      <c r="AF137" s="66"/>
      <c r="AG137" s="66"/>
    </row>
    <row r="138" spans="25:33">
      <c r="Y138" s="66"/>
      <c r="Z138" s="66"/>
      <c r="AA138" s="66"/>
      <c r="AB138" s="66"/>
      <c r="AC138" s="66"/>
      <c r="AD138" s="66"/>
      <c r="AF138" s="66"/>
      <c r="AG138" s="66"/>
    </row>
    <row r="139" spans="25:33">
      <c r="Y139" s="66"/>
      <c r="Z139" s="66"/>
      <c r="AA139" s="66"/>
      <c r="AB139" s="66"/>
      <c r="AC139" s="66"/>
      <c r="AD139" s="66"/>
      <c r="AF139" s="66"/>
      <c r="AG139" s="66"/>
    </row>
    <row r="140" spans="25:33">
      <c r="Y140" s="66"/>
      <c r="Z140" s="66"/>
      <c r="AA140" s="66"/>
      <c r="AB140" s="66"/>
      <c r="AC140" s="66"/>
      <c r="AD140" s="66"/>
      <c r="AF140" s="66"/>
      <c r="AG140" s="66"/>
    </row>
    <row r="141" spans="25:33">
      <c r="Y141" s="66"/>
      <c r="Z141" s="66"/>
      <c r="AA141" s="66"/>
      <c r="AB141" s="66"/>
      <c r="AC141" s="66"/>
      <c r="AD141" s="66"/>
      <c r="AF141" s="66"/>
      <c r="AG141" s="66"/>
    </row>
    <row r="142" spans="25:33">
      <c r="Y142" s="66"/>
      <c r="Z142" s="66"/>
      <c r="AA142" s="66"/>
      <c r="AB142" s="66"/>
      <c r="AC142" s="66"/>
      <c r="AD142" s="66"/>
      <c r="AF142" s="66"/>
      <c r="AG142" s="66"/>
    </row>
    <row r="143" spans="25:33">
      <c r="Y143" s="66"/>
      <c r="Z143" s="66"/>
      <c r="AA143" s="66"/>
      <c r="AB143" s="66"/>
      <c r="AC143" s="66"/>
      <c r="AD143" s="66"/>
      <c r="AF143" s="66"/>
      <c r="AG143" s="66"/>
    </row>
    <row r="144" spans="25:33">
      <c r="Y144" s="66"/>
      <c r="Z144" s="66"/>
      <c r="AA144" s="66"/>
      <c r="AB144" s="66"/>
      <c r="AC144" s="66"/>
      <c r="AD144" s="66"/>
      <c r="AF144" s="66"/>
      <c r="AG144" s="66"/>
    </row>
    <row r="145" spans="25:30">
      <c r="Y145" s="66"/>
      <c r="Z145" s="66"/>
      <c r="AA145" s="66"/>
      <c r="AB145" s="66"/>
      <c r="AC145" s="66"/>
      <c r="AD145" s="66"/>
    </row>
    <row r="146" spans="25:30">
      <c r="Y146" s="66"/>
      <c r="Z146" s="66"/>
      <c r="AA146" s="66"/>
      <c r="AB146" s="66"/>
      <c r="AC146" s="66"/>
      <c r="AD146" s="66"/>
    </row>
    <row r="147" spans="25:30">
      <c r="Y147" s="66"/>
      <c r="Z147" s="66"/>
      <c r="AA147" s="66"/>
      <c r="AB147" s="66"/>
      <c r="AC147" s="66"/>
      <c r="AD147" s="66"/>
    </row>
    <row r="148" spans="25:30">
      <c r="Y148" s="66"/>
      <c r="Z148" s="66"/>
      <c r="AA148" s="66"/>
      <c r="AB148" s="66"/>
      <c r="AC148" s="66"/>
      <c r="AD148" s="66"/>
    </row>
    <row r="149" spans="25:30">
      <c r="Y149" s="66"/>
      <c r="Z149" s="66"/>
      <c r="AA149" s="66"/>
      <c r="AB149" s="66"/>
      <c r="AC149" s="66"/>
      <c r="AD149" s="66"/>
    </row>
    <row r="150" spans="25:30">
      <c r="Y150" s="66"/>
      <c r="Z150" s="66"/>
      <c r="AA150" s="66"/>
      <c r="AB150" s="66"/>
      <c r="AC150" s="66"/>
      <c r="AD150" s="66"/>
    </row>
    <row r="151" spans="25:30">
      <c r="Y151" s="66"/>
      <c r="Z151" s="66"/>
      <c r="AA151" s="66"/>
      <c r="AB151" s="66"/>
      <c r="AC151" s="66"/>
      <c r="AD151" s="66"/>
    </row>
    <row r="152" spans="25:30">
      <c r="Y152" s="66"/>
      <c r="Z152" s="66"/>
      <c r="AA152" s="66"/>
      <c r="AB152" s="66"/>
      <c r="AC152" s="66"/>
      <c r="AD152" s="66"/>
    </row>
    <row r="153" spans="25:30">
      <c r="Y153" s="66"/>
      <c r="Z153" s="66"/>
      <c r="AA153" s="66"/>
      <c r="AB153" s="66"/>
      <c r="AC153" s="66"/>
      <c r="AD153" s="66"/>
    </row>
    <row r="154" spans="25:30">
      <c r="Y154" s="66"/>
      <c r="Z154" s="66"/>
      <c r="AA154" s="66"/>
      <c r="AB154" s="66"/>
      <c r="AC154" s="66"/>
      <c r="AD154" s="66"/>
    </row>
    <row r="155" spans="25:30">
      <c r="Y155" s="66"/>
      <c r="Z155" s="66"/>
      <c r="AA155" s="66"/>
      <c r="AB155" s="66"/>
      <c r="AC155" s="66"/>
      <c r="AD155" s="66"/>
    </row>
    <row r="156" spans="25:30">
      <c r="Y156" s="66"/>
      <c r="Z156" s="66"/>
      <c r="AA156" s="66"/>
      <c r="AB156" s="66"/>
      <c r="AC156" s="66"/>
      <c r="AD156" s="66"/>
    </row>
    <row r="157" spans="25:30">
      <c r="Y157" s="66"/>
      <c r="Z157" s="66"/>
      <c r="AA157" s="66"/>
      <c r="AB157" s="66"/>
      <c r="AC157" s="66"/>
      <c r="AD157" s="66"/>
    </row>
    <row r="158" spans="25:30">
      <c r="Y158" s="66"/>
      <c r="Z158" s="66"/>
      <c r="AA158" s="66"/>
      <c r="AB158" s="66"/>
      <c r="AC158" s="66"/>
      <c r="AD158" s="66"/>
    </row>
    <row r="159" spans="25:30">
      <c r="Y159" s="66"/>
      <c r="Z159" s="66"/>
      <c r="AA159" s="66"/>
      <c r="AB159" s="66"/>
      <c r="AC159" s="66"/>
      <c r="AD159" s="66"/>
    </row>
    <row r="160" spans="25:30">
      <c r="Y160" s="66"/>
      <c r="Z160" s="66"/>
      <c r="AA160" s="66"/>
      <c r="AB160" s="66"/>
      <c r="AC160" s="66"/>
      <c r="AD160" s="66"/>
    </row>
  </sheetData>
  <mergeCells count="25">
    <mergeCell ref="AM1:AN1"/>
    <mergeCell ref="AO1:AP1"/>
    <mergeCell ref="AQ1:AR1"/>
    <mergeCell ref="U1:V1"/>
    <mergeCell ref="W1:X1"/>
    <mergeCell ref="Y1:Z1"/>
    <mergeCell ref="AA1:AB1"/>
    <mergeCell ref="AC1:AD1"/>
    <mergeCell ref="AE1:AF1"/>
    <mergeCell ref="BE1:BF1"/>
    <mergeCell ref="BG1:BH1"/>
    <mergeCell ref="A20:P20"/>
    <mergeCell ref="K23:Q23"/>
    <mergeCell ref="R37:R38"/>
    <mergeCell ref="U37:U38"/>
    <mergeCell ref="V37:V38"/>
    <mergeCell ref="AS1:AT1"/>
    <mergeCell ref="AU1:AV1"/>
    <mergeCell ref="AW1:AX1"/>
    <mergeCell ref="AY1:AZ1"/>
    <mergeCell ref="BA1:BB1"/>
    <mergeCell ref="BC1:BD1"/>
    <mergeCell ref="AG1:AH1"/>
    <mergeCell ref="AI1:AJ1"/>
    <mergeCell ref="AK1:AL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pane ySplit="1" topLeftCell="A2" activePane="bottomLeft" state="frozen"/>
      <selection pane="bottomLeft" activeCell="O26" sqref="O26"/>
    </sheetView>
  </sheetViews>
  <sheetFormatPr defaultRowHeight="15"/>
  <cols>
    <col min="1" max="1" width="5" style="22" bestFit="1" customWidth="1"/>
    <col min="2" max="7" width="8" style="22" bestFit="1" customWidth="1"/>
    <col min="8" max="9" width="7.109375" style="22" bestFit="1" customWidth="1"/>
    <col min="10" max="12" width="8" style="22" bestFit="1" customWidth="1"/>
    <col min="13" max="13" width="7.109375" style="22" bestFit="1" customWidth="1"/>
    <col min="14" max="14" width="11.44140625" style="22" customWidth="1"/>
    <col min="15" max="15" width="8.6640625" style="22" bestFit="1" customWidth="1"/>
    <col min="16" max="16" width="14.109375" style="22" bestFit="1" customWidth="1"/>
    <col min="17" max="17" width="8.6640625" style="22" bestFit="1" customWidth="1"/>
    <col min="18" max="16384" width="8.88671875" style="22"/>
  </cols>
  <sheetData>
    <row r="1" spans="1:17">
      <c r="A1" s="228"/>
      <c r="B1" s="87" t="s">
        <v>18</v>
      </c>
      <c r="C1" s="88" t="s">
        <v>19</v>
      </c>
      <c r="D1" s="87" t="s">
        <v>20</v>
      </c>
      <c r="E1" s="89" t="s">
        <v>21</v>
      </c>
      <c r="F1" s="87" t="s">
        <v>2</v>
      </c>
      <c r="G1" s="88" t="s">
        <v>22</v>
      </c>
      <c r="H1" s="87" t="s">
        <v>23</v>
      </c>
      <c r="I1" s="89" t="s">
        <v>24</v>
      </c>
      <c r="J1" s="87" t="s">
        <v>25</v>
      </c>
      <c r="K1" s="88" t="s">
        <v>26</v>
      </c>
      <c r="L1" s="87" t="s">
        <v>27</v>
      </c>
      <c r="M1" s="89" t="s">
        <v>28</v>
      </c>
      <c r="N1" s="90" t="s">
        <v>16</v>
      </c>
      <c r="O1" s="234" t="s">
        <v>74</v>
      </c>
      <c r="P1" s="235" t="s">
        <v>263</v>
      </c>
      <c r="Q1" s="234" t="s">
        <v>74</v>
      </c>
    </row>
    <row r="2" spans="1:17">
      <c r="A2" s="25">
        <v>1998</v>
      </c>
      <c r="B2" s="81"/>
      <c r="C2" s="81"/>
      <c r="D2" s="81"/>
      <c r="E2" s="81"/>
      <c r="F2" s="81"/>
      <c r="G2" s="81"/>
      <c r="H2" s="81"/>
      <c r="I2" s="27">
        <f>'[1]281φ1'!I2*6/9</f>
        <v>0</v>
      </c>
      <c r="J2" s="27">
        <f>'[1]281φ1'!J2*6/9</f>
        <v>0</v>
      </c>
      <c r="K2" s="27">
        <f>'[1]281φ1'!K2*6/9</f>
        <v>11.706666666666665</v>
      </c>
      <c r="L2" s="27">
        <f>'[1]281φ1'!L2*6/9</f>
        <v>0</v>
      </c>
      <c r="M2" s="27">
        <f>'[1]281φ1'!M2*6/9</f>
        <v>0</v>
      </c>
      <c r="N2" s="27">
        <f>'[1]281φ1'!N2*6/9</f>
        <v>11.706666666666665</v>
      </c>
      <c r="O2" s="36">
        <f>'[1]281φ1'!O2*6/9</f>
        <v>250.66666666666666</v>
      </c>
      <c r="P2" s="27">
        <f>'[1]281φ1'!P2*6/9</f>
        <v>3.5119999999999996</v>
      </c>
      <c r="Q2" s="36">
        <f>'[1]281φ1'!Q2*6/9</f>
        <v>75.199999999999989</v>
      </c>
    </row>
    <row r="3" spans="1:17">
      <c r="A3" s="28">
        <v>1999</v>
      </c>
      <c r="B3" s="27">
        <f>'[1]281φ1'!B3*6/9</f>
        <v>0</v>
      </c>
      <c r="C3" s="27">
        <f>'[1]281φ1'!C3*6/9</f>
        <v>0</v>
      </c>
      <c r="D3" s="27">
        <f>'[1]281φ1'!D3*6/9</f>
        <v>0</v>
      </c>
      <c r="E3" s="27">
        <f>'[1]281φ1'!E3*6/9</f>
        <v>0</v>
      </c>
      <c r="F3" s="27">
        <f>'[1]281φ1'!F3*6/9</f>
        <v>0</v>
      </c>
      <c r="G3" s="27">
        <f>'[1]281φ1'!G3*6/9</f>
        <v>2.4133333333333331</v>
      </c>
      <c r="H3" s="27">
        <f>'[1]281φ1'!H3*6/9</f>
        <v>0</v>
      </c>
      <c r="I3" s="27">
        <f>'[1]281φ1'!I3*6/9</f>
        <v>3.6799999999999997</v>
      </c>
      <c r="J3" s="27">
        <f>'[1]281φ1'!J3*6/9</f>
        <v>0</v>
      </c>
      <c r="K3" s="27">
        <f>'[1]281φ1'!K3*6/9</f>
        <v>0</v>
      </c>
      <c r="L3" s="27">
        <f>'[1]281φ1'!L3*6/9</f>
        <v>0</v>
      </c>
      <c r="M3" s="27">
        <f>'[1]281φ1'!M3*6/9</f>
        <v>0</v>
      </c>
      <c r="N3" s="27">
        <f>'[1]281φ1'!N3*6/9</f>
        <v>6.0933333333333337</v>
      </c>
      <c r="O3" s="36">
        <f>'[1]281φ1'!O3*6/9</f>
        <v>110.66666666666667</v>
      </c>
      <c r="P3" s="27">
        <f>'[1]281φ1'!P3*6/9</f>
        <v>1.8279999999999998</v>
      </c>
      <c r="Q3" s="36">
        <f>'[1]281φ1'!Q3*6/9</f>
        <v>33.199999999999996</v>
      </c>
    </row>
    <row r="4" spans="1:17">
      <c r="A4" s="28">
        <v>2000</v>
      </c>
      <c r="B4" s="27">
        <f>'[1]281φ1'!B4*6/9</f>
        <v>0</v>
      </c>
      <c r="C4" s="27">
        <f>'[1]281φ1'!C4*6/9</f>
        <v>0</v>
      </c>
      <c r="D4" s="27">
        <f>'[1]281φ1'!D4*6/9</f>
        <v>0</v>
      </c>
      <c r="E4" s="27">
        <f>'[1]281φ1'!E4*6/9</f>
        <v>0</v>
      </c>
      <c r="F4" s="27">
        <f>'[1]281φ1'!F4*6/9</f>
        <v>0</v>
      </c>
      <c r="G4" s="27">
        <f>'[1]281φ1'!G4*6/9</f>
        <v>0</v>
      </c>
      <c r="H4" s="27">
        <f>'[1]281φ1'!H4*6/9</f>
        <v>0</v>
      </c>
      <c r="I4" s="27">
        <f>'[1]281φ1'!I4*6/9</f>
        <v>0</v>
      </c>
      <c r="J4" s="27">
        <f>'[1]281φ1'!J4*6/9</f>
        <v>0</v>
      </c>
      <c r="K4" s="27">
        <f>'[1]281φ1'!K4*6/9</f>
        <v>0</v>
      </c>
      <c r="L4" s="27">
        <f>'[1]281φ1'!L4*6/9</f>
        <v>0</v>
      </c>
      <c r="M4" s="27">
        <f>'[1]281φ1'!M4*6/9</f>
        <v>0</v>
      </c>
      <c r="N4" s="27">
        <f>'[1]281φ1'!N4*6/9</f>
        <v>0</v>
      </c>
      <c r="O4" s="36">
        <f>'[1]281φ1'!O4*6/9</f>
        <v>0</v>
      </c>
      <c r="P4" s="27">
        <f>'[1]281φ1'!P4*6/9</f>
        <v>0</v>
      </c>
      <c r="Q4" s="36">
        <f>'[1]281φ1'!Q4*6/9</f>
        <v>0</v>
      </c>
    </row>
    <row r="5" spans="1:17">
      <c r="A5" s="28">
        <v>2001</v>
      </c>
      <c r="B5" s="27">
        <f>'[1]281φ1'!B5*6/9</f>
        <v>0</v>
      </c>
      <c r="C5" s="27">
        <f>'[1]281φ1'!C5*6/9</f>
        <v>0</v>
      </c>
      <c r="D5" s="27">
        <f>'[1]281φ1'!D5*6/9</f>
        <v>0</v>
      </c>
      <c r="E5" s="27">
        <f>'[1]281φ1'!E5*6/9</f>
        <v>0</v>
      </c>
      <c r="F5" s="27">
        <f>'[1]281φ1'!F5*6/9</f>
        <v>0</v>
      </c>
      <c r="G5" s="27">
        <f>'[1]281φ1'!G5*6/9</f>
        <v>0</v>
      </c>
      <c r="H5" s="27">
        <f>'[1]281φ1'!H5*6/9</f>
        <v>0</v>
      </c>
      <c r="I5" s="27">
        <f>'[1]281φ1'!I5*6/9</f>
        <v>0</v>
      </c>
      <c r="J5" s="27">
        <f>'[1]281φ1'!J5*6/9</f>
        <v>0</v>
      </c>
      <c r="K5" s="27">
        <f>'[1]281φ1'!K5*6/9</f>
        <v>0</v>
      </c>
      <c r="L5" s="27">
        <f>'[1]281φ1'!L5*6/9</f>
        <v>0</v>
      </c>
      <c r="M5" s="27">
        <f>'[1]281φ1'!M5*6/9</f>
        <v>4.3133333333333335</v>
      </c>
      <c r="N5" s="27">
        <f>'[1]281φ1'!N5*6/9</f>
        <v>4.3133333333333335</v>
      </c>
      <c r="O5" s="36">
        <f>'[1]281φ1'!O5*6/9</f>
        <v>54</v>
      </c>
      <c r="P5" s="27">
        <f>'[1]281φ1'!P5*6/9</f>
        <v>1.2939999999999998</v>
      </c>
      <c r="Q5" s="36">
        <f>'[1]281φ1'!Q5*6/9</f>
        <v>16.200000000000003</v>
      </c>
    </row>
    <row r="6" spans="1:17">
      <c r="A6" s="28">
        <v>2002</v>
      </c>
      <c r="B6" s="27">
        <f>'[1]281φ1'!B6*6/9</f>
        <v>0</v>
      </c>
      <c r="C6" s="27">
        <f>'[1]281φ1'!C6*6/9</f>
        <v>0</v>
      </c>
      <c r="D6" s="27">
        <f>'[1]281φ1'!D6*6/9</f>
        <v>0</v>
      </c>
      <c r="E6" s="27">
        <f>'[1]281φ1'!E6*6/9</f>
        <v>0</v>
      </c>
      <c r="F6" s="27">
        <f>'[1]281φ1'!F6*6/9</f>
        <v>0</v>
      </c>
      <c r="G6" s="27">
        <f>'[1]281φ1'!G6*6/9</f>
        <v>0</v>
      </c>
      <c r="H6" s="27">
        <f>'[1]281φ1'!H6*6/9</f>
        <v>0</v>
      </c>
      <c r="I6" s="27">
        <f>'[1]281φ1'!I6*6/9</f>
        <v>0</v>
      </c>
      <c r="J6" s="27">
        <f>'[1]281φ1'!J6*6/9</f>
        <v>1.3866666666666667</v>
      </c>
      <c r="K6" s="27">
        <f>'[1]281φ1'!K6*6/9</f>
        <v>0</v>
      </c>
      <c r="L6" s="27">
        <f>'[1]281φ1'!L6*6/9</f>
        <v>0</v>
      </c>
      <c r="M6" s="27">
        <f>'[1]281φ1'!M6*6/9</f>
        <v>0</v>
      </c>
      <c r="N6" s="27">
        <f>'[1]281φ1'!N6*6/9</f>
        <v>1.3866666666666667</v>
      </c>
      <c r="O6" s="36">
        <f>'[1]281φ1'!O6*6/9</f>
        <v>16</v>
      </c>
      <c r="P6" s="27">
        <f>'[1]281φ1'!P6*6/9</f>
        <v>0.41599999999999998</v>
      </c>
      <c r="Q6" s="36">
        <f>'[1]281φ1'!Q6*6/9</f>
        <v>4.8</v>
      </c>
    </row>
    <row r="7" spans="1:17">
      <c r="A7" s="28">
        <v>2003</v>
      </c>
      <c r="B7" s="27">
        <f>'[1]281φ1'!B7*6/9</f>
        <v>0</v>
      </c>
      <c r="C7" s="27">
        <f>'[1]281φ1'!C7*6/9</f>
        <v>0</v>
      </c>
      <c r="D7" s="27">
        <f>'[1]281φ1'!D7*6/9</f>
        <v>0</v>
      </c>
      <c r="E7" s="27">
        <f>'[1]281φ1'!E7*6/9</f>
        <v>0</v>
      </c>
      <c r="F7" s="27">
        <f>'[1]281φ1'!F7*6/9</f>
        <v>0</v>
      </c>
      <c r="G7" s="27">
        <f>'[1]281φ1'!G7*6/9</f>
        <v>0</v>
      </c>
      <c r="H7" s="27">
        <f>'[1]281φ1'!H7*6/9</f>
        <v>0</v>
      </c>
      <c r="I7" s="27">
        <f>'[1]281φ1'!I7*6/9</f>
        <v>0</v>
      </c>
      <c r="J7" s="27">
        <f>'[1]281φ1'!J7*6/9</f>
        <v>0</v>
      </c>
      <c r="K7" s="27">
        <f>'[1]281φ1'!K7*6/9</f>
        <v>0</v>
      </c>
      <c r="L7" s="27">
        <f>'[1]281φ1'!L7*6/9</f>
        <v>0</v>
      </c>
      <c r="M7" s="27">
        <f>'[1]281φ1'!M7*6/9</f>
        <v>0</v>
      </c>
      <c r="N7" s="27">
        <f>'[1]281φ1'!N7*6/9</f>
        <v>0</v>
      </c>
      <c r="O7" s="36">
        <f>'[1]281φ1'!O7*6/9</f>
        <v>0</v>
      </c>
      <c r="P7" s="27">
        <f>'[1]281φ1'!P7*6/9</f>
        <v>0</v>
      </c>
      <c r="Q7" s="36">
        <f>'[1]281φ1'!Q7*6/9</f>
        <v>0</v>
      </c>
    </row>
    <row r="8" spans="1:17">
      <c r="A8" s="28">
        <v>2004</v>
      </c>
      <c r="B8" s="27">
        <f>'[1]281φ1'!B8*6/9</f>
        <v>0</v>
      </c>
      <c r="C8" s="27">
        <f>'[1]281φ1'!C8*6/9</f>
        <v>24.833333333333332</v>
      </c>
      <c r="D8" s="27">
        <f>'[1]281φ1'!D8*6/9</f>
        <v>0</v>
      </c>
      <c r="E8" s="27">
        <f>'[1]281φ1'!E8*6/9</f>
        <v>0</v>
      </c>
      <c r="F8" s="27">
        <f>'[1]281φ1'!F8*6/9</f>
        <v>0</v>
      </c>
      <c r="G8" s="27">
        <f>'[1]281φ1'!G8*6/9</f>
        <v>0</v>
      </c>
      <c r="H8" s="27">
        <f>'[1]281φ1'!H8*6/9</f>
        <v>0</v>
      </c>
      <c r="I8" s="27">
        <f>'[1]281φ1'!I8*6/9</f>
        <v>0</v>
      </c>
      <c r="J8" s="27">
        <f>'[1]281φ1'!J8*6/9</f>
        <v>0</v>
      </c>
      <c r="K8" s="27">
        <f>'[1]281φ1'!K8*6/9</f>
        <v>0</v>
      </c>
      <c r="L8" s="27">
        <f>'[1]281φ1'!L8*6/9</f>
        <v>0</v>
      </c>
      <c r="M8" s="27">
        <f>'[1]281φ1'!M8*6/9</f>
        <v>0</v>
      </c>
      <c r="N8" s="27">
        <f>'[1]281φ1'!N8*6/9</f>
        <v>24.833333333333332</v>
      </c>
      <c r="O8" s="36">
        <f>'[1]281φ1'!O8*6/9</f>
        <v>249.33333333333334</v>
      </c>
      <c r="P8" s="27">
        <f>'[1]281φ1'!P8*6/9</f>
        <v>7.4499999999999993</v>
      </c>
      <c r="Q8" s="36">
        <f>'[1]281φ1'!Q8*6/9</f>
        <v>74.800000000000011</v>
      </c>
    </row>
    <row r="9" spans="1:17">
      <c r="A9" s="28">
        <v>2005</v>
      </c>
      <c r="B9" s="27">
        <f>'[1]281φ1'!B9*6/9</f>
        <v>0</v>
      </c>
      <c r="C9" s="27">
        <f>'[1]281φ1'!C9*6/9</f>
        <v>0</v>
      </c>
      <c r="D9" s="27">
        <f>'[1]281φ1'!D9*6/9</f>
        <v>0</v>
      </c>
      <c r="E9" s="27">
        <f>'[1]281φ1'!E9*6/9</f>
        <v>0</v>
      </c>
      <c r="F9" s="27">
        <f>'[1]281φ1'!F9*6/9</f>
        <v>0</v>
      </c>
      <c r="G9" s="27">
        <f>'[1]281φ1'!G9*6/9</f>
        <v>0</v>
      </c>
      <c r="H9" s="27">
        <f>'[1]281φ1'!H9*6/9</f>
        <v>0</v>
      </c>
      <c r="I9" s="27">
        <f>'[1]281φ1'!I9*6/9</f>
        <v>0</v>
      </c>
      <c r="J9" s="27">
        <f>'[1]281φ1'!J9*6/9</f>
        <v>0</v>
      </c>
      <c r="K9" s="27">
        <f>'[1]281φ1'!K9*6/9</f>
        <v>0</v>
      </c>
      <c r="L9" s="27">
        <f>'[1]281φ1'!L9*6/9</f>
        <v>0</v>
      </c>
      <c r="M9" s="27">
        <f>'[1]281φ1'!M9*6/9</f>
        <v>0</v>
      </c>
      <c r="N9" s="27">
        <f>'[1]281φ1'!N9*6/9</f>
        <v>0</v>
      </c>
      <c r="O9" s="36">
        <f>'[1]281φ1'!O9*6/9</f>
        <v>0</v>
      </c>
      <c r="P9" s="27">
        <f>'[1]281φ1'!P9*6/9</f>
        <v>0</v>
      </c>
      <c r="Q9" s="36">
        <f>'[1]281φ1'!Q9*6/9</f>
        <v>0</v>
      </c>
    </row>
    <row r="10" spans="1:17">
      <c r="A10" s="28">
        <v>2006</v>
      </c>
      <c r="B10" s="27">
        <f>'[1]281φ1'!B10*6/9</f>
        <v>0</v>
      </c>
      <c r="C10" s="27">
        <f>'[1]281φ1'!C10*6/9</f>
        <v>0</v>
      </c>
      <c r="D10" s="27">
        <f>'[1]281φ1'!D10*6/9</f>
        <v>0</v>
      </c>
      <c r="E10" s="27">
        <f>'[1]281φ1'!E10*6/9</f>
        <v>0</v>
      </c>
      <c r="F10" s="27">
        <f>'[1]281φ1'!F10*6/9</f>
        <v>0</v>
      </c>
      <c r="G10" s="27">
        <f>'[1]281φ1'!G10*6/9</f>
        <v>0</v>
      </c>
      <c r="H10" s="27">
        <f>'[1]281φ1'!H10*6/9</f>
        <v>0</v>
      </c>
      <c r="I10" s="27">
        <f>'[1]281φ1'!I10*6/9</f>
        <v>0</v>
      </c>
      <c r="J10" s="27">
        <f>'[1]281φ1'!J10*6/9</f>
        <v>0</v>
      </c>
      <c r="K10" s="27">
        <f>'[1]281φ1'!K10*6/9</f>
        <v>0</v>
      </c>
      <c r="L10" s="27">
        <f>'[1]281φ1'!L10*6/9</f>
        <v>0</v>
      </c>
      <c r="M10" s="27">
        <f>'[1]281φ1'!M10*6/9</f>
        <v>0</v>
      </c>
      <c r="N10" s="27">
        <f>'[1]281φ1'!N10*6/9</f>
        <v>0</v>
      </c>
      <c r="O10" s="36">
        <f>'[1]281φ1'!O10*6/9</f>
        <v>0</v>
      </c>
      <c r="P10" s="27">
        <f>'[1]281φ1'!P10*6/9</f>
        <v>0</v>
      </c>
      <c r="Q10" s="36">
        <f>'[1]281φ1'!Q10*6/9</f>
        <v>0</v>
      </c>
    </row>
    <row r="11" spans="1:17">
      <c r="A11" s="28">
        <v>2007</v>
      </c>
      <c r="B11" s="27">
        <f>'[1]281φ1'!B11*6/9</f>
        <v>0</v>
      </c>
      <c r="C11" s="27">
        <f>'[1]281φ1'!C11*6/9</f>
        <v>0</v>
      </c>
      <c r="D11" s="27">
        <f>'[1]281φ1'!D11*6/9</f>
        <v>0</v>
      </c>
      <c r="E11" s="27">
        <f>'[1]281φ1'!E11*6/9</f>
        <v>0</v>
      </c>
      <c r="F11" s="27">
        <f>'[1]281φ1'!F11*6/9</f>
        <v>0</v>
      </c>
      <c r="G11" s="27">
        <f>'[1]281φ1'!G11*6/9</f>
        <v>0</v>
      </c>
      <c r="H11" s="27">
        <f>'[1]281φ1'!H11*6/9</f>
        <v>0</v>
      </c>
      <c r="I11" s="27">
        <f>'[1]281φ1'!I11*6/9</f>
        <v>0</v>
      </c>
      <c r="J11" s="27">
        <f>'[1]281φ1'!J11*6/9</f>
        <v>0</v>
      </c>
      <c r="K11" s="27">
        <f>'[1]281φ1'!K11*6/9</f>
        <v>0</v>
      </c>
      <c r="L11" s="27">
        <f>'[1]281φ1'!L11*6/9</f>
        <v>0</v>
      </c>
      <c r="M11" s="27">
        <f>'[1]281φ1'!M11*6/9</f>
        <v>0</v>
      </c>
      <c r="N11" s="27">
        <f>'[1]281φ1'!N11*6/9</f>
        <v>0</v>
      </c>
      <c r="O11" s="36">
        <f>'[1]281φ1'!O11*6/9</f>
        <v>0</v>
      </c>
      <c r="P11" s="27">
        <f>'[1]281φ1'!P11*6/9</f>
        <v>0</v>
      </c>
      <c r="Q11" s="36">
        <f>'[1]281φ1'!Q11*6/9</f>
        <v>0</v>
      </c>
    </row>
    <row r="12" spans="1:17">
      <c r="A12" s="28">
        <v>2008</v>
      </c>
      <c r="B12" s="27">
        <f>'[1]281φ1'!B12*6/9</f>
        <v>0</v>
      </c>
      <c r="C12" s="27">
        <f>'[1]281φ1'!C12*6/9</f>
        <v>0</v>
      </c>
      <c r="D12" s="27">
        <f>'[1]281φ1'!D12*6/9</f>
        <v>0</v>
      </c>
      <c r="E12" s="27">
        <f>'[1]281φ1'!E12*6/9</f>
        <v>0</v>
      </c>
      <c r="F12" s="27">
        <f>'[1]281φ1'!F12*6/9</f>
        <v>0</v>
      </c>
      <c r="G12" s="27">
        <f>'[1]281φ1'!G12*6/9</f>
        <v>0</v>
      </c>
      <c r="H12" s="27">
        <f>'[1]281φ1'!H12*6/9</f>
        <v>0</v>
      </c>
      <c r="I12" s="27">
        <f>'[1]281φ1'!I12*6/9</f>
        <v>0</v>
      </c>
      <c r="J12" s="27">
        <f>'[1]281φ1'!J12*6/9</f>
        <v>0</v>
      </c>
      <c r="K12" s="27">
        <f>'[1]281φ1'!K12*6/9</f>
        <v>0</v>
      </c>
      <c r="L12" s="27">
        <f>'[1]281φ1'!L12*6/9</f>
        <v>0</v>
      </c>
      <c r="M12" s="27">
        <f>'[1]281φ1'!M12*6/9</f>
        <v>0</v>
      </c>
      <c r="N12" s="27">
        <f>'[1]281φ1'!N12*6/9</f>
        <v>0</v>
      </c>
      <c r="O12" s="36">
        <f>'[1]281φ1'!O12*6/9</f>
        <v>0</v>
      </c>
      <c r="P12" s="27">
        <f>'[1]281φ1'!P12*6/9</f>
        <v>0</v>
      </c>
      <c r="Q12" s="36">
        <f>'[1]281φ1'!Q12*6/9</f>
        <v>0</v>
      </c>
    </row>
    <row r="13" spans="1:17">
      <c r="A13" s="28">
        <v>2009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5"/>
      <c r="O13" s="514"/>
      <c r="P13" s="35"/>
      <c r="Q13" s="514"/>
    </row>
    <row r="14" spans="1:17">
      <c r="A14" s="28">
        <v>2010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5"/>
      <c r="O14" s="514"/>
      <c r="P14" s="35"/>
      <c r="Q14" s="514"/>
    </row>
    <row r="15" spans="1:17">
      <c r="A15" s="28">
        <v>2011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5"/>
      <c r="O15" s="514"/>
      <c r="P15" s="35"/>
      <c r="Q15" s="514"/>
    </row>
    <row r="16" spans="1:17">
      <c r="A16" s="28">
        <v>2012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5"/>
      <c r="O16" s="514"/>
      <c r="P16" s="35"/>
      <c r="Q16" s="514"/>
    </row>
    <row r="17" spans="1:17">
      <c r="A17" s="28">
        <v>2013</v>
      </c>
      <c r="B17" s="33"/>
      <c r="C17" s="33"/>
      <c r="D17" s="33"/>
      <c r="E17" s="33"/>
      <c r="F17" s="33"/>
      <c r="G17" s="29"/>
      <c r="H17" s="29"/>
      <c r="I17" s="29"/>
      <c r="J17" s="29"/>
      <c r="K17" s="29"/>
      <c r="L17" s="29"/>
      <c r="M17" s="29"/>
      <c r="N17" s="26"/>
      <c r="O17" s="230"/>
      <c r="P17" s="26"/>
      <c r="Q17" s="230"/>
    </row>
    <row r="18" spans="1:17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67">
        <f>SUM(N2:N17)</f>
        <v>48.333333333333329</v>
      </c>
      <c r="O18" s="106">
        <f>SUM(O2:O17)</f>
        <v>680.66666666666663</v>
      </c>
      <c r="P18" s="67">
        <f>SUM(P2:P17)</f>
        <v>14.5</v>
      </c>
      <c r="Q18" s="106">
        <f>SUM(Q2:Q17)</f>
        <v>204.2</v>
      </c>
    </row>
    <row r="19" spans="1:17" ht="15.75">
      <c r="P19" s="232">
        <v>299</v>
      </c>
    </row>
    <row r="20" spans="1:17" ht="15.75">
      <c r="A20" s="577" t="s">
        <v>264</v>
      </c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</row>
    <row r="21" spans="1:17" ht="15.75">
      <c r="C21" s="91"/>
      <c r="D21" s="91"/>
      <c r="E21" s="91"/>
      <c r="L21" s="30"/>
    </row>
  </sheetData>
  <mergeCells count="1">
    <mergeCell ref="A20:P2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pane ySplit="1" topLeftCell="A2" activePane="bottomLeft" state="frozen"/>
      <selection pane="bottomLeft" activeCell="O30" sqref="O30"/>
    </sheetView>
  </sheetViews>
  <sheetFormatPr defaultRowHeight="15"/>
  <cols>
    <col min="1" max="1" width="4.88671875" style="22" customWidth="1"/>
    <col min="2" max="2" width="7.33203125" style="22" bestFit="1" customWidth="1"/>
    <col min="3" max="3" width="8.21875" style="22" bestFit="1" customWidth="1"/>
    <col min="4" max="8" width="7" style="22" bestFit="1" customWidth="1"/>
    <col min="9" max="9" width="8.109375" style="22" bestFit="1" customWidth="1"/>
    <col min="10" max="10" width="7" style="22" bestFit="1" customWidth="1"/>
    <col min="11" max="11" width="8" style="22" bestFit="1" customWidth="1"/>
    <col min="12" max="12" width="7" style="22" bestFit="1" customWidth="1"/>
    <col min="13" max="13" width="8.21875" style="22" bestFit="1" customWidth="1"/>
    <col min="14" max="14" width="9.6640625" style="22" bestFit="1" customWidth="1"/>
    <col min="15" max="16" width="9" style="22" customWidth="1"/>
    <col min="17" max="17" width="14.6640625" style="22" customWidth="1"/>
    <col min="18" max="18" width="8.88671875" style="22" bestFit="1" customWidth="1"/>
    <col min="19" max="19" width="3.21875" style="22" bestFit="1" customWidth="1"/>
    <col min="20" max="20" width="3.21875" style="22" customWidth="1"/>
    <col min="21" max="21" width="8.88671875" style="22"/>
    <col min="22" max="22" width="9" style="22" bestFit="1" customWidth="1"/>
    <col min="23" max="16384" width="8.88671875" style="22"/>
  </cols>
  <sheetData>
    <row r="1" spans="1:22" ht="15.75" thickBot="1">
      <c r="A1" s="73"/>
      <c r="B1" s="223" t="s">
        <v>18</v>
      </c>
      <c r="C1" s="224" t="s">
        <v>19</v>
      </c>
      <c r="D1" s="223" t="s">
        <v>20</v>
      </c>
      <c r="E1" s="225" t="s">
        <v>21</v>
      </c>
      <c r="F1" s="223" t="s">
        <v>2</v>
      </c>
      <c r="G1" s="224" t="s">
        <v>22</v>
      </c>
      <c r="H1" s="223" t="s">
        <v>23</v>
      </c>
      <c r="I1" s="225" t="s">
        <v>24</v>
      </c>
      <c r="J1" s="223" t="s">
        <v>25</v>
      </c>
      <c r="K1" s="224" t="s">
        <v>26</v>
      </c>
      <c r="L1" s="223" t="s">
        <v>27</v>
      </c>
      <c r="M1" s="225" t="s">
        <v>28</v>
      </c>
      <c r="N1" s="226" t="s">
        <v>260</v>
      </c>
      <c r="O1" s="226" t="s">
        <v>261</v>
      </c>
      <c r="P1" s="226" t="s">
        <v>74</v>
      </c>
      <c r="Q1" s="231" t="s">
        <v>263</v>
      </c>
      <c r="R1" s="226" t="s">
        <v>74</v>
      </c>
    </row>
    <row r="2" spans="1:22">
      <c r="A2" s="25">
        <v>1998</v>
      </c>
      <c r="B2" s="230"/>
      <c r="C2" s="230"/>
      <c r="D2" s="230"/>
      <c r="E2" s="230"/>
      <c r="F2" s="230"/>
      <c r="G2" s="230"/>
      <c r="H2" s="230"/>
      <c r="I2" s="36"/>
      <c r="J2" s="36"/>
      <c r="K2" s="36">
        <v>5685</v>
      </c>
      <c r="L2" s="36"/>
      <c r="M2" s="36"/>
      <c r="N2" s="106">
        <f t="shared" ref="N2:N4" si="0">SUM(B2:M2)</f>
        <v>5685</v>
      </c>
      <c r="O2" s="27">
        <f t="shared" ref="O2:O3" si="1">N2/340.75</f>
        <v>16.683785766691123</v>
      </c>
      <c r="P2" s="36">
        <v>192</v>
      </c>
      <c r="Q2" s="27">
        <f>O2*30%</f>
        <v>5.0051357300073365</v>
      </c>
      <c r="R2" s="36">
        <f>P2*30%</f>
        <v>57.599999999999994</v>
      </c>
    </row>
    <row r="3" spans="1:22">
      <c r="A3" s="28">
        <v>1999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>
        <f t="shared" si="0"/>
        <v>0</v>
      </c>
      <c r="O3" s="27">
        <f t="shared" si="1"/>
        <v>0</v>
      </c>
      <c r="P3" s="36"/>
      <c r="Q3" s="27">
        <f t="shared" ref="Q3:Q7" si="2">O3*30%</f>
        <v>0</v>
      </c>
      <c r="R3" s="36">
        <f t="shared" ref="R3:R7" si="3">P3*30%</f>
        <v>0</v>
      </c>
    </row>
    <row r="4" spans="1:22">
      <c r="A4" s="28">
        <v>2000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>
        <f t="shared" si="0"/>
        <v>0</v>
      </c>
      <c r="O4" s="27">
        <f>N4/340.75</f>
        <v>0</v>
      </c>
      <c r="P4" s="36"/>
      <c r="Q4" s="27">
        <f t="shared" si="2"/>
        <v>0</v>
      </c>
      <c r="R4" s="36">
        <f t="shared" si="3"/>
        <v>0</v>
      </c>
    </row>
    <row r="5" spans="1:22">
      <c r="A5" s="28">
        <v>2001</v>
      </c>
      <c r="B5" s="39"/>
      <c r="C5" s="39"/>
      <c r="D5" s="29"/>
      <c r="E5" s="29"/>
      <c r="F5" s="29"/>
      <c r="G5" s="29"/>
      <c r="H5" s="29"/>
      <c r="I5" s="29"/>
      <c r="J5" s="29"/>
      <c r="K5" s="29"/>
      <c r="L5" s="29"/>
      <c r="M5" s="29"/>
      <c r="N5" s="106">
        <f>B5+C5</f>
        <v>0</v>
      </c>
      <c r="O5" s="27">
        <f>(N5/340.75)+D5+E5+F5+G5+H5+I5+J5+K5+L5+M5</f>
        <v>0</v>
      </c>
      <c r="P5" s="36"/>
      <c r="Q5" s="27">
        <f t="shared" si="2"/>
        <v>0</v>
      </c>
      <c r="R5" s="36">
        <f t="shared" si="3"/>
        <v>0</v>
      </c>
    </row>
    <row r="6" spans="1:22">
      <c r="A6" s="28">
        <v>2002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67"/>
      <c r="O6" s="27">
        <f>SUM(B6:N6)</f>
        <v>0</v>
      </c>
      <c r="P6" s="36"/>
      <c r="Q6" s="27">
        <f t="shared" si="2"/>
        <v>0</v>
      </c>
      <c r="R6" s="36">
        <f t="shared" si="3"/>
        <v>0</v>
      </c>
    </row>
    <row r="7" spans="1:22">
      <c r="A7" s="28">
        <v>2003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67"/>
      <c r="O7" s="27">
        <f t="shared" ref="O7" si="4">SUM(B7:N7)</f>
        <v>0</v>
      </c>
      <c r="P7" s="36"/>
      <c r="Q7" s="27">
        <f t="shared" si="2"/>
        <v>0</v>
      </c>
      <c r="R7" s="36">
        <f t="shared" si="3"/>
        <v>0</v>
      </c>
    </row>
    <row r="8" spans="1:22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06">
        <f>SUM(N2:N7)</f>
        <v>5685</v>
      </c>
      <c r="O8" s="67">
        <f>SUM(O2:O7)</f>
        <v>16.683785766691123</v>
      </c>
      <c r="P8" s="106">
        <f>SUM(P2:P7)</f>
        <v>192</v>
      </c>
      <c r="Q8" s="67">
        <f>SUM(Q2:Q7)</f>
        <v>5.0051357300073365</v>
      </c>
      <c r="R8" s="106">
        <f>SUM(R2:R7)</f>
        <v>57.599999999999994</v>
      </c>
      <c r="V8" s="31"/>
    </row>
    <row r="9" spans="1:22" ht="15.75">
      <c r="Q9" s="232">
        <v>299</v>
      </c>
    </row>
    <row r="10" spans="1:22" ht="15.75">
      <c r="A10" s="538" t="s">
        <v>424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</row>
    <row r="13" spans="1:22">
      <c r="I13" s="22" t="s">
        <v>262</v>
      </c>
    </row>
  </sheetData>
  <mergeCells count="1">
    <mergeCell ref="A10:R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workbookViewId="0">
      <selection activeCell="K4" sqref="K4"/>
    </sheetView>
  </sheetViews>
  <sheetFormatPr defaultRowHeight="11.25"/>
  <cols>
    <col min="1" max="1" width="3.88671875" style="1" bestFit="1" customWidth="1"/>
    <col min="2" max="2" width="7.33203125" style="1" bestFit="1" customWidth="1"/>
    <col min="3" max="3" width="6.33203125" style="1" bestFit="1" customWidth="1"/>
    <col min="4" max="4" width="7.33203125" style="1" bestFit="1" customWidth="1"/>
    <col min="5" max="5" width="6" style="1" bestFit="1" customWidth="1"/>
    <col min="6" max="6" width="7.33203125" style="1" bestFit="1" customWidth="1"/>
    <col min="7" max="7" width="6" style="1" bestFit="1" customWidth="1"/>
    <col min="8" max="8" width="8" style="1" bestFit="1" customWidth="1"/>
    <col min="9" max="9" width="6.33203125" style="1" bestFit="1" customWidth="1"/>
    <col min="10" max="10" width="7.33203125" style="1" bestFit="1" customWidth="1"/>
    <col min="11" max="11" width="6.33203125" style="1" bestFit="1" customWidth="1"/>
    <col min="12" max="12" width="7.33203125" style="1" bestFit="1" customWidth="1"/>
    <col min="13" max="13" width="6" style="1" bestFit="1" customWidth="1"/>
    <col min="14" max="14" width="7.33203125" style="1" bestFit="1" customWidth="1"/>
    <col min="15" max="15" width="6" style="1" bestFit="1" customWidth="1"/>
    <col min="16" max="16" width="7.33203125" style="1" bestFit="1" customWidth="1"/>
    <col min="17" max="17" width="6.33203125" style="1" bestFit="1" customWidth="1"/>
    <col min="18" max="24" width="7.109375" style="1" customWidth="1"/>
    <col min="25" max="25" width="6.33203125" style="1" bestFit="1" customWidth="1"/>
    <col min="26" max="26" width="6.6640625" style="1" customWidth="1"/>
    <col min="27" max="27" width="8.77734375" style="1" customWidth="1"/>
    <col min="28" max="28" width="9.5546875" style="1" bestFit="1" customWidth="1"/>
    <col min="29" max="16384" width="8.88671875" style="1"/>
  </cols>
  <sheetData>
    <row r="1" spans="1:29">
      <c r="A1" s="529"/>
      <c r="B1" s="527" t="s">
        <v>18</v>
      </c>
      <c r="C1" s="551"/>
      <c r="D1" s="522" t="s">
        <v>19</v>
      </c>
      <c r="E1" s="523"/>
      <c r="F1" s="527" t="s">
        <v>20</v>
      </c>
      <c r="G1" s="551"/>
      <c r="H1" s="520" t="s">
        <v>21</v>
      </c>
      <c r="I1" s="537"/>
      <c r="J1" s="527" t="s">
        <v>2</v>
      </c>
      <c r="K1" s="551"/>
      <c r="L1" s="522" t="s">
        <v>22</v>
      </c>
      <c r="M1" s="523"/>
      <c r="N1" s="527" t="s">
        <v>23</v>
      </c>
      <c r="O1" s="551"/>
      <c r="P1" s="520" t="s">
        <v>24</v>
      </c>
      <c r="Q1" s="537"/>
      <c r="R1" s="527" t="s">
        <v>25</v>
      </c>
      <c r="S1" s="551"/>
      <c r="T1" s="522" t="s">
        <v>26</v>
      </c>
      <c r="U1" s="523"/>
      <c r="V1" s="527" t="s">
        <v>27</v>
      </c>
      <c r="W1" s="551"/>
      <c r="X1" s="520" t="s">
        <v>28</v>
      </c>
      <c r="Y1" s="521"/>
      <c r="Z1" s="555" t="s">
        <v>34</v>
      </c>
      <c r="AA1" s="554" t="s">
        <v>16</v>
      </c>
      <c r="AB1" s="554"/>
    </row>
    <row r="2" spans="1:29" ht="11.25" customHeight="1" thickBot="1">
      <c r="A2" s="530"/>
      <c r="B2" s="17" t="s">
        <v>29</v>
      </c>
      <c r="C2" s="18" t="s">
        <v>30</v>
      </c>
      <c r="D2" s="17" t="s">
        <v>29</v>
      </c>
      <c r="E2" s="19" t="s">
        <v>30</v>
      </c>
      <c r="F2" s="17" t="s">
        <v>29</v>
      </c>
      <c r="G2" s="18" t="s">
        <v>30</v>
      </c>
      <c r="H2" s="17" t="s">
        <v>29</v>
      </c>
      <c r="I2" s="20" t="s">
        <v>30</v>
      </c>
      <c r="J2" s="17" t="s">
        <v>29</v>
      </c>
      <c r="K2" s="18" t="s">
        <v>30</v>
      </c>
      <c r="L2" s="17" t="s">
        <v>29</v>
      </c>
      <c r="M2" s="19" t="s">
        <v>30</v>
      </c>
      <c r="N2" s="17" t="s">
        <v>29</v>
      </c>
      <c r="O2" s="18" t="s">
        <v>30</v>
      </c>
      <c r="P2" s="17" t="s">
        <v>29</v>
      </c>
      <c r="Q2" s="20" t="s">
        <v>30</v>
      </c>
      <c r="R2" s="17" t="s">
        <v>29</v>
      </c>
      <c r="S2" s="18" t="s">
        <v>30</v>
      </c>
      <c r="T2" s="17" t="s">
        <v>29</v>
      </c>
      <c r="U2" s="19" t="s">
        <v>30</v>
      </c>
      <c r="V2" s="17" t="s">
        <v>29</v>
      </c>
      <c r="W2" s="18" t="s">
        <v>30</v>
      </c>
      <c r="X2" s="17" t="s">
        <v>29</v>
      </c>
      <c r="Y2" s="21" t="s">
        <v>30</v>
      </c>
      <c r="Z2" s="556"/>
      <c r="AA2" s="217" t="s">
        <v>43</v>
      </c>
      <c r="AB2" s="40" t="s">
        <v>32</v>
      </c>
      <c r="AC2" s="1" t="s">
        <v>92</v>
      </c>
    </row>
    <row r="3" spans="1:29">
      <c r="A3" s="23">
        <v>1998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42">
        <v>337.75</v>
      </c>
      <c r="Q3" s="42">
        <v>283.27</v>
      </c>
      <c r="R3" s="121">
        <v>448.24</v>
      </c>
      <c r="S3" s="41"/>
      <c r="T3" s="42">
        <v>2542.71</v>
      </c>
      <c r="U3" s="42">
        <v>699.74</v>
      </c>
      <c r="V3" s="42">
        <v>15.26</v>
      </c>
      <c r="W3" s="41"/>
      <c r="X3" s="42">
        <v>2377.92</v>
      </c>
      <c r="Y3" s="42">
        <v>203.03</v>
      </c>
      <c r="Z3" s="42"/>
      <c r="AA3" s="42">
        <f>B3+D3+F3+H3+J3+L3+N3+P3+R3+T3+V3+X3</f>
        <v>5721.88</v>
      </c>
      <c r="AB3" s="42">
        <f>C3+E3+G3+I3+K3+M3+O3+Q3+S3+U3+W3+Y3</f>
        <v>1186.04</v>
      </c>
      <c r="AC3" s="58">
        <v>1920.85</v>
      </c>
    </row>
    <row r="4" spans="1:29">
      <c r="A4" s="2">
        <v>1999</v>
      </c>
      <c r="B4" s="43">
        <v>967.63</v>
      </c>
      <c r="C4" s="54"/>
      <c r="D4" s="43">
        <v>29.58</v>
      </c>
      <c r="E4" s="62"/>
      <c r="F4" s="43">
        <v>1448.89</v>
      </c>
      <c r="G4" s="54"/>
      <c r="H4" s="43">
        <v>57.32</v>
      </c>
      <c r="I4" s="43">
        <v>34.39</v>
      </c>
      <c r="J4" s="43">
        <v>111.14</v>
      </c>
      <c r="K4" s="43">
        <v>108.14</v>
      </c>
      <c r="L4" s="43">
        <v>1128.52</v>
      </c>
      <c r="M4" s="54"/>
      <c r="N4" s="43">
        <v>689.51</v>
      </c>
      <c r="O4" s="54"/>
      <c r="P4" s="43">
        <v>2726.23</v>
      </c>
      <c r="Q4" s="54"/>
      <c r="R4" s="43">
        <v>1232.1099999999999</v>
      </c>
      <c r="S4" s="54"/>
      <c r="T4" s="5"/>
      <c r="U4" s="5"/>
      <c r="V4" s="5"/>
      <c r="W4" s="5"/>
      <c r="X4" s="43">
        <v>451.26</v>
      </c>
      <c r="Y4" s="54"/>
      <c r="Z4" s="43"/>
      <c r="AA4" s="43">
        <f>B4+D4+F4+H4+J4+L4+N4+P4+R4+T4+V4+X4</f>
        <v>8842.19</v>
      </c>
      <c r="AB4" s="42">
        <f t="shared" ref="AB4:AB12" si="0">C4+E4+G4+I4+K4+M4+O4+Q4+S4+U4+W4+Y4</f>
        <v>142.53</v>
      </c>
      <c r="AC4" s="58">
        <v>7597.39</v>
      </c>
    </row>
    <row r="5" spans="1:29">
      <c r="A5" s="2">
        <v>2000</v>
      </c>
      <c r="B5" s="5"/>
      <c r="C5" s="5"/>
      <c r="D5" s="5"/>
      <c r="E5" s="5"/>
      <c r="F5" s="5"/>
      <c r="G5" s="5"/>
      <c r="H5" s="5"/>
      <c r="I5" s="5"/>
      <c r="J5" s="43">
        <v>1578.23</v>
      </c>
      <c r="K5" s="54"/>
      <c r="L5" s="43">
        <v>812.18</v>
      </c>
      <c r="M5" s="54"/>
      <c r="N5" s="43">
        <v>536.87</v>
      </c>
      <c r="O5" s="54"/>
      <c r="P5" s="43">
        <v>2052.13</v>
      </c>
      <c r="Q5" s="54"/>
      <c r="R5" s="43">
        <v>724.73</v>
      </c>
      <c r="S5" s="54"/>
      <c r="T5" s="43">
        <v>745.4</v>
      </c>
      <c r="U5" s="54"/>
      <c r="V5" s="43">
        <v>1609.07</v>
      </c>
      <c r="W5" s="54"/>
      <c r="X5" s="43">
        <v>1942.92</v>
      </c>
      <c r="Y5" s="54"/>
      <c r="Z5" s="43"/>
      <c r="AA5" s="43">
        <f>B5+D5+F5+H5+J5+L5+N5+P5+R5+T5+V5+X5</f>
        <v>10001.529999999999</v>
      </c>
      <c r="AB5" s="42">
        <f t="shared" si="0"/>
        <v>0</v>
      </c>
      <c r="AC5" s="58">
        <f>AA5</f>
        <v>10001.529999999999</v>
      </c>
    </row>
    <row r="6" spans="1:29">
      <c r="A6" s="2">
        <v>2001</v>
      </c>
      <c r="B6" s="43">
        <v>1204.22</v>
      </c>
      <c r="C6" s="54"/>
      <c r="D6" s="43">
        <v>2562.77</v>
      </c>
      <c r="E6" s="54"/>
      <c r="F6" s="43">
        <v>1237.9000000000001</v>
      </c>
      <c r="G6" s="54"/>
      <c r="H6" s="43">
        <v>781.69</v>
      </c>
      <c r="I6" s="54"/>
      <c r="J6" s="43">
        <v>782.25</v>
      </c>
      <c r="K6" s="54"/>
      <c r="L6" s="43">
        <v>1118.57</v>
      </c>
      <c r="M6" s="54"/>
      <c r="N6" s="43">
        <v>528.1</v>
      </c>
      <c r="O6" s="54"/>
      <c r="P6" s="43">
        <v>1197.33</v>
      </c>
      <c r="Q6" s="54"/>
      <c r="R6" s="43">
        <v>297.3</v>
      </c>
      <c r="S6" s="54"/>
      <c r="T6" s="43">
        <v>27.35</v>
      </c>
      <c r="U6" s="54"/>
      <c r="V6" s="43">
        <v>806.4</v>
      </c>
      <c r="W6" s="54"/>
      <c r="X6" s="43">
        <v>2046.26</v>
      </c>
      <c r="Y6" s="54"/>
      <c r="Z6" s="111">
        <v>609.4</v>
      </c>
      <c r="AA6" s="43">
        <f t="shared" ref="AA6:AA12" si="1">B6+D6+F6+H6+J6+L6+N6+P6+R6+T6+V6+X6</f>
        <v>12590.14</v>
      </c>
      <c r="AB6" s="42">
        <f>C6+E6+G6+I6+K6+M6+O6+Q6+S6+U6+W6+Y6+Z6</f>
        <v>609.4</v>
      </c>
      <c r="AC6" s="58">
        <f>AA6-Z6</f>
        <v>11980.74</v>
      </c>
    </row>
    <row r="7" spans="1:29">
      <c r="A7" s="2">
        <v>2002</v>
      </c>
      <c r="B7" s="43">
        <v>304.35000000000002</v>
      </c>
      <c r="C7" s="54"/>
      <c r="D7" s="43">
        <v>456.2</v>
      </c>
      <c r="E7" s="54"/>
      <c r="F7" s="43">
        <v>172.97</v>
      </c>
      <c r="G7" s="54"/>
      <c r="H7" s="43">
        <v>94.23</v>
      </c>
      <c r="I7" s="5"/>
      <c r="J7" s="5"/>
      <c r="K7" s="5"/>
      <c r="L7" s="43">
        <v>306.33</v>
      </c>
      <c r="M7" s="5"/>
      <c r="N7" s="43">
        <v>1304.1500000000001</v>
      </c>
      <c r="O7" s="5"/>
      <c r="P7" s="43">
        <v>1069.57</v>
      </c>
      <c r="Q7" s="5"/>
      <c r="R7" s="43">
        <v>118.56</v>
      </c>
      <c r="S7" s="5"/>
      <c r="T7" s="43">
        <v>504.69</v>
      </c>
      <c r="U7" s="5"/>
      <c r="V7" s="43">
        <v>1465.65</v>
      </c>
      <c r="W7" s="5"/>
      <c r="X7" s="43">
        <v>981.68</v>
      </c>
      <c r="Y7" s="5"/>
      <c r="Z7" s="43"/>
      <c r="AA7" s="43">
        <f t="shared" si="1"/>
        <v>6778.380000000001</v>
      </c>
      <c r="AB7" s="42">
        <f t="shared" si="0"/>
        <v>0</v>
      </c>
      <c r="AC7" s="58">
        <f>B7+D7+F7</f>
        <v>933.52</v>
      </c>
    </row>
    <row r="8" spans="1:29">
      <c r="A8" s="2">
        <v>2003</v>
      </c>
      <c r="B8" s="44">
        <v>693.94</v>
      </c>
      <c r="C8" s="117"/>
      <c r="D8" s="44">
        <v>524.47</v>
      </c>
      <c r="E8" s="117"/>
      <c r="F8" s="44">
        <v>798.03</v>
      </c>
      <c r="G8" s="117"/>
      <c r="H8" s="44">
        <v>2667.61</v>
      </c>
      <c r="I8" s="117"/>
      <c r="J8" s="44">
        <v>927.15</v>
      </c>
      <c r="K8" s="117"/>
      <c r="L8" s="44">
        <v>3360.15</v>
      </c>
      <c r="M8" s="117"/>
      <c r="N8" s="44">
        <v>1598.5</v>
      </c>
      <c r="O8" s="117"/>
      <c r="P8" s="44">
        <v>2063.41</v>
      </c>
      <c r="Q8" s="117"/>
      <c r="R8" s="44">
        <v>1085.24</v>
      </c>
      <c r="S8" s="117"/>
      <c r="T8" s="44">
        <v>3317.97</v>
      </c>
      <c r="U8" s="117"/>
      <c r="V8" s="44">
        <v>3301.48</v>
      </c>
      <c r="W8" s="117"/>
      <c r="X8" s="44">
        <v>1332.37</v>
      </c>
      <c r="Y8" s="117"/>
      <c r="Z8" s="44"/>
      <c r="AA8" s="43">
        <f t="shared" si="1"/>
        <v>21670.32</v>
      </c>
      <c r="AB8" s="42">
        <f t="shared" si="0"/>
        <v>0</v>
      </c>
      <c r="AC8" s="58"/>
    </row>
    <row r="9" spans="1:29">
      <c r="A9" s="2">
        <v>2004</v>
      </c>
      <c r="B9" s="44">
        <v>605.55999999999995</v>
      </c>
      <c r="C9" s="117"/>
      <c r="D9" s="44">
        <v>3823.11</v>
      </c>
      <c r="E9" s="117"/>
      <c r="F9" s="44">
        <v>1175.0999999999999</v>
      </c>
      <c r="G9" s="117"/>
      <c r="H9" s="44">
        <v>2000.84</v>
      </c>
      <c r="I9" s="117"/>
      <c r="J9" s="44">
        <v>775.66</v>
      </c>
      <c r="K9" s="117"/>
      <c r="L9" s="44">
        <v>2320.9899999999998</v>
      </c>
      <c r="M9" s="117"/>
      <c r="N9" s="44">
        <v>1565.44</v>
      </c>
      <c r="O9" s="117"/>
      <c r="P9" s="44">
        <v>1929.52</v>
      </c>
      <c r="Q9" s="117"/>
      <c r="R9" s="44">
        <v>2787.36</v>
      </c>
      <c r="S9" s="117"/>
      <c r="T9" s="44">
        <v>1245.5999999999999</v>
      </c>
      <c r="U9" s="117"/>
      <c r="V9" s="44">
        <v>2090.61</v>
      </c>
      <c r="W9" s="117"/>
      <c r="X9" s="44">
        <v>3672.25</v>
      </c>
      <c r="Y9" s="117"/>
      <c r="Z9" s="44"/>
      <c r="AA9" s="43">
        <f t="shared" si="1"/>
        <v>23992.04</v>
      </c>
      <c r="AB9" s="42">
        <f t="shared" si="0"/>
        <v>0</v>
      </c>
      <c r="AC9" s="58"/>
    </row>
    <row r="10" spans="1:29">
      <c r="A10" s="2">
        <v>2005</v>
      </c>
      <c r="B10" s="43">
        <v>882.56</v>
      </c>
      <c r="C10" s="5"/>
      <c r="D10" s="43">
        <v>904.99</v>
      </c>
      <c r="E10" s="5"/>
      <c r="F10" s="43">
        <v>2101.17</v>
      </c>
      <c r="G10" s="5"/>
      <c r="H10" s="43">
        <v>499.04</v>
      </c>
      <c r="I10" s="5"/>
      <c r="J10" s="43">
        <v>850.89</v>
      </c>
      <c r="K10" s="5"/>
      <c r="L10" s="43">
        <v>1933.68</v>
      </c>
      <c r="M10" s="5"/>
      <c r="N10" s="43">
        <v>2636.04</v>
      </c>
      <c r="O10" s="5"/>
      <c r="P10" s="43">
        <v>2752.1</v>
      </c>
      <c r="Q10" s="5"/>
      <c r="R10" s="43">
        <v>3255</v>
      </c>
      <c r="S10" s="5"/>
      <c r="T10" s="43">
        <v>3538.92</v>
      </c>
      <c r="U10" s="5"/>
      <c r="V10" s="43">
        <v>2412.31</v>
      </c>
      <c r="W10" s="5"/>
      <c r="X10" s="43">
        <v>4143.34</v>
      </c>
      <c r="Y10" s="5"/>
      <c r="Z10" s="43"/>
      <c r="AA10" s="43">
        <f t="shared" si="1"/>
        <v>25910.04</v>
      </c>
      <c r="AB10" s="42">
        <f t="shared" si="0"/>
        <v>0</v>
      </c>
      <c r="AC10" s="58"/>
    </row>
    <row r="11" spans="1:29">
      <c r="A11" s="2">
        <v>2006</v>
      </c>
      <c r="B11" s="43">
        <v>2644.88</v>
      </c>
      <c r="C11" s="5"/>
      <c r="D11" s="43">
        <v>4360.82</v>
      </c>
      <c r="E11" s="5"/>
      <c r="F11" s="43">
        <v>3825.34</v>
      </c>
      <c r="G11" s="5"/>
      <c r="H11" s="43">
        <v>2452.46</v>
      </c>
      <c r="I11" s="5"/>
      <c r="J11" s="43">
        <v>4959.1899999999996</v>
      </c>
      <c r="K11" s="5"/>
      <c r="L11" s="43">
        <v>1597.44</v>
      </c>
      <c r="M11" s="5"/>
      <c r="N11" s="43">
        <v>1448.05</v>
      </c>
      <c r="O11" s="5"/>
      <c r="P11" s="43">
        <v>946.24</v>
      </c>
      <c r="Q11" s="5"/>
      <c r="R11" s="43">
        <v>1268.5999999999999</v>
      </c>
      <c r="S11" s="5"/>
      <c r="T11" s="43">
        <v>2418.52</v>
      </c>
      <c r="U11" s="5"/>
      <c r="V11" s="43">
        <v>3104.74</v>
      </c>
      <c r="W11" s="5"/>
      <c r="X11" s="43">
        <v>3430.17</v>
      </c>
      <c r="Y11" s="5"/>
      <c r="Z11" s="43"/>
      <c r="AA11" s="43">
        <f t="shared" si="1"/>
        <v>32456.449999999997</v>
      </c>
      <c r="AB11" s="42">
        <f t="shared" si="0"/>
        <v>0</v>
      </c>
      <c r="AC11" s="58"/>
    </row>
    <row r="12" spans="1:29">
      <c r="A12" s="2">
        <v>2007</v>
      </c>
      <c r="B12" s="43">
        <v>2752.78</v>
      </c>
      <c r="C12" s="5"/>
      <c r="D12" s="43">
        <v>2618.64</v>
      </c>
      <c r="E12" s="5"/>
      <c r="F12" s="43">
        <v>3226.58</v>
      </c>
      <c r="G12" s="5"/>
      <c r="H12" s="43">
        <v>12038.75</v>
      </c>
      <c r="I12" s="5"/>
      <c r="J12" s="43">
        <v>347.78</v>
      </c>
      <c r="K12" s="5"/>
      <c r="L12" s="43">
        <v>3643.37</v>
      </c>
      <c r="M12" s="5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43">
        <f t="shared" si="1"/>
        <v>24627.899999999998</v>
      </c>
      <c r="AB12" s="42">
        <f t="shared" si="0"/>
        <v>0</v>
      </c>
      <c r="AC12" s="58"/>
    </row>
    <row r="13" spans="1:29">
      <c r="A13" s="2">
        <v>2008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43"/>
      <c r="AB13" s="42"/>
      <c r="AC13" s="58"/>
    </row>
    <row r="14" spans="1:29">
      <c r="A14" s="2">
        <v>2009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43"/>
      <c r="AB14" s="42"/>
      <c r="AC14" s="58"/>
    </row>
    <row r="15" spans="1:29">
      <c r="A15" s="2">
        <v>2010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43"/>
      <c r="AB15" s="42"/>
      <c r="AC15" s="58"/>
    </row>
    <row r="16" spans="1:29">
      <c r="A16" s="2">
        <v>2011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43"/>
      <c r="AB16" s="42"/>
      <c r="AC16" s="58"/>
    </row>
    <row r="17" spans="1:29">
      <c r="A17" s="2">
        <v>2012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43"/>
      <c r="AB17" s="42"/>
      <c r="AC17" s="58"/>
    </row>
    <row r="18" spans="1:29">
      <c r="A18" s="2">
        <v>2013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43"/>
      <c r="AB18" s="42"/>
      <c r="AC18" s="58"/>
    </row>
    <row r="19" spans="1:29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43">
        <f>SUM(AA3:AA18)</f>
        <v>172590.87000000002</v>
      </c>
      <c r="AB19" s="43">
        <f t="shared" ref="AB19" si="2">SUM(AB3:AB18)</f>
        <v>1937.9699999999998</v>
      </c>
      <c r="AC19" s="58">
        <f>SUM(AC3:AC18)</f>
        <v>32434.029999999995</v>
      </c>
    </row>
    <row r="20" spans="1:29">
      <c r="R20" s="124" t="s">
        <v>91</v>
      </c>
    </row>
    <row r="21" spans="1:29" ht="12.75">
      <c r="A21" s="553" t="s">
        <v>96</v>
      </c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</row>
    <row r="22" spans="1:29">
      <c r="Z22" s="218" t="s">
        <v>98</v>
      </c>
    </row>
    <row r="23" spans="1:29" ht="12.75">
      <c r="A23" s="553" t="s">
        <v>97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</row>
    <row r="25" spans="1:29">
      <c r="B25" s="552" t="s">
        <v>37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</row>
    <row r="26" spans="1:29">
      <c r="AA26" s="58"/>
      <c r="AB26" s="69"/>
    </row>
    <row r="30" spans="1:29">
      <c r="A30" s="1">
        <v>1998</v>
      </c>
      <c r="B30" s="1" t="s">
        <v>257</v>
      </c>
    </row>
  </sheetData>
  <mergeCells count="18">
    <mergeCell ref="B25:P25"/>
    <mergeCell ref="A21:AB21"/>
    <mergeCell ref="A23:AB23"/>
    <mergeCell ref="H1:I1"/>
    <mergeCell ref="J1:K1"/>
    <mergeCell ref="AA1:AB1"/>
    <mergeCell ref="A1:A2"/>
    <mergeCell ref="X1:Y1"/>
    <mergeCell ref="Z1:Z2"/>
    <mergeCell ref="L1:M1"/>
    <mergeCell ref="N1:O1"/>
    <mergeCell ref="R1:S1"/>
    <mergeCell ref="P1:Q1"/>
    <mergeCell ref="T1:U1"/>
    <mergeCell ref="V1:W1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2"/>
  <sheetViews>
    <sheetView workbookViewId="0">
      <pane ySplit="2" topLeftCell="A3" activePane="bottomLeft" state="frozen"/>
      <selection pane="bottomLeft" activeCell="F33" sqref="F33"/>
    </sheetView>
  </sheetViews>
  <sheetFormatPr defaultRowHeight="11.25"/>
  <cols>
    <col min="1" max="1" width="3.88671875" style="1" bestFit="1" customWidth="1"/>
    <col min="2" max="2" width="7" style="1" customWidth="1"/>
    <col min="3" max="3" width="7.33203125" style="1" bestFit="1" customWidth="1"/>
    <col min="4" max="4" width="6.33203125" style="1" bestFit="1" customWidth="1"/>
    <col min="5" max="5" width="6.77734375" style="1" customWidth="1"/>
    <col min="6" max="6" width="6.44140625" style="1" bestFit="1" customWidth="1"/>
    <col min="7" max="7" width="7.44140625" style="1" customWidth="1"/>
    <col min="8" max="8" width="8.44140625" style="1" customWidth="1"/>
    <col min="9" max="9" width="6.33203125" style="1" bestFit="1" customWidth="1"/>
    <col min="10" max="10" width="7.33203125" style="1" bestFit="1" customWidth="1"/>
    <col min="11" max="11" width="6.33203125" style="1" bestFit="1" customWidth="1"/>
    <col min="12" max="12" width="7.33203125" style="1" bestFit="1" customWidth="1"/>
    <col min="13" max="14" width="6.33203125" style="1" bestFit="1" customWidth="1"/>
    <col min="15" max="15" width="6.44140625" style="1" bestFit="1" customWidth="1"/>
    <col min="16" max="16" width="7.33203125" style="1" bestFit="1" customWidth="1"/>
    <col min="17" max="17" width="6.33203125" style="1" bestFit="1" customWidth="1"/>
    <col min="18" max="18" width="6.44140625" style="1" bestFit="1" customWidth="1"/>
    <col min="19" max="22" width="6.33203125" style="1" bestFit="1" customWidth="1"/>
    <col min="23" max="23" width="6" style="1" bestFit="1" customWidth="1"/>
    <col min="24" max="25" width="7.33203125" style="1" bestFit="1" customWidth="1"/>
    <col min="26" max="26" width="8" style="1" bestFit="1" customWidth="1"/>
    <col min="27" max="27" width="8.44140625" style="1" bestFit="1" customWidth="1"/>
    <col min="28" max="28" width="3.6640625" style="1" bestFit="1" customWidth="1"/>
    <col min="29" max="29" width="15.5546875" style="1" bestFit="1" customWidth="1"/>
    <col min="30" max="30" width="3.5546875" style="1" bestFit="1" customWidth="1"/>
    <col min="31" max="16384" width="8.88671875" style="1"/>
  </cols>
  <sheetData>
    <row r="1" spans="1:27" ht="11.25" customHeight="1">
      <c r="A1" s="529"/>
      <c r="B1" s="527" t="s">
        <v>18</v>
      </c>
      <c r="C1" s="551"/>
      <c r="D1" s="522" t="s">
        <v>19</v>
      </c>
      <c r="E1" s="523"/>
      <c r="F1" s="527" t="s">
        <v>20</v>
      </c>
      <c r="G1" s="551"/>
      <c r="H1" s="520" t="s">
        <v>21</v>
      </c>
      <c r="I1" s="537"/>
      <c r="J1" s="527" t="s">
        <v>2</v>
      </c>
      <c r="K1" s="551"/>
      <c r="L1" s="522" t="s">
        <v>22</v>
      </c>
      <c r="M1" s="523"/>
      <c r="N1" s="527" t="s">
        <v>23</v>
      </c>
      <c r="O1" s="551"/>
      <c r="P1" s="520" t="s">
        <v>24</v>
      </c>
      <c r="Q1" s="537"/>
      <c r="R1" s="527" t="s">
        <v>25</v>
      </c>
      <c r="S1" s="551"/>
      <c r="T1" s="522" t="s">
        <v>26</v>
      </c>
      <c r="U1" s="523"/>
      <c r="V1" s="527" t="s">
        <v>27</v>
      </c>
      <c r="W1" s="551"/>
      <c r="X1" s="520" t="s">
        <v>28</v>
      </c>
      <c r="Y1" s="521"/>
      <c r="Z1" s="560" t="s">
        <v>16</v>
      </c>
      <c r="AA1" s="561"/>
    </row>
    <row r="2" spans="1:27" ht="11.25" customHeight="1" thickBot="1">
      <c r="A2" s="530"/>
      <c r="B2" s="17" t="s">
        <v>29</v>
      </c>
      <c r="C2" s="18" t="s">
        <v>30</v>
      </c>
      <c r="D2" s="17" t="s">
        <v>29</v>
      </c>
      <c r="E2" s="19" t="s">
        <v>30</v>
      </c>
      <c r="F2" s="17" t="s">
        <v>29</v>
      </c>
      <c r="G2" s="18" t="s">
        <v>30</v>
      </c>
      <c r="H2" s="17" t="s">
        <v>29</v>
      </c>
      <c r="I2" s="20" t="s">
        <v>30</v>
      </c>
      <c r="J2" s="17" t="s">
        <v>29</v>
      </c>
      <c r="K2" s="18" t="s">
        <v>30</v>
      </c>
      <c r="L2" s="17" t="s">
        <v>29</v>
      </c>
      <c r="M2" s="19" t="s">
        <v>30</v>
      </c>
      <c r="N2" s="17" t="s">
        <v>29</v>
      </c>
      <c r="O2" s="18" t="s">
        <v>30</v>
      </c>
      <c r="P2" s="17" t="s">
        <v>29</v>
      </c>
      <c r="Q2" s="20" t="s">
        <v>30</v>
      </c>
      <c r="R2" s="17" t="s">
        <v>29</v>
      </c>
      <c r="S2" s="18" t="s">
        <v>30</v>
      </c>
      <c r="T2" s="17" t="s">
        <v>29</v>
      </c>
      <c r="U2" s="19" t="s">
        <v>30</v>
      </c>
      <c r="V2" s="17" t="s">
        <v>29</v>
      </c>
      <c r="W2" s="18" t="s">
        <v>30</v>
      </c>
      <c r="X2" s="17" t="s">
        <v>29</v>
      </c>
      <c r="Y2" s="21" t="s">
        <v>30</v>
      </c>
      <c r="Z2" s="17" t="s">
        <v>31</v>
      </c>
      <c r="AA2" s="17" t="s">
        <v>30</v>
      </c>
    </row>
    <row r="3" spans="1:27">
      <c r="A3" s="23">
        <v>1998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53"/>
      <c r="Q3" s="139"/>
      <c r="R3" s="121">
        <v>375.94</v>
      </c>
      <c r="S3" s="121">
        <v>169.07</v>
      </c>
      <c r="T3" s="140"/>
      <c r="U3" s="140"/>
      <c r="V3" s="140"/>
      <c r="W3" s="140"/>
      <c r="X3" s="140"/>
      <c r="Y3" s="140"/>
      <c r="Z3" s="291">
        <f t="shared" ref="Z3:Z11" si="0">B3+D3+F3+H3+J3+L3+N3+P3+R3+T3+V3+X3</f>
        <v>375.94</v>
      </c>
      <c r="AA3" s="290">
        <f t="shared" ref="AA3:AA11" si="1">C3+E3+G3+I3+K3+M3+O3+Q3+S3+U3+W3+Y3</f>
        <v>169.07</v>
      </c>
    </row>
    <row r="4" spans="1:27">
      <c r="A4" s="2">
        <v>1999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40"/>
      <c r="R4" s="137"/>
      <c r="S4" s="137"/>
      <c r="T4" s="137"/>
      <c r="U4" s="137"/>
      <c r="V4" s="137"/>
      <c r="W4" s="137"/>
      <c r="X4" s="137"/>
      <c r="Y4" s="137"/>
      <c r="Z4" s="386">
        <f t="shared" si="0"/>
        <v>0</v>
      </c>
      <c r="AA4" s="387">
        <f t="shared" si="1"/>
        <v>0</v>
      </c>
    </row>
    <row r="5" spans="1:27">
      <c r="A5" s="2">
        <v>2000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40"/>
      <c r="R5" s="137"/>
      <c r="S5" s="137"/>
      <c r="T5" s="137"/>
      <c r="U5" s="137"/>
      <c r="V5" s="137"/>
      <c r="W5" s="137"/>
      <c r="X5" s="137"/>
      <c r="Y5" s="137"/>
      <c r="Z5" s="386">
        <f t="shared" si="0"/>
        <v>0</v>
      </c>
      <c r="AA5" s="387">
        <f t="shared" si="1"/>
        <v>0</v>
      </c>
    </row>
    <row r="6" spans="1:27">
      <c r="A6" s="2">
        <v>2001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40"/>
      <c r="R6" s="137"/>
      <c r="S6" s="137"/>
      <c r="T6" s="137"/>
      <c r="U6" s="137"/>
      <c r="V6" s="137"/>
      <c r="W6" s="137"/>
      <c r="X6" s="137"/>
      <c r="Y6" s="137"/>
      <c r="Z6" s="386">
        <f t="shared" si="0"/>
        <v>0</v>
      </c>
      <c r="AA6" s="387">
        <f t="shared" si="1"/>
        <v>0</v>
      </c>
    </row>
    <row r="7" spans="1:27">
      <c r="A7" s="2">
        <v>2002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40"/>
      <c r="R7" s="137"/>
      <c r="S7" s="137"/>
      <c r="T7" s="137"/>
      <c r="U7" s="137"/>
      <c r="V7" s="137"/>
      <c r="W7" s="137"/>
      <c r="X7" s="137"/>
      <c r="Y7" s="137"/>
      <c r="Z7" s="386">
        <f t="shared" si="0"/>
        <v>0</v>
      </c>
      <c r="AA7" s="387">
        <f t="shared" si="1"/>
        <v>0</v>
      </c>
    </row>
    <row r="8" spans="1:27">
      <c r="A8" s="2">
        <v>2003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0"/>
      <c r="R8" s="141"/>
      <c r="S8" s="141"/>
      <c r="T8" s="141"/>
      <c r="U8" s="141"/>
      <c r="V8" s="141"/>
      <c r="W8" s="141"/>
      <c r="X8" s="141"/>
      <c r="Y8" s="141"/>
      <c r="Z8" s="386">
        <f t="shared" si="0"/>
        <v>0</v>
      </c>
      <c r="AA8" s="387">
        <f t="shared" si="1"/>
        <v>0</v>
      </c>
    </row>
    <row r="9" spans="1:27">
      <c r="A9" s="2">
        <v>2004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0"/>
      <c r="R9" s="141"/>
      <c r="S9" s="141"/>
      <c r="T9" s="141"/>
      <c r="U9" s="141"/>
      <c r="V9" s="141"/>
      <c r="W9" s="141"/>
      <c r="X9" s="141"/>
      <c r="Y9" s="141"/>
      <c r="Z9" s="386">
        <f t="shared" si="0"/>
        <v>0</v>
      </c>
      <c r="AA9" s="387">
        <f t="shared" si="1"/>
        <v>0</v>
      </c>
    </row>
    <row r="10" spans="1:27">
      <c r="A10" s="2">
        <v>2005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40"/>
      <c r="R10" s="137"/>
      <c r="S10" s="137"/>
      <c r="T10" s="137"/>
      <c r="U10" s="137"/>
      <c r="V10" s="137"/>
      <c r="W10" s="137"/>
      <c r="X10" s="137"/>
      <c r="Y10" s="137"/>
      <c r="Z10" s="386">
        <f t="shared" si="0"/>
        <v>0</v>
      </c>
      <c r="AA10" s="387">
        <f t="shared" si="1"/>
        <v>0</v>
      </c>
    </row>
    <row r="11" spans="1:27">
      <c r="A11" s="2">
        <v>2006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40"/>
      <c r="R11" s="137"/>
      <c r="S11" s="137"/>
      <c r="T11" s="137"/>
      <c r="U11" s="137"/>
      <c r="V11" s="137"/>
      <c r="W11" s="137"/>
      <c r="X11" s="137"/>
      <c r="Y11" s="137"/>
      <c r="Z11" s="386">
        <f t="shared" si="0"/>
        <v>0</v>
      </c>
      <c r="AA11" s="387">
        <f t="shared" si="1"/>
        <v>0</v>
      </c>
    </row>
    <row r="12" spans="1:27">
      <c r="A12" s="2">
        <v>2007</v>
      </c>
      <c r="B12" s="137"/>
      <c r="C12" s="137"/>
      <c r="D12" s="137"/>
      <c r="E12" s="137"/>
      <c r="F12" s="137"/>
      <c r="G12" s="137"/>
      <c r="H12" s="137"/>
      <c r="I12" s="43">
        <v>604.02</v>
      </c>
      <c r="J12" s="137"/>
      <c r="K12" s="137"/>
      <c r="L12" s="43">
        <v>3111.15</v>
      </c>
      <c r="M12" s="43">
        <v>459.47</v>
      </c>
      <c r="N12" s="43">
        <v>826.23</v>
      </c>
      <c r="O12" s="43">
        <v>564.47</v>
      </c>
      <c r="P12" s="43">
        <v>65</v>
      </c>
      <c r="Q12" s="139"/>
      <c r="R12" s="43">
        <v>201.5</v>
      </c>
      <c r="S12" s="5"/>
      <c r="T12" s="43">
        <v>76.3</v>
      </c>
      <c r="U12" s="5"/>
      <c r="V12" s="5"/>
      <c r="W12" s="5"/>
      <c r="X12" s="5"/>
      <c r="Y12" s="5"/>
      <c r="Z12" s="43">
        <f t="shared" ref="Z12:Z18" si="2">B12+D12+F12+H12+J12+L12+N12+P12+R12+T12+V12+X12</f>
        <v>4280.18</v>
      </c>
      <c r="AA12" s="42">
        <f>C12+E12+G12+I12+K12+M12+O12+Q12+S12+U12+W12+Y12</f>
        <v>1627.96</v>
      </c>
    </row>
    <row r="13" spans="1:27">
      <c r="A13" s="2">
        <v>2008</v>
      </c>
      <c r="B13" s="5"/>
      <c r="C13" s="5"/>
      <c r="D13" s="43">
        <v>354</v>
      </c>
      <c r="E13" s="5"/>
      <c r="F13" s="5"/>
      <c r="G13" s="5"/>
      <c r="H13" s="43">
        <v>162.5</v>
      </c>
      <c r="I13" s="43">
        <v>162.5</v>
      </c>
      <c r="J13" s="43">
        <v>1105</v>
      </c>
      <c r="K13" s="5"/>
      <c r="L13" s="5"/>
      <c r="M13" s="5"/>
      <c r="N13" s="43">
        <v>178.07</v>
      </c>
      <c r="O13" s="43">
        <v>178.08</v>
      </c>
      <c r="P13" s="62"/>
      <c r="Q13" s="144"/>
      <c r="R13" s="62"/>
      <c r="S13" s="62"/>
      <c r="T13" s="43">
        <v>988</v>
      </c>
      <c r="U13" s="43">
        <v>949</v>
      </c>
      <c r="V13" s="43">
        <v>64.849999999999994</v>
      </c>
      <c r="W13" s="5"/>
      <c r="X13" s="43">
        <v>179.4</v>
      </c>
      <c r="Y13" s="5"/>
      <c r="Z13" s="43">
        <f t="shared" si="2"/>
        <v>3031.8199999999997</v>
      </c>
      <c r="AA13" s="42">
        <f t="shared" ref="AA13:AA18" si="3">C13+E13+G13+I13+K13+M13+O13+Q13+S13+U13+W13+Y13</f>
        <v>1289.58</v>
      </c>
    </row>
    <row r="14" spans="1:27">
      <c r="A14" s="2">
        <v>2009</v>
      </c>
      <c r="B14" s="62"/>
      <c r="C14" s="62"/>
      <c r="D14" s="62"/>
      <c r="E14" s="62"/>
      <c r="F14" s="43">
        <v>195</v>
      </c>
      <c r="G14" s="62"/>
      <c r="H14" s="62"/>
      <c r="I14" s="62"/>
      <c r="J14" s="62"/>
      <c r="K14" s="62"/>
      <c r="L14" s="43">
        <v>10.96</v>
      </c>
      <c r="M14" s="62"/>
      <c r="N14" s="62"/>
      <c r="O14" s="62"/>
      <c r="P14" s="62"/>
      <c r="Q14" s="144"/>
      <c r="R14" s="43">
        <v>24.31</v>
      </c>
      <c r="S14" s="62"/>
      <c r="T14" s="62"/>
      <c r="U14" s="62"/>
      <c r="V14" s="62"/>
      <c r="W14" s="62"/>
      <c r="X14" s="62"/>
      <c r="Y14" s="62"/>
      <c r="Z14" s="43">
        <f t="shared" si="2"/>
        <v>230.27</v>
      </c>
      <c r="AA14" s="42">
        <f t="shared" si="3"/>
        <v>0</v>
      </c>
    </row>
    <row r="15" spans="1:27">
      <c r="A15" s="2">
        <v>2010</v>
      </c>
      <c r="B15" s="5"/>
      <c r="C15" s="5"/>
      <c r="D15" s="5"/>
      <c r="E15" s="5"/>
      <c r="F15" s="43">
        <v>195</v>
      </c>
      <c r="G15" s="5"/>
      <c r="H15" s="5"/>
      <c r="I15" s="5"/>
      <c r="J15" s="5"/>
      <c r="K15" s="5"/>
      <c r="L15" s="43">
        <v>20.8</v>
      </c>
      <c r="M15" s="43">
        <v>20.8</v>
      </c>
      <c r="N15" s="43">
        <v>96.9</v>
      </c>
      <c r="O15" s="62"/>
      <c r="P15" s="62"/>
      <c r="Q15" s="144"/>
      <c r="R15" s="62"/>
      <c r="S15" s="62"/>
      <c r="T15" s="43">
        <v>56.02</v>
      </c>
      <c r="U15" s="43">
        <v>56.02</v>
      </c>
      <c r="V15" s="62"/>
      <c r="W15" s="62"/>
      <c r="X15" s="43">
        <v>1483.37</v>
      </c>
      <c r="Y15" s="43">
        <v>1481.9</v>
      </c>
      <c r="Z15" s="43">
        <f t="shared" si="2"/>
        <v>1852.09</v>
      </c>
      <c r="AA15" s="42">
        <f t="shared" si="3"/>
        <v>1558.72</v>
      </c>
    </row>
    <row r="16" spans="1:27">
      <c r="A16" s="2">
        <v>2011</v>
      </c>
      <c r="B16" s="43">
        <v>101.85</v>
      </c>
      <c r="C16" s="43">
        <v>101.85</v>
      </c>
      <c r="D16" s="43">
        <v>390</v>
      </c>
      <c r="E16" s="62"/>
      <c r="F16" s="62"/>
      <c r="G16" s="62"/>
      <c r="H16" s="43">
        <v>463.28</v>
      </c>
      <c r="I16" s="43">
        <v>463.28</v>
      </c>
      <c r="J16" s="43">
        <v>133</v>
      </c>
      <c r="K16" s="5"/>
      <c r="L16" s="5"/>
      <c r="M16" s="5"/>
      <c r="N16" s="5"/>
      <c r="O16" s="5"/>
      <c r="P16" s="5"/>
      <c r="Q16" s="139"/>
      <c r="R16" s="5"/>
      <c r="S16" s="5"/>
      <c r="T16" s="5"/>
      <c r="U16" s="5"/>
      <c r="V16" s="43">
        <v>252.35</v>
      </c>
      <c r="W16" s="43">
        <v>59.67</v>
      </c>
      <c r="X16" s="5"/>
      <c r="Y16" s="5"/>
      <c r="Z16" s="43">
        <f t="shared" si="2"/>
        <v>1340.48</v>
      </c>
      <c r="AA16" s="42">
        <f t="shared" si="3"/>
        <v>624.79999999999995</v>
      </c>
    </row>
    <row r="17" spans="1:30">
      <c r="A17" s="2">
        <v>2012</v>
      </c>
      <c r="B17" s="5"/>
      <c r="C17" s="5"/>
      <c r="D17" s="5"/>
      <c r="E17" s="5"/>
      <c r="F17" s="5"/>
      <c r="G17" s="5"/>
      <c r="H17" s="5"/>
      <c r="I17" s="5"/>
      <c r="J17" s="43">
        <v>275.18</v>
      </c>
      <c r="K17" s="43">
        <v>275.18</v>
      </c>
      <c r="L17" s="5"/>
      <c r="M17" s="5"/>
      <c r="N17" s="5"/>
      <c r="O17" s="5"/>
      <c r="P17" s="5"/>
      <c r="Q17" s="139"/>
      <c r="R17" s="5"/>
      <c r="S17" s="5"/>
      <c r="T17" s="43">
        <v>98.03</v>
      </c>
      <c r="U17" s="5"/>
      <c r="V17" s="5"/>
      <c r="W17" s="5"/>
      <c r="X17" s="5"/>
      <c r="Y17" s="5"/>
      <c r="Z17" s="43">
        <f t="shared" si="2"/>
        <v>373.21000000000004</v>
      </c>
      <c r="AA17" s="42">
        <f t="shared" si="3"/>
        <v>275.18</v>
      </c>
    </row>
    <row r="18" spans="1:30">
      <c r="A18" s="2">
        <v>2013</v>
      </c>
      <c r="B18" s="62"/>
      <c r="C18" s="62"/>
      <c r="D18" s="62"/>
      <c r="E18" s="62"/>
      <c r="F18" s="62"/>
      <c r="G18" s="62"/>
      <c r="H18" s="62"/>
      <c r="I18" s="62"/>
      <c r="J18" s="43">
        <v>48.06</v>
      </c>
      <c r="K18" s="43">
        <v>48.06</v>
      </c>
      <c r="L18" s="137"/>
      <c r="M18" s="137"/>
      <c r="N18" s="137"/>
      <c r="O18" s="137"/>
      <c r="P18" s="137"/>
      <c r="Q18" s="140"/>
      <c r="R18" s="137"/>
      <c r="S18" s="137"/>
      <c r="T18" s="137"/>
      <c r="U18" s="137"/>
      <c r="V18" s="137"/>
      <c r="W18" s="137"/>
      <c r="X18" s="137"/>
      <c r="Y18" s="137"/>
      <c r="Z18" s="43">
        <f t="shared" si="2"/>
        <v>48.06</v>
      </c>
      <c r="AA18" s="42">
        <f t="shared" si="3"/>
        <v>48.06</v>
      </c>
      <c r="AD18" s="68"/>
    </row>
    <row r="19" spans="1:30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43">
        <f>SUM(Z3:Z18)</f>
        <v>11532.049999999997</v>
      </c>
      <c r="AA19" s="43">
        <f>SUM(AA3:AA18)</f>
        <v>5593.3700000000008</v>
      </c>
    </row>
    <row r="21" spans="1:30" ht="15.75">
      <c r="A21" s="538" t="s">
        <v>99</v>
      </c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</row>
    <row r="23" spans="1:30" ht="15.75">
      <c r="A23" s="538" t="s">
        <v>100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AA23" s="6">
        <f>Z19-AA19</f>
        <v>5938.6799999999967</v>
      </c>
    </row>
    <row r="25" spans="1:30" ht="15">
      <c r="A25" s="562" t="s">
        <v>37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</row>
    <row r="27" spans="1:30">
      <c r="A27" s="1">
        <v>1998</v>
      </c>
      <c r="C27" s="284" t="s">
        <v>380</v>
      </c>
      <c r="E27" s="294">
        <v>30.52</v>
      </c>
      <c r="F27" s="294">
        <v>5.87</v>
      </c>
      <c r="G27" s="199">
        <f t="shared" ref="G27:G32" si="4">E27+F27</f>
        <v>36.39</v>
      </c>
      <c r="H27" s="294"/>
    </row>
    <row r="28" spans="1:30" s="284" customFormat="1">
      <c r="C28" s="284" t="s">
        <v>393</v>
      </c>
      <c r="E28" s="294">
        <v>56.27</v>
      </c>
      <c r="F28" s="294">
        <v>10.82</v>
      </c>
      <c r="G28" s="199">
        <f t="shared" si="4"/>
        <v>67.09</v>
      </c>
      <c r="H28" s="294"/>
    </row>
    <row r="29" spans="1:30" s="284" customFormat="1">
      <c r="C29" s="284" t="s">
        <v>394</v>
      </c>
      <c r="E29" s="294">
        <v>27.35</v>
      </c>
      <c r="F29" s="294">
        <v>5.26</v>
      </c>
      <c r="G29" s="199">
        <f t="shared" si="4"/>
        <v>32.61</v>
      </c>
      <c r="H29" s="294"/>
    </row>
    <row r="30" spans="1:30" s="284" customFormat="1">
      <c r="C30" s="284" t="s">
        <v>395</v>
      </c>
      <c r="E30" s="294">
        <v>27.66</v>
      </c>
      <c r="F30" s="294">
        <v>5.32</v>
      </c>
      <c r="G30" s="199">
        <f t="shared" si="4"/>
        <v>32.980000000000004</v>
      </c>
      <c r="H30" s="306">
        <f>SUM(G27:G30)</f>
        <v>169.07</v>
      </c>
    </row>
    <row r="31" spans="1:30" s="284" customFormat="1">
      <c r="E31" s="294"/>
      <c r="F31" s="294"/>
      <c r="G31" s="199">
        <f t="shared" si="4"/>
        <v>0</v>
      </c>
      <c r="H31" s="294"/>
    </row>
    <row r="32" spans="1:30">
      <c r="B32" s="145"/>
      <c r="C32" s="58"/>
      <c r="D32" s="58"/>
      <c r="E32" s="183"/>
      <c r="G32" s="199">
        <f t="shared" si="4"/>
        <v>0</v>
      </c>
    </row>
    <row r="33" spans="1:11">
      <c r="A33" s="557">
        <v>2007</v>
      </c>
      <c r="B33" s="145"/>
      <c r="C33" s="145" t="s">
        <v>167</v>
      </c>
      <c r="D33" s="58"/>
      <c r="E33" s="58">
        <v>253.3</v>
      </c>
      <c r="F33" s="58">
        <v>48.71</v>
      </c>
      <c r="G33" s="199">
        <f>E33+F33</f>
        <v>302.01</v>
      </c>
      <c r="H33" s="58"/>
    </row>
    <row r="34" spans="1:11">
      <c r="A34" s="557"/>
      <c r="B34" s="145"/>
      <c r="C34" s="145" t="s">
        <v>168</v>
      </c>
      <c r="D34" s="58"/>
      <c r="E34" s="58">
        <v>253.3</v>
      </c>
      <c r="F34" s="58">
        <v>48.71</v>
      </c>
      <c r="G34" s="199">
        <f>E34+F34</f>
        <v>302.01</v>
      </c>
      <c r="H34" s="150">
        <f>G33+G34</f>
        <v>604.02</v>
      </c>
    </row>
    <row r="35" spans="1:11">
      <c r="A35" s="557"/>
      <c r="B35" s="145"/>
      <c r="C35" s="58" t="s">
        <v>169</v>
      </c>
      <c r="D35" s="58"/>
      <c r="E35" s="199">
        <v>330.04</v>
      </c>
      <c r="F35" s="199">
        <v>63.47</v>
      </c>
      <c r="G35" s="199">
        <f t="shared" ref="G35:G41" si="5">E35+F35</f>
        <v>393.51</v>
      </c>
      <c r="H35" s="58"/>
      <c r="K35" s="1" t="s">
        <v>183</v>
      </c>
    </row>
    <row r="36" spans="1:11">
      <c r="A36" s="557"/>
      <c r="B36" s="145"/>
      <c r="C36" s="145" t="s">
        <v>187</v>
      </c>
      <c r="D36" s="58"/>
      <c r="E36" s="199">
        <v>2.39</v>
      </c>
      <c r="F36" s="199">
        <v>0.46</v>
      </c>
      <c r="G36" s="199">
        <f t="shared" si="5"/>
        <v>2.85</v>
      </c>
      <c r="H36" s="58"/>
    </row>
    <row r="37" spans="1:11">
      <c r="A37" s="557"/>
      <c r="B37" s="145"/>
      <c r="C37" s="145" t="s">
        <v>189</v>
      </c>
      <c r="D37" s="58"/>
      <c r="E37" s="199">
        <v>43.46</v>
      </c>
      <c r="F37" s="199">
        <v>8.35</v>
      </c>
      <c r="G37" s="199">
        <f t="shared" si="5"/>
        <v>51.81</v>
      </c>
      <c r="H37" s="58"/>
    </row>
    <row r="38" spans="1:11">
      <c r="A38" s="557"/>
      <c r="B38" s="145"/>
      <c r="C38" s="145" t="s">
        <v>190</v>
      </c>
      <c r="D38" s="58"/>
      <c r="E38" s="199">
        <v>7.46</v>
      </c>
      <c r="F38" s="199">
        <v>1.43</v>
      </c>
      <c r="G38" s="199">
        <f t="shared" si="5"/>
        <v>8.89</v>
      </c>
      <c r="H38" s="58"/>
    </row>
    <row r="39" spans="1:11">
      <c r="A39" s="557"/>
      <c r="B39" s="145"/>
      <c r="C39" s="145" t="s">
        <v>191</v>
      </c>
      <c r="D39" s="58"/>
      <c r="E39" s="199">
        <v>0.52</v>
      </c>
      <c r="F39" s="199">
        <v>0.1</v>
      </c>
      <c r="G39" s="199">
        <f t="shared" si="5"/>
        <v>0.62</v>
      </c>
      <c r="H39" s="58"/>
    </row>
    <row r="40" spans="1:11">
      <c r="A40" s="557"/>
      <c r="B40" s="145"/>
      <c r="C40" s="145" t="s">
        <v>192</v>
      </c>
      <c r="D40" s="58"/>
      <c r="E40" s="199">
        <v>0.74</v>
      </c>
      <c r="F40" s="199">
        <v>0.14000000000000001</v>
      </c>
      <c r="G40" s="199">
        <f t="shared" si="5"/>
        <v>0.88</v>
      </c>
      <c r="H40" s="150">
        <f>G35+G36+G37+G38+G39+G40</f>
        <v>458.56</v>
      </c>
    </row>
    <row r="41" spans="1:11">
      <c r="A41" s="557"/>
      <c r="B41" s="145"/>
      <c r="C41" s="58" t="s">
        <v>170</v>
      </c>
      <c r="D41" s="58"/>
      <c r="E41" s="199">
        <v>257.39999999999998</v>
      </c>
      <c r="F41" s="199"/>
      <c r="G41" s="199">
        <f t="shared" si="5"/>
        <v>257.39999999999998</v>
      </c>
      <c r="H41" s="58"/>
      <c r="K41" s="58"/>
    </row>
    <row r="42" spans="1:11">
      <c r="A42" s="557"/>
      <c r="B42" s="145"/>
      <c r="C42" s="58" t="s">
        <v>171</v>
      </c>
      <c r="D42" s="58"/>
      <c r="E42" s="199">
        <v>257.39999999999998</v>
      </c>
      <c r="F42" s="199"/>
      <c r="G42" s="199">
        <f t="shared" ref="G42:G54" si="6">E42+F42</f>
        <v>257.39999999999998</v>
      </c>
      <c r="H42" s="58"/>
    </row>
    <row r="43" spans="1:11">
      <c r="A43" s="557"/>
      <c r="B43" s="145"/>
      <c r="C43" s="145" t="s">
        <v>193</v>
      </c>
      <c r="D43" s="58"/>
      <c r="E43" s="199">
        <v>6.5</v>
      </c>
      <c r="F43" s="199"/>
      <c r="G43" s="199">
        <f t="shared" si="6"/>
        <v>6.5</v>
      </c>
      <c r="H43" s="58"/>
    </row>
    <row r="44" spans="1:11">
      <c r="A44" s="557"/>
      <c r="B44" s="145"/>
      <c r="C44" s="145" t="s">
        <v>194</v>
      </c>
      <c r="D44" s="58"/>
      <c r="E44" s="199">
        <v>13</v>
      </c>
      <c r="F44" s="199"/>
      <c r="G44" s="199">
        <f t="shared" si="6"/>
        <v>13</v>
      </c>
      <c r="H44" s="58"/>
    </row>
    <row r="45" spans="1:11">
      <c r="A45" s="557"/>
      <c r="B45" s="145"/>
      <c r="C45" s="145" t="s">
        <v>195</v>
      </c>
      <c r="D45" s="58"/>
      <c r="E45" s="199">
        <v>26</v>
      </c>
      <c r="F45" s="199"/>
      <c r="G45" s="199">
        <f t="shared" si="6"/>
        <v>26</v>
      </c>
      <c r="H45" s="58"/>
    </row>
    <row r="46" spans="1:11">
      <c r="A46" s="557"/>
      <c r="B46" s="145"/>
      <c r="C46" s="127" t="s">
        <v>196</v>
      </c>
      <c r="D46" s="58"/>
      <c r="E46" s="199">
        <v>3.9</v>
      </c>
      <c r="F46" s="199"/>
      <c r="G46" s="199">
        <f t="shared" si="6"/>
        <v>3.9</v>
      </c>
      <c r="H46" s="150">
        <f>G41+G42+G43+G44+G45+G46</f>
        <v>564.19999999999993</v>
      </c>
    </row>
    <row r="47" spans="1:11">
      <c r="A47" s="558">
        <v>2008</v>
      </c>
      <c r="B47" s="145"/>
      <c r="C47" s="58" t="s">
        <v>197</v>
      </c>
      <c r="D47" s="58"/>
      <c r="E47" s="199">
        <v>162.5</v>
      </c>
      <c r="F47" s="199"/>
      <c r="G47" s="150">
        <f t="shared" si="6"/>
        <v>162.5</v>
      </c>
      <c r="H47" s="58"/>
    </row>
    <row r="48" spans="1:11">
      <c r="A48" s="558"/>
      <c r="B48" s="145"/>
      <c r="C48" s="58" t="s">
        <v>134</v>
      </c>
      <c r="D48" s="58"/>
      <c r="E48" s="199">
        <v>97.17</v>
      </c>
      <c r="F48" s="199"/>
      <c r="G48" s="199">
        <f t="shared" si="6"/>
        <v>97.17</v>
      </c>
      <c r="H48" s="58"/>
    </row>
    <row r="49" spans="1:53">
      <c r="A49" s="558"/>
      <c r="B49" s="145"/>
      <c r="C49" s="58" t="s">
        <v>184</v>
      </c>
      <c r="D49" s="58"/>
      <c r="E49" s="199">
        <v>80.91</v>
      </c>
      <c r="F49" s="199"/>
      <c r="G49" s="199">
        <f t="shared" ref="G49:G50" si="7">E49+F49</f>
        <v>80.91</v>
      </c>
      <c r="H49" s="150">
        <f>G48+G49</f>
        <v>178.07999999999998</v>
      </c>
    </row>
    <row r="50" spans="1:53">
      <c r="A50" s="558"/>
      <c r="B50" s="145"/>
      <c r="C50" s="58" t="s">
        <v>198</v>
      </c>
      <c r="D50" s="58"/>
      <c r="E50" s="199">
        <v>39</v>
      </c>
      <c r="F50" s="199"/>
      <c r="G50" s="199">
        <f t="shared" si="7"/>
        <v>39</v>
      </c>
      <c r="H50" s="150"/>
    </row>
    <row r="51" spans="1:53" s="127" customFormat="1">
      <c r="A51" s="558"/>
      <c r="B51" s="145"/>
      <c r="C51" s="145" t="s">
        <v>185</v>
      </c>
      <c r="D51" s="145"/>
      <c r="E51" s="128">
        <v>910</v>
      </c>
      <c r="F51" s="128"/>
      <c r="G51" s="199">
        <f t="shared" si="6"/>
        <v>910</v>
      </c>
      <c r="H51" s="151">
        <f>G50+G51</f>
        <v>949</v>
      </c>
      <c r="I51" s="145"/>
      <c r="J51" s="145"/>
      <c r="K51" s="145"/>
      <c r="L51" s="145"/>
      <c r="N51" s="1"/>
      <c r="O51" s="150"/>
      <c r="P51" s="128"/>
      <c r="Q51" s="128"/>
      <c r="R51" s="128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"/>
    </row>
    <row r="52" spans="1:53" s="127" customFormat="1">
      <c r="A52" s="142">
        <v>2009</v>
      </c>
      <c r="B52" s="145"/>
      <c r="C52" s="145"/>
      <c r="D52" s="145"/>
      <c r="E52" s="145"/>
      <c r="F52" s="145"/>
      <c r="G52" s="199">
        <f t="shared" si="6"/>
        <v>0</v>
      </c>
      <c r="H52" s="145"/>
      <c r="I52" s="145"/>
      <c r="J52" s="145"/>
      <c r="K52" s="145"/>
      <c r="L52" s="145"/>
      <c r="N52" s="1"/>
      <c r="O52" s="58"/>
      <c r="P52" s="151"/>
      <c r="Q52" s="128"/>
      <c r="R52" s="128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"/>
    </row>
    <row r="53" spans="1:53">
      <c r="A53" s="558">
        <v>2010</v>
      </c>
      <c r="B53" s="145"/>
      <c r="C53" s="145" t="s">
        <v>199</v>
      </c>
      <c r="D53" s="69"/>
      <c r="E53" s="199">
        <v>20.8</v>
      </c>
      <c r="F53" s="58"/>
      <c r="G53" s="150">
        <f t="shared" si="6"/>
        <v>20.8</v>
      </c>
      <c r="H53" s="58"/>
      <c r="I53" s="69"/>
      <c r="J53" s="69"/>
      <c r="K53" s="69"/>
      <c r="L53" s="69"/>
      <c r="O53" s="150"/>
      <c r="P53" s="58"/>
      <c r="Q53" s="58"/>
      <c r="R53" s="58"/>
      <c r="S53" s="69"/>
      <c r="T53" s="69"/>
      <c r="U53" s="69"/>
      <c r="V53" s="69"/>
      <c r="W53" s="69"/>
      <c r="X53" s="69"/>
      <c r="Y53" s="69"/>
      <c r="Z53" s="58"/>
      <c r="AA53" s="58"/>
      <c r="AB53" s="69"/>
    </row>
    <row r="54" spans="1:53">
      <c r="A54" s="558"/>
      <c r="B54" s="145"/>
      <c r="C54" s="153" t="s">
        <v>200</v>
      </c>
      <c r="D54" s="69"/>
      <c r="E54" s="128"/>
      <c r="F54" s="207"/>
      <c r="G54" s="208">
        <f t="shared" si="6"/>
        <v>0</v>
      </c>
      <c r="H54" s="128"/>
      <c r="I54" s="145"/>
      <c r="J54" s="69"/>
      <c r="K54" s="69"/>
      <c r="L54" s="69"/>
      <c r="O54" s="150"/>
      <c r="P54" s="58"/>
      <c r="Q54" s="58"/>
      <c r="R54" s="58"/>
      <c r="S54" s="69"/>
      <c r="T54" s="69"/>
      <c r="U54" s="69"/>
      <c r="V54" s="69"/>
      <c r="W54" s="69"/>
      <c r="X54" s="69"/>
      <c r="Y54" s="69"/>
      <c r="Z54" s="58"/>
      <c r="AA54" s="58"/>
      <c r="AB54" s="69"/>
    </row>
    <row r="55" spans="1:53">
      <c r="A55" s="558"/>
      <c r="B55" s="145"/>
      <c r="C55" s="209" t="s">
        <v>201</v>
      </c>
      <c r="D55" s="58"/>
      <c r="E55" s="199">
        <v>15.66</v>
      </c>
      <c r="F55" s="199">
        <v>3.01</v>
      </c>
      <c r="G55" s="199">
        <f t="shared" ref="G55:G57" si="8">E55+F55</f>
        <v>18.670000000000002</v>
      </c>
      <c r="H55" s="69"/>
      <c r="I55" s="69"/>
      <c r="J55" s="69"/>
      <c r="K55" s="69"/>
      <c r="L55" s="69"/>
      <c r="O55" s="58"/>
      <c r="P55" s="58"/>
      <c r="Q55" s="58"/>
      <c r="R55" s="58"/>
      <c r="S55" s="69"/>
      <c r="T55" s="69"/>
      <c r="U55" s="69"/>
      <c r="V55" s="69"/>
      <c r="W55" s="69"/>
      <c r="X55" s="69"/>
      <c r="Y55" s="69"/>
      <c r="Z55" s="58"/>
      <c r="AA55" s="58"/>
      <c r="AB55" s="69"/>
    </row>
    <row r="56" spans="1:53">
      <c r="A56" s="558"/>
      <c r="B56" s="145"/>
      <c r="C56" s="209" t="s">
        <v>202</v>
      </c>
      <c r="D56" s="58"/>
      <c r="E56" s="199">
        <v>31.33</v>
      </c>
      <c r="F56" s="199">
        <v>6.02</v>
      </c>
      <c r="G56" s="199">
        <f t="shared" si="8"/>
        <v>37.349999999999994</v>
      </c>
      <c r="H56" s="150">
        <f>G55+G56</f>
        <v>56.019999999999996</v>
      </c>
      <c r="I56" s="69"/>
      <c r="J56" s="69"/>
      <c r="K56" s="69" t="s">
        <v>203</v>
      </c>
      <c r="L56" s="69"/>
      <c r="O56" s="58"/>
      <c r="P56" s="58"/>
      <c r="Q56" s="58"/>
      <c r="R56" s="58"/>
      <c r="S56" s="69"/>
      <c r="T56" s="69"/>
      <c r="U56" s="69"/>
      <c r="V56" s="69"/>
      <c r="W56" s="69"/>
      <c r="X56" s="69"/>
      <c r="Y56" s="69"/>
      <c r="Z56" s="58"/>
      <c r="AA56" s="58"/>
      <c r="AB56" s="69"/>
    </row>
    <row r="57" spans="1:53">
      <c r="A57" s="558"/>
      <c r="B57" s="145"/>
      <c r="C57" s="58" t="s">
        <v>206</v>
      </c>
      <c r="D57" s="58"/>
      <c r="E57" s="199">
        <v>482.7</v>
      </c>
      <c r="F57" s="199">
        <v>92.83</v>
      </c>
      <c r="G57" s="199">
        <f t="shared" si="8"/>
        <v>575.53</v>
      </c>
      <c r="H57" s="69"/>
      <c r="I57" s="69"/>
      <c r="J57" s="69"/>
      <c r="K57" s="69" t="s">
        <v>179</v>
      </c>
      <c r="L57" s="69"/>
      <c r="O57" s="58"/>
      <c r="P57" s="58"/>
      <c r="Q57" s="58"/>
      <c r="R57" s="58"/>
      <c r="S57" s="69"/>
      <c r="T57" s="69"/>
      <c r="U57" s="69"/>
      <c r="V57" s="69"/>
      <c r="W57" s="69"/>
      <c r="X57" s="69"/>
      <c r="Y57" s="69"/>
      <c r="Z57" s="58"/>
      <c r="AA57" s="58"/>
      <c r="AB57" s="69"/>
    </row>
    <row r="58" spans="1:53">
      <c r="A58" s="558"/>
      <c r="B58" s="145"/>
      <c r="C58" s="559" t="s">
        <v>207</v>
      </c>
      <c r="D58" s="58"/>
      <c r="E58" s="199">
        <v>532.24</v>
      </c>
      <c r="F58" s="199">
        <v>102.35</v>
      </c>
      <c r="G58" s="199">
        <f t="shared" ref="G58:G62" si="9">E58+F58</f>
        <v>634.59</v>
      </c>
      <c r="H58" s="69"/>
      <c r="I58" s="69"/>
      <c r="J58" s="69"/>
      <c r="K58" s="205" t="s">
        <v>180</v>
      </c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</row>
    <row r="59" spans="1:53">
      <c r="A59" s="558"/>
      <c r="B59" s="145"/>
      <c r="C59" s="559"/>
      <c r="D59" s="122"/>
      <c r="E59" s="206"/>
      <c r="F59" s="206"/>
      <c r="G59" s="206"/>
      <c r="H59" s="151"/>
      <c r="I59" s="145"/>
      <c r="J59" s="145"/>
      <c r="K59" s="205" t="s">
        <v>181</v>
      </c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</row>
    <row r="60" spans="1:53">
      <c r="A60" s="558"/>
      <c r="B60" s="145"/>
      <c r="C60" s="209" t="s">
        <v>205</v>
      </c>
      <c r="D60" s="145"/>
      <c r="E60" s="128">
        <v>228.11</v>
      </c>
      <c r="F60" s="128">
        <v>43.67</v>
      </c>
      <c r="G60" s="199">
        <f t="shared" si="9"/>
        <v>271.78000000000003</v>
      </c>
      <c r="H60" s="150">
        <f>G57+G58+G60</f>
        <v>1481.8999999999999</v>
      </c>
      <c r="I60" s="69"/>
      <c r="J60" s="69"/>
      <c r="K60" s="69" t="s">
        <v>236</v>
      </c>
      <c r="L60" s="69"/>
      <c r="O60" s="58"/>
      <c r="P60" s="58"/>
      <c r="Q60" s="58"/>
      <c r="R60" s="58"/>
      <c r="S60" s="69"/>
      <c r="T60" s="69"/>
      <c r="U60" s="69"/>
      <c r="V60" s="69"/>
      <c r="W60" s="69"/>
      <c r="X60" s="69"/>
      <c r="Y60" s="69"/>
      <c r="Z60" s="58"/>
      <c r="AA60" s="58"/>
      <c r="AB60" s="69"/>
    </row>
    <row r="61" spans="1:53">
      <c r="A61" s="142">
        <v>2011</v>
      </c>
      <c r="B61" s="145"/>
      <c r="C61" s="58" t="s">
        <v>173</v>
      </c>
      <c r="D61" s="58"/>
      <c r="E61" s="199">
        <v>85.42</v>
      </c>
      <c r="F61" s="199">
        <v>16.43</v>
      </c>
      <c r="G61" s="150">
        <f t="shared" si="9"/>
        <v>101.85</v>
      </c>
      <c r="H61" s="69"/>
      <c r="I61" s="69"/>
      <c r="J61" s="69"/>
      <c r="K61" s="69" t="s">
        <v>228</v>
      </c>
      <c r="L61" s="69"/>
      <c r="O61" s="150"/>
      <c r="P61" s="58"/>
      <c r="Q61" s="58"/>
      <c r="R61" s="58"/>
      <c r="S61" s="69"/>
      <c r="T61" s="69"/>
      <c r="U61" s="69"/>
      <c r="V61" s="69"/>
      <c r="W61" s="69"/>
      <c r="X61" s="69"/>
      <c r="Y61" s="69"/>
      <c r="Z61" s="58"/>
      <c r="AA61" s="58"/>
      <c r="AB61" s="69"/>
    </row>
    <row r="62" spans="1:53">
      <c r="A62" s="142"/>
      <c r="B62" s="145"/>
      <c r="C62" s="145" t="s">
        <v>208</v>
      </c>
      <c r="D62" s="145"/>
      <c r="E62" s="128">
        <v>388.56</v>
      </c>
      <c r="F62" s="128">
        <v>74.72</v>
      </c>
      <c r="G62" s="151">
        <f t="shared" si="9"/>
        <v>463.28</v>
      </c>
      <c r="H62" s="69"/>
      <c r="I62" s="69"/>
      <c r="J62" s="69"/>
      <c r="K62" s="69" t="s">
        <v>209</v>
      </c>
      <c r="L62" s="69"/>
      <c r="O62" s="150"/>
      <c r="P62" s="58"/>
      <c r="Q62" s="58"/>
      <c r="R62" s="58"/>
      <c r="S62" s="69"/>
      <c r="T62" s="69"/>
      <c r="U62" s="69"/>
      <c r="V62" s="69"/>
      <c r="W62" s="69"/>
      <c r="X62" s="69"/>
      <c r="Y62" s="69"/>
      <c r="Z62" s="58"/>
      <c r="AA62" s="58"/>
      <c r="AB62" s="69"/>
    </row>
    <row r="63" spans="1:53">
      <c r="A63" s="142"/>
      <c r="B63" s="145"/>
      <c r="C63" s="58" t="s">
        <v>174</v>
      </c>
      <c r="D63" s="58"/>
      <c r="E63" s="199">
        <v>18.97</v>
      </c>
      <c r="F63" s="199">
        <v>3.65</v>
      </c>
      <c r="G63" s="199">
        <f t="shared" ref="G63" si="10">E63+F63</f>
        <v>22.619999999999997</v>
      </c>
      <c r="H63" s="69"/>
      <c r="I63" s="69"/>
      <c r="J63" s="69"/>
      <c r="K63" s="69" t="s">
        <v>210</v>
      </c>
      <c r="L63" s="69"/>
      <c r="O63" s="150"/>
      <c r="P63" s="58"/>
      <c r="Q63" s="210" t="s">
        <v>106</v>
      </c>
      <c r="R63" s="152"/>
      <c r="S63" s="69"/>
      <c r="T63" s="69"/>
      <c r="U63" s="69"/>
      <c r="V63" s="69"/>
      <c r="W63" s="69"/>
      <c r="X63" s="69"/>
      <c r="Y63" s="69"/>
      <c r="Z63" s="58"/>
      <c r="AA63" s="58"/>
      <c r="AB63" s="69"/>
    </row>
    <row r="64" spans="1:53">
      <c r="A64" s="142"/>
      <c r="B64" s="145"/>
      <c r="C64" s="58" t="s">
        <v>175</v>
      </c>
      <c r="D64" s="58"/>
      <c r="E64" s="199">
        <v>18.97</v>
      </c>
      <c r="F64" s="199">
        <v>51.88</v>
      </c>
      <c r="G64" s="199">
        <v>9.98</v>
      </c>
      <c r="H64" s="69"/>
      <c r="I64" s="69"/>
      <c r="J64" s="69"/>
      <c r="K64" s="69" t="s">
        <v>178</v>
      </c>
      <c r="L64" s="69"/>
      <c r="O64" s="150"/>
      <c r="P64" s="58"/>
      <c r="Q64" s="210"/>
      <c r="R64" s="152"/>
      <c r="S64" s="69"/>
      <c r="T64" s="69"/>
      <c r="U64" s="69"/>
      <c r="V64" s="69"/>
      <c r="W64" s="69"/>
      <c r="X64" s="69"/>
      <c r="Y64" s="69"/>
      <c r="Z64" s="58"/>
      <c r="AA64" s="58"/>
      <c r="AB64" s="69"/>
    </row>
    <row r="65" spans="1:28">
      <c r="A65" s="142"/>
      <c r="B65" s="145"/>
      <c r="C65" s="58" t="s">
        <v>176</v>
      </c>
      <c r="D65" s="58"/>
      <c r="E65" s="199">
        <v>18.97</v>
      </c>
      <c r="F65" s="199">
        <v>69.91</v>
      </c>
      <c r="G65" s="199">
        <v>13.44</v>
      </c>
      <c r="H65" s="69"/>
      <c r="I65" s="69"/>
      <c r="J65" s="69"/>
      <c r="K65" s="69" t="s">
        <v>178</v>
      </c>
      <c r="L65" s="69"/>
      <c r="O65" s="150"/>
      <c r="P65" s="58"/>
      <c r="Q65" s="210"/>
      <c r="R65" s="152"/>
      <c r="S65" s="69"/>
      <c r="T65" s="69"/>
      <c r="U65" s="69"/>
      <c r="V65" s="69"/>
      <c r="W65" s="69"/>
      <c r="X65" s="69"/>
      <c r="Y65" s="69"/>
      <c r="Z65" s="58"/>
      <c r="AA65" s="58"/>
      <c r="AB65" s="69"/>
    </row>
    <row r="66" spans="1:28">
      <c r="A66" s="142"/>
      <c r="B66" s="145"/>
      <c r="C66" s="58" t="s">
        <v>177</v>
      </c>
      <c r="D66" s="58"/>
      <c r="E66" s="199">
        <v>18.97</v>
      </c>
      <c r="F66" s="199">
        <v>70.89</v>
      </c>
      <c r="G66" s="199">
        <v>13.63</v>
      </c>
      <c r="H66" s="150">
        <f>G63+G64+G65+G66</f>
        <v>59.669999999999995</v>
      </c>
      <c r="I66" s="69"/>
      <c r="J66" s="69"/>
      <c r="K66" s="69" t="s">
        <v>178</v>
      </c>
      <c r="L66" s="69"/>
      <c r="O66" s="150"/>
      <c r="P66" s="58"/>
      <c r="Q66" s="210"/>
      <c r="R66" s="152"/>
      <c r="S66" s="69"/>
      <c r="T66" s="69"/>
      <c r="U66" s="69"/>
      <c r="V66" s="69"/>
      <c r="W66" s="69"/>
      <c r="X66" s="69"/>
      <c r="Y66" s="69"/>
      <c r="Z66" s="58"/>
      <c r="AA66" s="58"/>
      <c r="AB66" s="69"/>
    </row>
    <row r="67" spans="1:28">
      <c r="A67" s="143">
        <v>2012</v>
      </c>
      <c r="B67" s="145"/>
      <c r="C67" s="58" t="s">
        <v>155</v>
      </c>
      <c r="D67" s="58"/>
      <c r="E67" s="199">
        <v>230.8</v>
      </c>
      <c r="F67" s="199">
        <v>44.38</v>
      </c>
      <c r="G67" s="150">
        <f t="shared" ref="G67:G68" si="11">E67+F67</f>
        <v>275.18</v>
      </c>
      <c r="H67" s="69"/>
      <c r="I67" s="69"/>
      <c r="J67" s="69"/>
      <c r="K67" s="69"/>
      <c r="L67" s="69"/>
      <c r="O67" s="58"/>
      <c r="P67" s="150"/>
      <c r="Q67" s="58"/>
      <c r="R67" s="58"/>
      <c r="S67" s="69"/>
      <c r="T67" s="69"/>
      <c r="U67" s="69"/>
      <c r="V67" s="69"/>
      <c r="W67" s="69"/>
      <c r="X67" s="69"/>
      <c r="Y67" s="69"/>
      <c r="Z67" s="58"/>
      <c r="AA67" s="58"/>
      <c r="AB67" s="69"/>
    </row>
    <row r="68" spans="1:28">
      <c r="A68" s="142">
        <v>2013</v>
      </c>
      <c r="B68" s="145"/>
      <c r="C68" s="145" t="s">
        <v>211</v>
      </c>
      <c r="D68" s="69"/>
      <c r="E68" s="58">
        <v>40.31</v>
      </c>
      <c r="F68" s="58">
        <v>7.75</v>
      </c>
      <c r="G68" s="150">
        <f t="shared" si="11"/>
        <v>48.06</v>
      </c>
      <c r="H68" s="69"/>
      <c r="I68" s="69"/>
      <c r="J68" s="69"/>
      <c r="K68" s="69" t="s">
        <v>216</v>
      </c>
      <c r="L68" s="69"/>
      <c r="O68" s="58"/>
      <c r="P68" s="150"/>
      <c r="Q68" s="58"/>
      <c r="R68" s="58"/>
      <c r="S68" s="69"/>
      <c r="T68" s="69"/>
      <c r="U68" s="69"/>
      <c r="V68" s="69"/>
      <c r="W68" s="69"/>
      <c r="X68" s="69"/>
      <c r="Y68" s="69"/>
      <c r="Z68" s="58"/>
      <c r="AA68" s="58"/>
      <c r="AB68" s="69"/>
    </row>
    <row r="69" spans="1:28">
      <c r="A69" s="127"/>
      <c r="B69" s="145"/>
      <c r="C69" s="145"/>
      <c r="D69" s="69"/>
      <c r="E69" s="69"/>
      <c r="F69" s="69"/>
      <c r="G69" s="69"/>
      <c r="H69" s="69"/>
      <c r="I69" s="69"/>
      <c r="J69" s="69"/>
      <c r="K69" s="69"/>
      <c r="L69" s="69"/>
      <c r="O69" s="58"/>
      <c r="P69" s="150"/>
      <c r="Q69" s="58"/>
      <c r="R69" s="58"/>
      <c r="S69" s="69"/>
      <c r="T69" s="69"/>
      <c r="U69" s="69"/>
      <c r="V69" s="69"/>
      <c r="W69" s="69"/>
      <c r="X69" s="69"/>
      <c r="Y69" s="69"/>
      <c r="Z69" s="58"/>
      <c r="AA69" s="58"/>
      <c r="AB69" s="69"/>
    </row>
    <row r="70" spans="1:28">
      <c r="A70" s="127"/>
      <c r="B70" s="145"/>
      <c r="C70" s="145"/>
      <c r="D70" s="69"/>
      <c r="E70" s="69"/>
      <c r="F70" s="69"/>
      <c r="G70" s="69"/>
      <c r="H70" s="69"/>
      <c r="I70" s="69"/>
      <c r="J70" s="69"/>
      <c r="K70" s="69"/>
      <c r="L70" s="69"/>
      <c r="O70" s="58"/>
      <c r="P70" s="150"/>
      <c r="Q70" s="58"/>
      <c r="R70" s="58"/>
      <c r="S70" s="69"/>
      <c r="T70" s="69"/>
      <c r="U70" s="69"/>
      <c r="V70" s="69"/>
      <c r="W70" s="69"/>
      <c r="X70" s="69"/>
      <c r="Y70" s="69"/>
      <c r="Z70" s="58"/>
      <c r="AA70" s="58"/>
      <c r="AB70" s="69"/>
    </row>
    <row r="71" spans="1:28">
      <c r="A71" s="127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58"/>
      <c r="P71" s="58"/>
      <c r="Q71" s="58"/>
      <c r="R71" s="58"/>
      <c r="S71" s="69"/>
      <c r="T71" s="69"/>
      <c r="U71" s="69"/>
      <c r="V71" s="69"/>
      <c r="W71" s="69"/>
      <c r="X71" s="69"/>
      <c r="Y71" s="69"/>
      <c r="Z71" s="69"/>
      <c r="AA71" s="69"/>
      <c r="AB71" s="69"/>
    </row>
    <row r="72" spans="1:28">
      <c r="B72" s="69"/>
      <c r="C72" s="69"/>
      <c r="D72" s="69"/>
      <c r="E72" s="69"/>
      <c r="F72" s="69"/>
      <c r="G72" s="69"/>
      <c r="H72" s="69"/>
      <c r="I72" s="69"/>
      <c r="J72" s="58"/>
      <c r="K72" s="69"/>
      <c r="L72" s="69"/>
      <c r="M72" s="69"/>
      <c r="N72" s="69"/>
      <c r="O72" s="58"/>
      <c r="P72" s="58"/>
      <c r="Q72" s="58"/>
      <c r="R72" s="58"/>
      <c r="S72" s="69"/>
      <c r="T72" s="69"/>
      <c r="U72" s="69"/>
      <c r="V72" s="69"/>
      <c r="W72" s="69"/>
      <c r="X72" s="69"/>
      <c r="Y72" s="69"/>
      <c r="Z72" s="69"/>
      <c r="AA72" s="69"/>
      <c r="AB72" s="69"/>
    </row>
  </sheetData>
  <mergeCells count="21">
    <mergeCell ref="A33:A46"/>
    <mergeCell ref="A47:A51"/>
    <mergeCell ref="C58:C59"/>
    <mergeCell ref="A53:A60"/>
    <mergeCell ref="Z1:AA1"/>
    <mergeCell ref="L1:M1"/>
    <mergeCell ref="N1:O1"/>
    <mergeCell ref="P1:Q1"/>
    <mergeCell ref="R1:S1"/>
    <mergeCell ref="T1:U1"/>
    <mergeCell ref="V1:W1"/>
    <mergeCell ref="J1:K1"/>
    <mergeCell ref="A25:Y25"/>
    <mergeCell ref="A21:Y21"/>
    <mergeCell ref="X1:Y1"/>
    <mergeCell ref="A23:Y23"/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workbookViewId="0">
      <pane ySplit="1" topLeftCell="A2" activePane="bottomLeft" state="frozen"/>
      <selection pane="bottomLeft" activeCell="O20" sqref="O20"/>
    </sheetView>
  </sheetViews>
  <sheetFormatPr defaultRowHeight="14.25"/>
  <cols>
    <col min="1" max="1" width="5.21875" style="457" bestFit="1" customWidth="1"/>
    <col min="2" max="2" width="8.44140625" style="457" bestFit="1" customWidth="1"/>
    <col min="3" max="3" width="3.21875" style="457" customWidth="1"/>
    <col min="4" max="4" width="3.109375" style="457" customWidth="1"/>
    <col min="5" max="7" width="8.109375" style="457" bestFit="1" customWidth="1"/>
    <col min="8" max="8" width="3.109375" style="457" customWidth="1"/>
    <col min="9" max="9" width="3.44140625" style="457" customWidth="1"/>
    <col min="10" max="10" width="8.109375" style="457" bestFit="1" customWidth="1"/>
    <col min="11" max="11" width="7.21875" style="457" bestFit="1" customWidth="1"/>
    <col min="12" max="12" width="4.5546875" style="457" customWidth="1"/>
    <col min="13" max="13" width="4.44140625" style="457" customWidth="1"/>
    <col min="14" max="14" width="8.109375" style="457" bestFit="1" customWidth="1"/>
    <col min="15" max="15" width="9.44140625" style="457" bestFit="1" customWidth="1"/>
    <col min="16" max="16" width="12.6640625" style="457" bestFit="1" customWidth="1"/>
    <col min="17" max="17" width="9.44140625" style="457" bestFit="1" customWidth="1"/>
    <col min="18" max="18" width="3" style="457" customWidth="1"/>
    <col min="19" max="19" width="5.88671875" style="457" bestFit="1" customWidth="1"/>
    <col min="20" max="25" width="5.5546875" style="457" bestFit="1" customWidth="1"/>
    <col min="26" max="26" width="7.21875" style="457" bestFit="1" customWidth="1"/>
    <col min="27" max="27" width="5.88671875" style="457" bestFit="1" customWidth="1"/>
    <col min="28" max="30" width="5.5546875" style="457" bestFit="1" customWidth="1"/>
    <col min="31" max="31" width="7.21875" style="457" bestFit="1" customWidth="1"/>
    <col min="32" max="32" width="8.77734375" style="457" bestFit="1" customWidth="1"/>
    <col min="33" max="34" width="5.6640625" style="457" bestFit="1" customWidth="1"/>
    <col min="35" max="16384" width="8.88671875" style="457"/>
  </cols>
  <sheetData>
    <row r="1" spans="1:34" ht="29.25" thickBot="1">
      <c r="A1" s="451"/>
      <c r="B1" s="452" t="s">
        <v>18</v>
      </c>
      <c r="C1" s="453" t="s">
        <v>19</v>
      </c>
      <c r="D1" s="452" t="s">
        <v>20</v>
      </c>
      <c r="E1" s="454" t="s">
        <v>21</v>
      </c>
      <c r="F1" s="452" t="s">
        <v>2</v>
      </c>
      <c r="G1" s="453" t="s">
        <v>22</v>
      </c>
      <c r="H1" s="452" t="s">
        <v>23</v>
      </c>
      <c r="I1" s="454" t="s">
        <v>24</v>
      </c>
      <c r="J1" s="452" t="s">
        <v>25</v>
      </c>
      <c r="K1" s="453" t="s">
        <v>26</v>
      </c>
      <c r="L1" s="452" t="s">
        <v>27</v>
      </c>
      <c r="M1" s="454" t="s">
        <v>28</v>
      </c>
      <c r="N1" s="455" t="s">
        <v>261</v>
      </c>
      <c r="O1" s="455" t="s">
        <v>74</v>
      </c>
      <c r="P1" s="456" t="s">
        <v>263</v>
      </c>
      <c r="Q1" s="455" t="s">
        <v>74</v>
      </c>
      <c r="AE1" s="458">
        <f t="shared" ref="AE1:AE2" si="0">SUM(S1:AD1)</f>
        <v>0</v>
      </c>
    </row>
    <row r="2" spans="1:34" ht="15">
      <c r="A2" s="459">
        <v>1998</v>
      </c>
      <c r="B2" s="460"/>
      <c r="C2" s="460"/>
      <c r="D2" s="460"/>
      <c r="E2" s="460"/>
      <c r="F2" s="460"/>
      <c r="G2" s="460"/>
      <c r="H2" s="460"/>
      <c r="I2" s="460"/>
      <c r="J2" s="461">
        <v>115.92</v>
      </c>
      <c r="K2" s="461">
        <v>50.2</v>
      </c>
      <c r="L2" s="462"/>
      <c r="M2" s="462"/>
      <c r="N2" s="461">
        <f>SUM(J2:M2)</f>
        <v>166.12</v>
      </c>
      <c r="O2" s="503">
        <f>AE2</f>
        <v>1922</v>
      </c>
      <c r="P2" s="461">
        <f>N2*30%</f>
        <v>49.835999999999999</v>
      </c>
      <c r="Q2" s="503">
        <f>O2*30%</f>
        <v>576.6</v>
      </c>
      <c r="S2" s="463"/>
      <c r="T2" s="463"/>
      <c r="U2" s="463"/>
      <c r="V2" s="463"/>
      <c r="W2" s="463"/>
      <c r="X2" s="463"/>
      <c r="Y2" s="463"/>
      <c r="Z2" s="463">
        <v>1349</v>
      </c>
      <c r="AA2" s="463">
        <v>573</v>
      </c>
      <c r="AB2" s="463"/>
      <c r="AC2" s="463"/>
      <c r="AD2" s="463"/>
      <c r="AE2" s="464">
        <f t="shared" si="0"/>
        <v>1922</v>
      </c>
      <c r="AF2" s="463"/>
      <c r="AG2" s="463"/>
      <c r="AH2" s="463"/>
    </row>
    <row r="3" spans="1:34" ht="15">
      <c r="A3" s="465">
        <v>1999</v>
      </c>
      <c r="B3" s="466">
        <v>19.809999999999999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1">
        <f>SUM(B3:M3)</f>
        <v>19.809999999999999</v>
      </c>
      <c r="O3" s="503">
        <f>AE3</f>
        <v>214</v>
      </c>
      <c r="P3" s="461">
        <f t="shared" ref="P3:P17" si="1">N3*30%</f>
        <v>5.9429999999999996</v>
      </c>
      <c r="Q3" s="503">
        <f t="shared" ref="Q3:Q17" si="2">O3*30%</f>
        <v>64.2</v>
      </c>
      <c r="S3" s="463">
        <v>214</v>
      </c>
      <c r="T3" s="463">
        <v>0</v>
      </c>
      <c r="U3" s="463">
        <v>0</v>
      </c>
      <c r="V3" s="463">
        <v>0</v>
      </c>
      <c r="W3" s="463">
        <v>0</v>
      </c>
      <c r="X3" s="463">
        <v>0</v>
      </c>
      <c r="Y3" s="463">
        <v>0</v>
      </c>
      <c r="Z3" s="463">
        <v>0</v>
      </c>
      <c r="AA3" s="463"/>
      <c r="AB3" s="463">
        <v>0</v>
      </c>
      <c r="AC3" s="463">
        <v>0</v>
      </c>
      <c r="AD3" s="463">
        <v>0</v>
      </c>
      <c r="AE3" s="464">
        <f>SUM(S3:AD3)</f>
        <v>214</v>
      </c>
      <c r="AF3" s="468">
        <v>45324</v>
      </c>
    </row>
    <row r="4" spans="1:34">
      <c r="A4" s="465">
        <v>2000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504"/>
      <c r="P4" s="470">
        <f t="shared" si="1"/>
        <v>0</v>
      </c>
      <c r="Q4" s="507">
        <f t="shared" si="2"/>
        <v>0</v>
      </c>
    </row>
    <row r="5" spans="1:34">
      <c r="A5" s="465">
        <v>2001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504"/>
      <c r="P5" s="470">
        <f t="shared" si="1"/>
        <v>0</v>
      </c>
      <c r="Q5" s="507">
        <f t="shared" si="2"/>
        <v>0</v>
      </c>
    </row>
    <row r="6" spans="1:34">
      <c r="A6" s="465">
        <v>2002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504"/>
      <c r="P6" s="470">
        <f t="shared" si="1"/>
        <v>0</v>
      </c>
      <c r="Q6" s="507">
        <f t="shared" si="2"/>
        <v>0</v>
      </c>
    </row>
    <row r="7" spans="1:34">
      <c r="A7" s="465">
        <v>2003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505"/>
      <c r="P7" s="470">
        <f t="shared" si="1"/>
        <v>0</v>
      </c>
      <c r="Q7" s="507">
        <f t="shared" si="2"/>
        <v>0</v>
      </c>
    </row>
    <row r="8" spans="1:34">
      <c r="A8" s="465">
        <v>2004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505"/>
      <c r="P8" s="470">
        <f t="shared" si="1"/>
        <v>0</v>
      </c>
      <c r="Q8" s="507">
        <f t="shared" si="2"/>
        <v>0</v>
      </c>
    </row>
    <row r="9" spans="1:34">
      <c r="A9" s="465">
        <v>2005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504"/>
      <c r="P9" s="470">
        <f t="shared" si="1"/>
        <v>0</v>
      </c>
      <c r="Q9" s="507">
        <f t="shared" si="2"/>
        <v>0</v>
      </c>
    </row>
    <row r="10" spans="1:34">
      <c r="A10" s="465">
        <v>2006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504"/>
      <c r="P10" s="470">
        <f t="shared" si="1"/>
        <v>0</v>
      </c>
      <c r="Q10" s="507">
        <f t="shared" si="2"/>
        <v>0</v>
      </c>
    </row>
    <row r="11" spans="1:34">
      <c r="A11" s="465">
        <v>2007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504"/>
      <c r="P11" s="470">
        <f t="shared" si="1"/>
        <v>0</v>
      </c>
      <c r="Q11" s="507">
        <f t="shared" si="2"/>
        <v>0</v>
      </c>
    </row>
    <row r="12" spans="1:34">
      <c r="A12" s="465">
        <v>2008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504"/>
      <c r="P12" s="470">
        <f t="shared" si="1"/>
        <v>0</v>
      </c>
      <c r="Q12" s="507">
        <f t="shared" si="2"/>
        <v>0</v>
      </c>
    </row>
    <row r="13" spans="1:34">
      <c r="A13" s="465">
        <v>2009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504"/>
      <c r="P13" s="470">
        <f t="shared" si="1"/>
        <v>0</v>
      </c>
      <c r="Q13" s="507">
        <f t="shared" si="2"/>
        <v>0</v>
      </c>
    </row>
    <row r="14" spans="1:34">
      <c r="A14" s="465">
        <v>2010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504"/>
      <c r="P14" s="470">
        <f t="shared" si="1"/>
        <v>0</v>
      </c>
      <c r="Q14" s="507">
        <f t="shared" si="2"/>
        <v>0</v>
      </c>
    </row>
    <row r="15" spans="1:34">
      <c r="A15" s="465">
        <v>2011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504"/>
      <c r="P15" s="470">
        <f t="shared" si="1"/>
        <v>0</v>
      </c>
      <c r="Q15" s="507">
        <f t="shared" si="2"/>
        <v>0</v>
      </c>
    </row>
    <row r="16" spans="1:34">
      <c r="A16" s="465">
        <v>2012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504"/>
      <c r="P16" s="470">
        <f t="shared" si="1"/>
        <v>0</v>
      </c>
      <c r="Q16" s="507">
        <f t="shared" si="2"/>
        <v>0</v>
      </c>
    </row>
    <row r="17" spans="1:19" ht="15">
      <c r="A17" s="465">
        <v>2013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504"/>
      <c r="P17" s="470">
        <f t="shared" si="1"/>
        <v>0</v>
      </c>
      <c r="Q17" s="507">
        <f t="shared" si="2"/>
        <v>0</v>
      </c>
      <c r="R17" s="472"/>
      <c r="S17" s="472"/>
    </row>
    <row r="18" spans="1:19"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66">
        <v>185.92809977989728</v>
      </c>
      <c r="O18" s="506">
        <f>SUM(O2:O8)</f>
        <v>2136</v>
      </c>
      <c r="P18" s="466">
        <v>55.778429933969186</v>
      </c>
      <c r="Q18" s="506">
        <v>1203.8999999999999</v>
      </c>
    </row>
    <row r="19" spans="1:19" ht="15">
      <c r="P19" s="474">
        <v>299</v>
      </c>
    </row>
    <row r="20" spans="1:19">
      <c r="O20" s="304" t="s">
        <v>470</v>
      </c>
    </row>
    <row r="21" spans="1:19" ht="15">
      <c r="A21" s="563" t="s">
        <v>337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</row>
    <row r="23" spans="1:19">
      <c r="B23" s="457" t="s">
        <v>341</v>
      </c>
    </row>
    <row r="24" spans="1:19">
      <c r="A24" s="564" t="s">
        <v>338</v>
      </c>
      <c r="B24" s="457">
        <v>19</v>
      </c>
      <c r="E24" s="463">
        <v>2600</v>
      </c>
      <c r="F24" s="463"/>
    </row>
    <row r="25" spans="1:19">
      <c r="A25" s="564"/>
      <c r="B25" s="457">
        <v>20</v>
      </c>
      <c r="E25" s="463">
        <v>1365</v>
      </c>
      <c r="F25" s="463"/>
    </row>
    <row r="26" spans="1:19">
      <c r="A26" s="564"/>
      <c r="B26" s="457">
        <v>22</v>
      </c>
      <c r="E26" s="463">
        <v>4714</v>
      </c>
      <c r="F26" s="463"/>
    </row>
    <row r="27" spans="1:19">
      <c r="A27" s="564"/>
      <c r="B27" s="457">
        <v>25</v>
      </c>
      <c r="E27" s="463">
        <v>1202</v>
      </c>
      <c r="F27" s="463"/>
    </row>
    <row r="28" spans="1:19">
      <c r="A28" s="564"/>
      <c r="B28" s="457">
        <v>30</v>
      </c>
      <c r="E28" s="463">
        <v>2607</v>
      </c>
      <c r="F28" s="463"/>
    </row>
    <row r="29" spans="1:19">
      <c r="A29" s="564"/>
      <c r="B29" s="457">
        <v>32</v>
      </c>
      <c r="E29" s="463">
        <v>10005</v>
      </c>
      <c r="F29" s="463"/>
    </row>
    <row r="30" spans="1:19">
      <c r="A30" s="564"/>
      <c r="B30" s="457">
        <v>34</v>
      </c>
      <c r="E30" s="463">
        <v>6008</v>
      </c>
      <c r="F30" s="463"/>
    </row>
    <row r="31" spans="1:19">
      <c r="A31" s="564"/>
      <c r="B31" s="457">
        <v>43</v>
      </c>
      <c r="E31" s="463">
        <v>2007</v>
      </c>
      <c r="F31" s="463"/>
    </row>
    <row r="32" spans="1:19">
      <c r="A32" s="564"/>
      <c r="B32" s="457">
        <v>44</v>
      </c>
      <c r="E32" s="463">
        <v>1739</v>
      </c>
      <c r="F32" s="463"/>
    </row>
    <row r="33" spans="1:7">
      <c r="A33" s="564"/>
      <c r="B33" s="457">
        <v>47</v>
      </c>
      <c r="E33" s="463">
        <v>1813</v>
      </c>
      <c r="F33" s="463"/>
    </row>
    <row r="34" spans="1:7" ht="15">
      <c r="A34" s="564"/>
      <c r="B34" s="457">
        <v>50</v>
      </c>
      <c r="E34" s="463">
        <v>1000</v>
      </c>
      <c r="F34" s="475">
        <v>39499</v>
      </c>
      <c r="G34" s="476">
        <f>F34/340.75</f>
        <v>115.91782831988262</v>
      </c>
    </row>
    <row r="35" spans="1:7" ht="15">
      <c r="A35" s="565" t="s">
        <v>339</v>
      </c>
      <c r="B35" s="457">
        <v>66</v>
      </c>
      <c r="E35" s="463">
        <v>1000</v>
      </c>
      <c r="F35" s="463"/>
      <c r="G35" s="472"/>
    </row>
    <row r="36" spans="1:7" ht="15">
      <c r="A36" s="565"/>
      <c r="B36" s="457">
        <v>67</v>
      </c>
      <c r="E36" s="463">
        <v>4375</v>
      </c>
      <c r="F36" s="463"/>
      <c r="G36" s="472"/>
    </row>
    <row r="37" spans="1:7" ht="15">
      <c r="A37" s="565"/>
      <c r="B37" s="457">
        <v>69</v>
      </c>
      <c r="E37" s="463">
        <v>3525</v>
      </c>
      <c r="F37" s="463"/>
      <c r="G37" s="472"/>
    </row>
    <row r="38" spans="1:7" ht="15">
      <c r="A38" s="565"/>
      <c r="B38" s="457">
        <v>70</v>
      </c>
      <c r="E38" s="463">
        <v>5706</v>
      </c>
      <c r="F38" s="463"/>
      <c r="G38" s="472"/>
    </row>
    <row r="39" spans="1:7" ht="15">
      <c r="A39" s="565"/>
      <c r="B39" s="457">
        <v>71</v>
      </c>
      <c r="E39" s="463">
        <v>2500</v>
      </c>
      <c r="F39" s="475">
        <v>17106</v>
      </c>
      <c r="G39" s="476">
        <f>F39/340.75</f>
        <v>50.201027146001465</v>
      </c>
    </row>
    <row r="40" spans="1:7" ht="15">
      <c r="A40" s="477" t="s">
        <v>340</v>
      </c>
      <c r="B40" s="457">
        <v>253</v>
      </c>
      <c r="E40" s="475">
        <v>6750</v>
      </c>
      <c r="F40" s="463"/>
      <c r="G40" s="476">
        <f>E40/340.75</f>
        <v>19.809244314013206</v>
      </c>
    </row>
  </sheetData>
  <mergeCells count="3">
    <mergeCell ref="A21:Q21"/>
    <mergeCell ref="A24:A34"/>
    <mergeCell ref="A35:A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28"/>
  <sheetViews>
    <sheetView workbookViewId="0">
      <pane ySplit="2" topLeftCell="A3" activePane="bottomLeft" state="frozen"/>
      <selection pane="bottomLeft" activeCell="AF4" sqref="AF4"/>
    </sheetView>
  </sheetViews>
  <sheetFormatPr defaultRowHeight="11.25"/>
  <cols>
    <col min="1" max="1" width="5.21875" style="284" bestFit="1" customWidth="1"/>
    <col min="2" max="2" width="6.44140625" style="284" bestFit="1" customWidth="1"/>
    <col min="3" max="3" width="7" style="284" bestFit="1" customWidth="1"/>
    <col min="4" max="5" width="6.33203125" style="284" bestFit="1" customWidth="1"/>
    <col min="6" max="6" width="6.44140625" style="284" bestFit="1" customWidth="1"/>
    <col min="7" max="8" width="2.6640625" style="284" bestFit="1" customWidth="1"/>
    <col min="9" max="9" width="5.6640625" style="284" bestFit="1" customWidth="1"/>
    <col min="10" max="11" width="6.33203125" style="284" bestFit="1" customWidth="1"/>
    <col min="12" max="12" width="5.6640625" style="284" bestFit="1" customWidth="1"/>
    <col min="13" max="13" width="6.33203125" style="284" bestFit="1" customWidth="1"/>
    <col min="14" max="14" width="7.33203125" style="284" bestFit="1" customWidth="1"/>
    <col min="15" max="15" width="6.5546875" style="284" bestFit="1" customWidth="1"/>
    <col min="16" max="16" width="6.33203125" style="284" bestFit="1" customWidth="1"/>
    <col min="17" max="17" width="6.5546875" style="284" bestFit="1" customWidth="1"/>
    <col min="18" max="18" width="3.109375" style="284" customWidth="1"/>
    <col min="19" max="20" width="4.6640625" style="284" bestFit="1" customWidth="1"/>
    <col min="21" max="21" width="4.6640625" style="284" customWidth="1"/>
    <col min="22" max="22" width="3.109375" style="284" customWidth="1"/>
    <col min="23" max="23" width="4.5546875" style="284" customWidth="1"/>
    <col min="24" max="24" width="3.88671875" style="284" customWidth="1"/>
    <col min="25" max="25" width="3.77734375" style="284" customWidth="1"/>
    <col min="26" max="28" width="5.6640625" style="284" bestFit="1" customWidth="1"/>
    <col min="29" max="29" width="4.6640625" style="284" bestFit="1" customWidth="1"/>
    <col min="30" max="30" width="5.6640625" style="284" bestFit="1" customWidth="1"/>
    <col min="31" max="31" width="6.33203125" style="284" bestFit="1" customWidth="1"/>
    <col min="32" max="16384" width="8.88671875" style="284"/>
  </cols>
  <sheetData>
    <row r="1" spans="1:32">
      <c r="A1" s="529"/>
      <c r="B1" s="534" t="s">
        <v>18</v>
      </c>
      <c r="C1" s="518" t="s">
        <v>19</v>
      </c>
      <c r="D1" s="534" t="s">
        <v>20</v>
      </c>
      <c r="E1" s="532" t="s">
        <v>21</v>
      </c>
      <c r="F1" s="534" t="s">
        <v>2</v>
      </c>
      <c r="G1" s="518" t="s">
        <v>22</v>
      </c>
      <c r="H1" s="534" t="s">
        <v>23</v>
      </c>
      <c r="I1" s="532" t="s">
        <v>24</v>
      </c>
      <c r="J1" s="534" t="s">
        <v>25</v>
      </c>
      <c r="K1" s="518" t="s">
        <v>26</v>
      </c>
      <c r="L1" s="534" t="s">
        <v>27</v>
      </c>
      <c r="M1" s="532" t="s">
        <v>28</v>
      </c>
      <c r="N1" s="336"/>
      <c r="P1" s="574" t="s">
        <v>332</v>
      </c>
      <c r="Q1" s="574"/>
    </row>
    <row r="2" spans="1:32" ht="12" thickBot="1">
      <c r="A2" s="530"/>
      <c r="B2" s="535"/>
      <c r="C2" s="519"/>
      <c r="D2" s="535"/>
      <c r="E2" s="533"/>
      <c r="F2" s="535"/>
      <c r="G2" s="519"/>
      <c r="H2" s="535"/>
      <c r="I2" s="533"/>
      <c r="J2" s="535"/>
      <c r="K2" s="519"/>
      <c r="L2" s="535"/>
      <c r="M2" s="533"/>
      <c r="N2" s="337" t="s">
        <v>39</v>
      </c>
      <c r="O2" s="40" t="s">
        <v>74</v>
      </c>
      <c r="P2" s="337" t="s">
        <v>39</v>
      </c>
      <c r="Q2" s="40" t="s">
        <v>74</v>
      </c>
    </row>
    <row r="3" spans="1:32">
      <c r="A3" s="288">
        <v>1998</v>
      </c>
      <c r="B3" s="289"/>
      <c r="C3" s="289"/>
      <c r="D3" s="289"/>
      <c r="E3" s="289"/>
      <c r="F3" s="289"/>
      <c r="G3" s="289"/>
      <c r="H3" s="289"/>
      <c r="I3" s="290">
        <v>99.76</v>
      </c>
      <c r="J3" s="290">
        <v>209.25</v>
      </c>
      <c r="K3" s="290">
        <v>573.69000000000005</v>
      </c>
      <c r="L3" s="290">
        <v>73.28</v>
      </c>
      <c r="M3" s="290">
        <v>337.38</v>
      </c>
      <c r="N3" s="338">
        <f>SUM(I3:M3)</f>
        <v>1293.3600000000001</v>
      </c>
      <c r="O3" s="302">
        <f>AE3</f>
        <v>14702</v>
      </c>
      <c r="P3" s="338">
        <f>N3*30%</f>
        <v>388.00800000000004</v>
      </c>
      <c r="Q3" s="339">
        <f>O3*30%</f>
        <v>4410.5999999999995</v>
      </c>
      <c r="S3" s="296"/>
      <c r="T3" s="296"/>
      <c r="U3" s="296"/>
      <c r="V3" s="296"/>
      <c r="W3" s="296"/>
      <c r="X3" s="296"/>
      <c r="Y3" s="296"/>
      <c r="Z3" s="296">
        <v>1183</v>
      </c>
      <c r="AA3" s="296">
        <v>2436</v>
      </c>
      <c r="AB3" s="296">
        <v>6552</v>
      </c>
      <c r="AC3" s="296">
        <v>821</v>
      </c>
      <c r="AD3" s="145">
        <v>3710</v>
      </c>
      <c r="AE3" s="375">
        <f>SUM(S3:AD3)</f>
        <v>14702</v>
      </c>
    </row>
    <row r="4" spans="1:32">
      <c r="A4" s="285">
        <v>1999</v>
      </c>
      <c r="B4" s="291">
        <v>11.04</v>
      </c>
      <c r="C4" s="291">
        <v>54.57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291">
        <f t="shared" ref="N4:N18" si="0">SUM(B4:M4)</f>
        <v>65.61</v>
      </c>
      <c r="O4" s="302">
        <f>AE4</f>
        <v>697</v>
      </c>
      <c r="P4" s="338">
        <f>N4*30%</f>
        <v>19.683</v>
      </c>
      <c r="Q4" s="339">
        <f>O4*30%</f>
        <v>209.1</v>
      </c>
      <c r="S4" s="296">
        <v>119</v>
      </c>
      <c r="T4" s="296">
        <v>578</v>
      </c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375">
        <f t="shared" ref="AE4" si="1">SUM(S4:AD4)</f>
        <v>697</v>
      </c>
      <c r="AF4" s="148">
        <v>45324</v>
      </c>
    </row>
    <row r="5" spans="1:32">
      <c r="A5" s="285">
        <v>2000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>
        <f t="shared" si="0"/>
        <v>0</v>
      </c>
      <c r="O5" s="322"/>
      <c r="P5" s="286">
        <f t="shared" ref="P5:P18" si="2">SUM(D5:O5)</f>
        <v>0</v>
      </c>
      <c r="Q5" s="322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304" t="s">
        <v>470</v>
      </c>
    </row>
    <row r="6" spans="1:32">
      <c r="A6" s="285">
        <v>2001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>
        <f t="shared" si="0"/>
        <v>0</v>
      </c>
      <c r="O6" s="322"/>
      <c r="P6" s="286">
        <f t="shared" si="2"/>
        <v>0</v>
      </c>
      <c r="Q6" s="322"/>
      <c r="S6" s="296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</row>
    <row r="7" spans="1:32">
      <c r="A7" s="285">
        <v>2002</v>
      </c>
      <c r="B7" s="286"/>
      <c r="C7" s="286"/>
      <c r="D7" s="286"/>
      <c r="E7" s="286"/>
      <c r="F7" s="286"/>
      <c r="G7" s="286"/>
      <c r="H7" s="286"/>
      <c r="I7" s="322"/>
      <c r="J7" s="286"/>
      <c r="K7" s="286"/>
      <c r="L7" s="286"/>
      <c r="M7" s="286"/>
      <c r="N7" s="286">
        <f t="shared" si="0"/>
        <v>0</v>
      </c>
      <c r="O7" s="322"/>
      <c r="P7" s="286">
        <f t="shared" si="2"/>
        <v>0</v>
      </c>
      <c r="Q7" s="322"/>
      <c r="S7" s="294"/>
    </row>
    <row r="8" spans="1:32">
      <c r="A8" s="285">
        <v>2003</v>
      </c>
      <c r="B8" s="117"/>
      <c r="C8" s="117"/>
      <c r="D8" s="117"/>
      <c r="E8" s="117"/>
      <c r="F8" s="117"/>
      <c r="G8" s="117"/>
      <c r="H8" s="117"/>
      <c r="I8" s="340"/>
      <c r="J8" s="117"/>
      <c r="K8" s="117"/>
      <c r="L8" s="117"/>
      <c r="M8" s="117"/>
      <c r="N8" s="286">
        <f t="shared" si="0"/>
        <v>0</v>
      </c>
      <c r="O8" s="322"/>
      <c r="P8" s="286">
        <f t="shared" si="2"/>
        <v>0</v>
      </c>
      <c r="Q8" s="322"/>
      <c r="S8" s="294"/>
    </row>
    <row r="9" spans="1:32">
      <c r="A9" s="285">
        <v>2004</v>
      </c>
      <c r="B9" s="117"/>
      <c r="C9" s="117"/>
      <c r="D9" s="117"/>
      <c r="E9" s="117"/>
      <c r="F9" s="117"/>
      <c r="G9" s="117"/>
      <c r="H9" s="117"/>
      <c r="I9" s="340"/>
      <c r="J9" s="117"/>
      <c r="K9" s="117"/>
      <c r="L9" s="117"/>
      <c r="M9" s="117"/>
      <c r="N9" s="286">
        <f t="shared" si="0"/>
        <v>0</v>
      </c>
      <c r="O9" s="322"/>
      <c r="P9" s="286">
        <f t="shared" si="2"/>
        <v>0</v>
      </c>
      <c r="Q9" s="322"/>
      <c r="S9" s="294"/>
    </row>
    <row r="10" spans="1:32">
      <c r="A10" s="285">
        <v>2005</v>
      </c>
      <c r="B10" s="286"/>
      <c r="C10" s="286"/>
      <c r="D10" s="286"/>
      <c r="E10" s="286"/>
      <c r="F10" s="286"/>
      <c r="G10" s="286"/>
      <c r="H10" s="286"/>
      <c r="I10" s="322"/>
      <c r="J10" s="286"/>
      <c r="K10" s="286"/>
      <c r="L10" s="286"/>
      <c r="M10" s="286"/>
      <c r="N10" s="286">
        <f t="shared" si="0"/>
        <v>0</v>
      </c>
      <c r="O10" s="322"/>
      <c r="P10" s="286">
        <f t="shared" si="2"/>
        <v>0</v>
      </c>
      <c r="Q10" s="322"/>
      <c r="S10" s="294"/>
    </row>
    <row r="11" spans="1:32">
      <c r="A11" s="285">
        <v>2006</v>
      </c>
      <c r="B11" s="286"/>
      <c r="C11" s="286"/>
      <c r="D11" s="286"/>
      <c r="E11" s="286"/>
      <c r="F11" s="286"/>
      <c r="G11" s="286"/>
      <c r="H11" s="286"/>
      <c r="I11" s="322"/>
      <c r="J11" s="286"/>
      <c r="K11" s="286"/>
      <c r="L11" s="286"/>
      <c r="M11" s="286"/>
      <c r="N11" s="286">
        <f t="shared" si="0"/>
        <v>0</v>
      </c>
      <c r="O11" s="322"/>
      <c r="P11" s="286">
        <f t="shared" si="2"/>
        <v>0</v>
      </c>
      <c r="Q11" s="322"/>
      <c r="S11" s="294"/>
    </row>
    <row r="12" spans="1:32">
      <c r="A12" s="285">
        <v>2007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86">
        <f t="shared" si="0"/>
        <v>0</v>
      </c>
      <c r="O12" s="322"/>
      <c r="P12" s="286">
        <f t="shared" si="2"/>
        <v>0</v>
      </c>
      <c r="Q12" s="322"/>
      <c r="S12" s="294"/>
    </row>
    <row r="13" spans="1:32">
      <c r="A13" s="285">
        <v>2008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86">
        <f t="shared" si="0"/>
        <v>0</v>
      </c>
      <c r="O13" s="322"/>
      <c r="P13" s="286">
        <f t="shared" si="2"/>
        <v>0</v>
      </c>
      <c r="Q13" s="322"/>
      <c r="S13" s="294"/>
    </row>
    <row r="14" spans="1:32">
      <c r="A14" s="285">
        <v>2009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86">
        <f t="shared" si="0"/>
        <v>0</v>
      </c>
      <c r="O14" s="322"/>
      <c r="P14" s="286">
        <f t="shared" si="2"/>
        <v>0</v>
      </c>
      <c r="Q14" s="322"/>
      <c r="S14" s="294"/>
    </row>
    <row r="15" spans="1:32">
      <c r="A15" s="285">
        <v>2010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86">
        <f t="shared" si="0"/>
        <v>0</v>
      </c>
      <c r="O15" s="322"/>
      <c r="P15" s="286">
        <f t="shared" si="2"/>
        <v>0</v>
      </c>
      <c r="Q15" s="322"/>
      <c r="S15" s="294"/>
    </row>
    <row r="16" spans="1:32">
      <c r="A16" s="285">
        <v>2011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86">
        <f t="shared" si="0"/>
        <v>0</v>
      </c>
      <c r="O16" s="322"/>
      <c r="P16" s="286">
        <f t="shared" si="2"/>
        <v>0</v>
      </c>
      <c r="Q16" s="322"/>
      <c r="S16" s="294"/>
    </row>
    <row r="17" spans="1:19">
      <c r="A17" s="285">
        <v>2012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86">
        <f t="shared" si="0"/>
        <v>0</v>
      </c>
      <c r="O17" s="322"/>
      <c r="P17" s="286">
        <f t="shared" si="2"/>
        <v>0</v>
      </c>
      <c r="Q17" s="322"/>
      <c r="S17" s="294"/>
    </row>
    <row r="18" spans="1:19">
      <c r="A18" s="285">
        <v>2013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86">
        <f t="shared" si="0"/>
        <v>0</v>
      </c>
      <c r="O18" s="341"/>
      <c r="P18" s="286">
        <f t="shared" si="2"/>
        <v>0</v>
      </c>
      <c r="Q18" s="341"/>
      <c r="R18" s="304"/>
      <c r="S18" s="294"/>
    </row>
    <row r="19" spans="1:19"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1">
        <f>SUM(N3:N18)</f>
        <v>1358.97</v>
      </c>
      <c r="O19" s="299">
        <f>SUM(O3:O18)</f>
        <v>15399</v>
      </c>
      <c r="P19" s="291">
        <f>SUM(P3:P18)</f>
        <v>407.69100000000003</v>
      </c>
      <c r="Q19" s="299">
        <f>SUM(Q3:Q18)</f>
        <v>4619.7</v>
      </c>
    </row>
    <row r="20" spans="1:19">
      <c r="P20" s="334">
        <v>299</v>
      </c>
    </row>
    <row r="21" spans="1:19">
      <c r="O21" s="304" t="s">
        <v>470</v>
      </c>
    </row>
    <row r="22" spans="1:19">
      <c r="A22" s="575" t="s">
        <v>381</v>
      </c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</row>
    <row r="23" spans="1:19">
      <c r="B23" s="284" t="s">
        <v>341</v>
      </c>
      <c r="C23" s="284" t="s">
        <v>344</v>
      </c>
      <c r="D23" s="284" t="s">
        <v>83</v>
      </c>
      <c r="E23" s="572" t="s">
        <v>342</v>
      </c>
      <c r="F23" s="572"/>
      <c r="G23" s="572"/>
    </row>
    <row r="24" spans="1:19">
      <c r="A24" s="567" t="s">
        <v>343</v>
      </c>
      <c r="B24" s="323">
        <v>3</v>
      </c>
      <c r="C24" s="324">
        <v>219157</v>
      </c>
      <c r="D24" s="324">
        <v>3656</v>
      </c>
      <c r="E24" s="227">
        <f>D24/340.75</f>
        <v>10.72927366104182</v>
      </c>
      <c r="F24" s="323"/>
    </row>
    <row r="25" spans="1:19">
      <c r="A25" s="567"/>
      <c r="B25" s="323">
        <v>5</v>
      </c>
      <c r="C25" s="324">
        <v>219158</v>
      </c>
      <c r="D25" s="324">
        <v>3366</v>
      </c>
      <c r="E25" s="227">
        <f t="shared" ref="E25:E83" si="3">D25/340.75</f>
        <v>9.8782098312545852</v>
      </c>
      <c r="F25" s="323"/>
    </row>
    <row r="26" spans="1:19">
      <c r="A26" s="567"/>
      <c r="B26" s="323">
        <v>9</v>
      </c>
      <c r="C26" s="324">
        <v>219159</v>
      </c>
      <c r="D26" s="324">
        <v>4500</v>
      </c>
      <c r="E26" s="227">
        <f t="shared" si="3"/>
        <v>13.206162876008804</v>
      </c>
      <c r="F26" s="323"/>
    </row>
    <row r="27" spans="1:19">
      <c r="A27" s="567"/>
      <c r="B27" s="323">
        <v>12</v>
      </c>
      <c r="C27" s="324">
        <v>219152</v>
      </c>
      <c r="D27" s="324">
        <v>7845</v>
      </c>
      <c r="E27" s="227">
        <f t="shared" si="3"/>
        <v>23.02274394717535</v>
      </c>
      <c r="F27" s="323"/>
    </row>
    <row r="28" spans="1:19" ht="12" thickBot="1">
      <c r="A28" s="568"/>
      <c r="B28" s="325">
        <v>14</v>
      </c>
      <c r="C28" s="326">
        <v>219162</v>
      </c>
      <c r="D28" s="326">
        <v>14625</v>
      </c>
      <c r="E28" s="327">
        <f t="shared" si="3"/>
        <v>42.92002934702861</v>
      </c>
      <c r="F28" s="328">
        <f>SUM(E24:E28)</f>
        <v>99.75641966250916</v>
      </c>
      <c r="M28" s="296"/>
    </row>
    <row r="29" spans="1:19">
      <c r="A29" s="569" t="s">
        <v>338</v>
      </c>
      <c r="B29" s="329">
        <v>15</v>
      </c>
      <c r="C29" s="330">
        <v>219163</v>
      </c>
      <c r="D29" s="330">
        <v>4285</v>
      </c>
      <c r="E29" s="331">
        <f t="shared" si="3"/>
        <v>12.575201760821717</v>
      </c>
      <c r="I29" s="384"/>
      <c r="M29" s="296"/>
    </row>
    <row r="30" spans="1:19">
      <c r="A30" s="570"/>
      <c r="B30" s="323">
        <v>17</v>
      </c>
      <c r="C30" s="324">
        <v>219164</v>
      </c>
      <c r="D30" s="324">
        <v>5684</v>
      </c>
      <c r="E30" s="227">
        <f t="shared" si="3"/>
        <v>16.680851063829788</v>
      </c>
      <c r="F30" s="332" t="s">
        <v>346</v>
      </c>
      <c r="I30" s="384"/>
      <c r="M30" s="296"/>
    </row>
    <row r="31" spans="1:19">
      <c r="A31" s="570"/>
      <c r="B31" s="323">
        <v>18</v>
      </c>
      <c r="C31" s="324">
        <v>219166</v>
      </c>
      <c r="D31" s="324">
        <v>9750</v>
      </c>
      <c r="E31" s="227">
        <f t="shared" si="3"/>
        <v>28.613352898019077</v>
      </c>
      <c r="F31" s="332" t="s">
        <v>347</v>
      </c>
      <c r="I31" s="384"/>
      <c r="M31" s="296"/>
    </row>
    <row r="32" spans="1:19">
      <c r="A32" s="570"/>
      <c r="B32" s="323">
        <v>23</v>
      </c>
      <c r="C32" s="324">
        <v>219167</v>
      </c>
      <c r="D32" s="324">
        <v>2863</v>
      </c>
      <c r="E32" s="227">
        <f t="shared" si="3"/>
        <v>8.4020542920029353</v>
      </c>
      <c r="F32" s="332" t="s">
        <v>348</v>
      </c>
      <c r="I32" s="384"/>
      <c r="M32" s="296"/>
    </row>
    <row r="33" spans="1:13">
      <c r="A33" s="570"/>
      <c r="B33" s="323">
        <v>36</v>
      </c>
      <c r="C33" s="324">
        <v>219170</v>
      </c>
      <c r="D33" s="324">
        <v>4500</v>
      </c>
      <c r="E33" s="227">
        <f t="shared" si="3"/>
        <v>13.206162876008804</v>
      </c>
      <c r="F33" s="332" t="s">
        <v>349</v>
      </c>
      <c r="I33" s="384"/>
      <c r="M33" s="296"/>
    </row>
    <row r="34" spans="1:13">
      <c r="A34" s="570"/>
      <c r="B34" s="323">
        <v>38</v>
      </c>
      <c r="C34" s="324">
        <v>219195</v>
      </c>
      <c r="D34" s="324">
        <v>3550</v>
      </c>
      <c r="E34" s="227">
        <f t="shared" si="3"/>
        <v>10.418195157740278</v>
      </c>
      <c r="F34" s="332" t="s">
        <v>350</v>
      </c>
      <c r="I34" s="384"/>
      <c r="M34" s="296"/>
    </row>
    <row r="35" spans="1:13">
      <c r="A35" s="570"/>
      <c r="B35" s="323">
        <v>41</v>
      </c>
      <c r="C35" s="324">
        <v>219171</v>
      </c>
      <c r="D35" s="324">
        <v>1365</v>
      </c>
      <c r="E35" s="227">
        <f t="shared" si="3"/>
        <v>4.0058694057226703</v>
      </c>
      <c r="F35" s="332" t="s">
        <v>351</v>
      </c>
      <c r="I35" s="384"/>
      <c r="M35" s="296"/>
    </row>
    <row r="36" spans="1:13">
      <c r="A36" s="570"/>
      <c r="B36" s="323">
        <v>45</v>
      </c>
      <c r="C36" s="324">
        <v>219172</v>
      </c>
      <c r="D36" s="324">
        <v>8053</v>
      </c>
      <c r="E36" s="227">
        <f t="shared" si="3"/>
        <v>23.633162142333088</v>
      </c>
      <c r="F36" s="332" t="s">
        <v>352</v>
      </c>
      <c r="I36" s="384"/>
      <c r="M36" s="296"/>
    </row>
    <row r="37" spans="1:13">
      <c r="A37" s="570"/>
      <c r="B37" s="323">
        <v>51</v>
      </c>
      <c r="C37" s="324">
        <v>219181</v>
      </c>
      <c r="D37" s="324">
        <v>2985</v>
      </c>
      <c r="E37" s="227">
        <f t="shared" si="3"/>
        <v>8.7600880410858402</v>
      </c>
      <c r="F37" s="332" t="s">
        <v>353</v>
      </c>
      <c r="I37" s="384"/>
      <c r="M37" s="296"/>
    </row>
    <row r="38" spans="1:13">
      <c r="A38" s="570"/>
      <c r="B38" s="323">
        <v>52</v>
      </c>
      <c r="C38" s="324">
        <v>219180</v>
      </c>
      <c r="D38" s="324">
        <v>1905</v>
      </c>
      <c r="E38" s="227">
        <f t="shared" si="3"/>
        <v>5.5906089508437269</v>
      </c>
      <c r="F38" s="332" t="s">
        <v>354</v>
      </c>
      <c r="I38" s="384"/>
      <c r="M38" s="296"/>
    </row>
    <row r="39" spans="1:13">
      <c r="A39" s="570"/>
      <c r="B39" s="323">
        <v>53</v>
      </c>
      <c r="C39" s="324">
        <v>219179</v>
      </c>
      <c r="D39" s="324">
        <v>1638</v>
      </c>
      <c r="E39" s="227">
        <f t="shared" si="3"/>
        <v>4.8070432868672048</v>
      </c>
      <c r="F39" s="332" t="s">
        <v>355</v>
      </c>
      <c r="I39" s="384"/>
    </row>
    <row r="40" spans="1:13">
      <c r="A40" s="570"/>
      <c r="B40" s="323">
        <v>54</v>
      </c>
      <c r="C40" s="324">
        <v>219178</v>
      </c>
      <c r="D40" s="324">
        <v>18056</v>
      </c>
      <c r="E40" s="227">
        <f t="shared" si="3"/>
        <v>52.988994864269991</v>
      </c>
      <c r="F40" s="332" t="s">
        <v>356</v>
      </c>
      <c r="I40" s="384"/>
    </row>
    <row r="41" spans="1:13">
      <c r="A41" s="570"/>
      <c r="B41" s="323">
        <v>55</v>
      </c>
      <c r="C41" s="324">
        <v>219176</v>
      </c>
      <c r="D41" s="324">
        <v>2063</v>
      </c>
      <c r="E41" s="227">
        <f t="shared" si="3"/>
        <v>6.0542920029347025</v>
      </c>
      <c r="F41" s="323"/>
      <c r="I41" s="384"/>
    </row>
    <row r="42" spans="1:13" ht="12" thickBot="1">
      <c r="A42" s="571"/>
      <c r="B42" s="325">
        <v>61</v>
      </c>
      <c r="C42" s="326">
        <v>219174</v>
      </c>
      <c r="D42" s="326">
        <v>4605</v>
      </c>
      <c r="E42" s="327">
        <f t="shared" si="3"/>
        <v>13.51430667644901</v>
      </c>
      <c r="F42" s="328">
        <f>SUM(E29:E42)</f>
        <v>209.25018341892883</v>
      </c>
      <c r="I42" s="384"/>
    </row>
    <row r="43" spans="1:13">
      <c r="A43" s="566" t="s">
        <v>339</v>
      </c>
      <c r="B43" s="329">
        <v>73</v>
      </c>
      <c r="C43" s="330">
        <v>179192</v>
      </c>
      <c r="D43" s="330">
        <v>4750</v>
      </c>
      <c r="E43" s="331">
        <f t="shared" si="3"/>
        <v>13.939838591342626</v>
      </c>
      <c r="F43" s="329"/>
      <c r="M43" s="296"/>
    </row>
    <row r="44" spans="1:13">
      <c r="A44" s="567"/>
      <c r="B44" s="323">
        <v>74</v>
      </c>
      <c r="C44" s="324">
        <v>179190</v>
      </c>
      <c r="D44" s="324">
        <v>1625</v>
      </c>
      <c r="E44" s="227">
        <f t="shared" si="3"/>
        <v>4.7688921496698455</v>
      </c>
      <c r="F44" s="332" t="s">
        <v>357</v>
      </c>
      <c r="M44" s="296"/>
    </row>
    <row r="45" spans="1:13">
      <c r="A45" s="567"/>
      <c r="B45" s="323">
        <v>75</v>
      </c>
      <c r="C45" s="324">
        <v>179188</v>
      </c>
      <c r="D45" s="324">
        <v>5685</v>
      </c>
      <c r="E45" s="227">
        <f t="shared" si="3"/>
        <v>16.683785766691123</v>
      </c>
      <c r="F45" s="332" t="s">
        <v>358</v>
      </c>
      <c r="M45" s="296"/>
    </row>
    <row r="46" spans="1:13">
      <c r="A46" s="567"/>
      <c r="B46" s="323">
        <v>76</v>
      </c>
      <c r="C46" s="324">
        <v>179509</v>
      </c>
      <c r="D46" s="324">
        <v>2875</v>
      </c>
      <c r="E46" s="227">
        <f t="shared" si="3"/>
        <v>8.4372707263389586</v>
      </c>
      <c r="F46" s="332" t="s">
        <v>359</v>
      </c>
      <c r="M46" s="296"/>
    </row>
    <row r="47" spans="1:13">
      <c r="A47" s="567"/>
      <c r="B47" s="323">
        <v>77</v>
      </c>
      <c r="C47" s="324">
        <v>179185</v>
      </c>
      <c r="D47" s="324">
        <v>2125</v>
      </c>
      <c r="E47" s="227">
        <f t="shared" si="3"/>
        <v>6.2362435803374909</v>
      </c>
      <c r="F47" s="332" t="s">
        <v>360</v>
      </c>
      <c r="M47" s="296"/>
    </row>
    <row r="48" spans="1:13">
      <c r="A48" s="567"/>
      <c r="B48" s="323">
        <v>78</v>
      </c>
      <c r="C48" s="324">
        <v>179183</v>
      </c>
      <c r="D48" s="324">
        <v>18373</v>
      </c>
      <c r="E48" s="227">
        <f t="shared" si="3"/>
        <v>53.919295671313279</v>
      </c>
      <c r="F48" s="332" t="s">
        <v>361</v>
      </c>
    </row>
    <row r="49" spans="1:6">
      <c r="A49" s="567"/>
      <c r="B49" s="323">
        <v>79</v>
      </c>
      <c r="C49" s="324">
        <v>179181</v>
      </c>
      <c r="D49" s="324">
        <v>10653</v>
      </c>
      <c r="E49" s="227">
        <f t="shared" si="3"/>
        <v>31.263389581804841</v>
      </c>
      <c r="F49" s="323"/>
    </row>
    <row r="50" spans="1:6">
      <c r="A50" s="567"/>
      <c r="B50" s="323">
        <v>82</v>
      </c>
      <c r="C50" s="324">
        <v>179180</v>
      </c>
      <c r="D50" s="324">
        <v>1149</v>
      </c>
      <c r="E50" s="227">
        <f t="shared" si="3"/>
        <v>3.371973587674248</v>
      </c>
      <c r="F50" s="323"/>
    </row>
    <row r="51" spans="1:6">
      <c r="A51" s="567"/>
      <c r="B51" s="323">
        <v>86</v>
      </c>
      <c r="C51" s="324">
        <v>179179</v>
      </c>
      <c r="D51" s="324">
        <v>5265</v>
      </c>
      <c r="E51" s="227">
        <f t="shared" si="3"/>
        <v>15.451210564930301</v>
      </c>
      <c r="F51" s="323"/>
    </row>
    <row r="52" spans="1:6">
      <c r="A52" s="567"/>
      <c r="B52" s="323">
        <v>87</v>
      </c>
      <c r="C52" s="324">
        <v>179177</v>
      </c>
      <c r="D52" s="324">
        <v>40413</v>
      </c>
      <c r="E52" s="227">
        <f t="shared" si="3"/>
        <v>118.60014673514307</v>
      </c>
      <c r="F52" s="323"/>
    </row>
    <row r="53" spans="1:6">
      <c r="A53" s="567"/>
      <c r="B53" s="573">
        <v>88</v>
      </c>
      <c r="C53" s="324">
        <v>179174</v>
      </c>
      <c r="D53" s="324">
        <v>31911</v>
      </c>
      <c r="E53" s="227">
        <f t="shared" si="3"/>
        <v>93.649303008070433</v>
      </c>
      <c r="F53" s="323"/>
    </row>
    <row r="54" spans="1:6">
      <c r="A54" s="567"/>
      <c r="B54" s="573"/>
      <c r="C54" s="324">
        <v>179175</v>
      </c>
      <c r="D54" s="324">
        <v>1000</v>
      </c>
      <c r="E54" s="227">
        <f t="shared" si="3"/>
        <v>2.9347028613352899</v>
      </c>
      <c r="F54" s="323"/>
    </row>
    <row r="55" spans="1:6">
      <c r="A55" s="567"/>
      <c r="B55" s="342">
        <v>91</v>
      </c>
      <c r="C55" s="324">
        <v>179172</v>
      </c>
      <c r="D55" s="324">
        <v>12988</v>
      </c>
      <c r="E55" s="227">
        <f t="shared" si="3"/>
        <v>38.115920763022743</v>
      </c>
      <c r="F55" s="323"/>
    </row>
    <row r="56" spans="1:6">
      <c r="A56" s="567"/>
      <c r="B56" s="342">
        <v>96</v>
      </c>
      <c r="C56" s="324">
        <v>147386</v>
      </c>
      <c r="D56" s="324">
        <v>2985</v>
      </c>
      <c r="E56" s="227">
        <f t="shared" si="3"/>
        <v>8.7600880410858402</v>
      </c>
      <c r="F56" s="323"/>
    </row>
    <row r="57" spans="1:6">
      <c r="A57" s="567"/>
      <c r="B57" s="342">
        <v>98</v>
      </c>
      <c r="C57" s="324">
        <v>179168</v>
      </c>
      <c r="D57" s="324">
        <v>2445</v>
      </c>
      <c r="E57" s="227">
        <f t="shared" si="3"/>
        <v>7.1753484959647835</v>
      </c>
      <c r="F57" s="323"/>
    </row>
    <row r="58" spans="1:6">
      <c r="A58" s="567"/>
      <c r="B58" s="573">
        <v>99</v>
      </c>
      <c r="C58" s="324">
        <v>179169</v>
      </c>
      <c r="D58" s="324">
        <v>45285</v>
      </c>
      <c r="E58" s="227">
        <f t="shared" si="3"/>
        <v>132.89801907556861</v>
      </c>
      <c r="F58" s="323"/>
    </row>
    <row r="59" spans="1:6">
      <c r="A59" s="567"/>
      <c r="B59" s="573"/>
      <c r="C59" s="324">
        <v>179170</v>
      </c>
      <c r="D59" s="324">
        <v>1000</v>
      </c>
      <c r="E59" s="227">
        <f t="shared" si="3"/>
        <v>2.9347028613352899</v>
      </c>
      <c r="F59" s="323"/>
    </row>
    <row r="60" spans="1:6">
      <c r="A60" s="567"/>
      <c r="B60" s="342">
        <v>104</v>
      </c>
      <c r="C60" s="324">
        <v>179167</v>
      </c>
      <c r="D60" s="324">
        <v>2000</v>
      </c>
      <c r="E60" s="227">
        <f t="shared" si="3"/>
        <v>5.8694057226705798</v>
      </c>
      <c r="F60" s="323"/>
    </row>
    <row r="61" spans="1:6">
      <c r="A61" s="567"/>
      <c r="B61" s="342">
        <v>105</v>
      </c>
      <c r="C61" s="324">
        <v>179164</v>
      </c>
      <c r="D61" s="324">
        <v>1041</v>
      </c>
      <c r="E61" s="227">
        <f t="shared" si="3"/>
        <v>3.0550256786500367</v>
      </c>
      <c r="F61" s="323"/>
    </row>
    <row r="62" spans="1:6">
      <c r="A62" s="567"/>
      <c r="B62" s="342">
        <v>106</v>
      </c>
      <c r="C62" s="324">
        <v>179165</v>
      </c>
      <c r="D62" s="324">
        <v>1041</v>
      </c>
      <c r="E62" s="227">
        <f t="shared" si="3"/>
        <v>3.0550256786500367</v>
      </c>
      <c r="F62" s="323"/>
    </row>
    <row r="63" spans="1:6" ht="12" thickBot="1">
      <c r="A63" s="568"/>
      <c r="B63" s="343">
        <v>108</v>
      </c>
      <c r="C63" s="326">
        <v>179163</v>
      </c>
      <c r="D63" s="326">
        <v>875</v>
      </c>
      <c r="E63" s="327">
        <f t="shared" si="3"/>
        <v>2.5678650036683788</v>
      </c>
      <c r="F63" s="328">
        <f>SUM(E43:E63)</f>
        <v>573.68745414526779</v>
      </c>
    </row>
    <row r="64" spans="1:6">
      <c r="A64" s="569" t="s">
        <v>362</v>
      </c>
      <c r="B64" s="342">
        <v>110</v>
      </c>
      <c r="C64" s="333" t="s">
        <v>363</v>
      </c>
      <c r="D64" s="344">
        <v>267</v>
      </c>
      <c r="E64" s="294">
        <f t="shared" si="3"/>
        <v>0.78356566397652239</v>
      </c>
    </row>
    <row r="65" spans="1:15">
      <c r="A65" s="570"/>
      <c r="B65" s="342">
        <v>113</v>
      </c>
      <c r="C65" s="344">
        <v>179160</v>
      </c>
      <c r="D65" s="344">
        <v>3000</v>
      </c>
      <c r="E65" s="294">
        <f t="shared" si="3"/>
        <v>8.8041085840058688</v>
      </c>
    </row>
    <row r="66" spans="1:15">
      <c r="A66" s="570"/>
      <c r="B66" s="342">
        <v>122</v>
      </c>
      <c r="C66" s="344">
        <v>179155</v>
      </c>
      <c r="D66" s="344">
        <v>1625</v>
      </c>
      <c r="E66" s="294">
        <f t="shared" si="3"/>
        <v>4.7688921496698455</v>
      </c>
    </row>
    <row r="67" spans="1:15">
      <c r="A67" s="570"/>
      <c r="B67" s="573">
        <v>123</v>
      </c>
      <c r="C67" s="344">
        <v>179157</v>
      </c>
      <c r="D67" s="344">
        <v>4938</v>
      </c>
      <c r="E67" s="294">
        <f t="shared" si="3"/>
        <v>14.49156272927366</v>
      </c>
    </row>
    <row r="68" spans="1:15">
      <c r="A68" s="570"/>
      <c r="B68" s="573"/>
      <c r="C68" s="344">
        <v>179158</v>
      </c>
      <c r="D68" s="344">
        <v>1000</v>
      </c>
      <c r="E68" s="294">
        <f t="shared" si="3"/>
        <v>2.9347028613352899</v>
      </c>
    </row>
    <row r="69" spans="1:15">
      <c r="A69" s="570"/>
      <c r="B69" s="342">
        <v>124</v>
      </c>
      <c r="C69" s="344">
        <v>179152</v>
      </c>
      <c r="D69" s="344">
        <v>1625</v>
      </c>
      <c r="E69" s="294">
        <f t="shared" si="3"/>
        <v>4.7688921496698455</v>
      </c>
    </row>
    <row r="70" spans="1:15">
      <c r="A70" s="570"/>
      <c r="B70" s="342">
        <v>125</v>
      </c>
      <c r="C70" s="344">
        <v>179151</v>
      </c>
      <c r="D70" s="344">
        <v>1365</v>
      </c>
      <c r="E70" s="294">
        <f t="shared" si="3"/>
        <v>4.0058694057226703</v>
      </c>
    </row>
    <row r="71" spans="1:15">
      <c r="A71" s="570"/>
      <c r="B71" s="342">
        <v>126</v>
      </c>
      <c r="C71" s="344">
        <v>179187</v>
      </c>
      <c r="D71" s="344">
        <v>7000</v>
      </c>
      <c r="E71" s="294">
        <f t="shared" si="3"/>
        <v>20.54292002934703</v>
      </c>
    </row>
    <row r="72" spans="1:15">
      <c r="A72" s="570"/>
      <c r="B72" s="342">
        <v>128</v>
      </c>
      <c r="C72" s="344">
        <v>147383</v>
      </c>
      <c r="D72" s="344">
        <v>716</v>
      </c>
      <c r="E72" s="294">
        <f t="shared" si="3"/>
        <v>2.1012472487160676</v>
      </c>
    </row>
    <row r="73" spans="1:15">
      <c r="A73" s="570"/>
      <c r="B73" s="342">
        <v>129</v>
      </c>
      <c r="C73" s="344">
        <v>147390</v>
      </c>
      <c r="D73" s="344">
        <v>851</v>
      </c>
      <c r="E73" s="294">
        <f t="shared" si="3"/>
        <v>2.4974321349963318</v>
      </c>
    </row>
    <row r="74" spans="1:15">
      <c r="A74" s="570"/>
      <c r="B74" s="342">
        <v>133</v>
      </c>
      <c r="C74" s="344">
        <v>147392</v>
      </c>
      <c r="D74" s="344">
        <v>1398</v>
      </c>
      <c r="E74" s="294">
        <f t="shared" si="3"/>
        <v>4.1027146001467347</v>
      </c>
    </row>
    <row r="75" spans="1:15" ht="12" thickBot="1">
      <c r="A75" s="571"/>
      <c r="B75" s="343">
        <v>141</v>
      </c>
      <c r="C75" s="345">
        <v>147388</v>
      </c>
      <c r="D75" s="345">
        <v>1186</v>
      </c>
      <c r="E75" s="327">
        <f t="shared" si="3"/>
        <v>3.4805575935436539</v>
      </c>
      <c r="F75" s="328">
        <f>SUM(E64:E75)</f>
        <v>73.282465150403524</v>
      </c>
      <c r="L75" s="323"/>
      <c r="M75" s="323"/>
      <c r="N75" s="323"/>
      <c r="O75" s="323"/>
    </row>
    <row r="76" spans="1:15">
      <c r="A76" s="566" t="s">
        <v>364</v>
      </c>
      <c r="B76" s="346">
        <v>151</v>
      </c>
      <c r="C76" s="330">
        <v>277639</v>
      </c>
      <c r="D76" s="347">
        <v>932</v>
      </c>
      <c r="E76" s="331">
        <f t="shared" si="3"/>
        <v>2.7351430667644903</v>
      </c>
      <c r="F76" s="329"/>
      <c r="L76" s="348"/>
      <c r="M76" s="348"/>
      <c r="N76" s="348"/>
      <c r="O76" s="323"/>
    </row>
    <row r="77" spans="1:15">
      <c r="A77" s="567"/>
      <c r="B77" s="342">
        <v>153</v>
      </c>
      <c r="C77" s="348">
        <v>277638</v>
      </c>
      <c r="D77" s="344">
        <v>1365</v>
      </c>
      <c r="E77" s="227">
        <f t="shared" si="3"/>
        <v>4.0058694057226703</v>
      </c>
      <c r="F77" s="323"/>
      <c r="L77" s="348"/>
      <c r="M77" s="348"/>
      <c r="N77" s="348"/>
      <c r="O77" s="323"/>
    </row>
    <row r="78" spans="1:15">
      <c r="A78" s="567"/>
      <c r="B78" s="342">
        <v>154</v>
      </c>
      <c r="C78" s="348">
        <v>277637</v>
      </c>
      <c r="D78" s="344">
        <v>1202</v>
      </c>
      <c r="E78" s="227">
        <f t="shared" si="3"/>
        <v>3.5275128393250181</v>
      </c>
      <c r="F78" s="323"/>
      <c r="L78" s="348"/>
      <c r="M78" s="348"/>
      <c r="N78" s="348"/>
      <c r="O78" s="323"/>
    </row>
    <row r="79" spans="1:15">
      <c r="A79" s="567"/>
      <c r="B79" s="342">
        <v>156</v>
      </c>
      <c r="C79" s="348">
        <v>277635</v>
      </c>
      <c r="D79" s="344">
        <v>3525</v>
      </c>
      <c r="E79" s="227">
        <f t="shared" si="3"/>
        <v>10.344827586206897</v>
      </c>
      <c r="F79" s="323"/>
      <c r="L79" s="348"/>
      <c r="M79" s="348"/>
      <c r="N79" s="348"/>
      <c r="O79" s="323"/>
    </row>
    <row r="80" spans="1:15">
      <c r="A80" s="567"/>
      <c r="B80" s="342">
        <v>161</v>
      </c>
      <c r="C80" s="348">
        <v>277646</v>
      </c>
      <c r="D80" s="344">
        <v>3178</v>
      </c>
      <c r="E80" s="227">
        <f t="shared" si="3"/>
        <v>9.3264856933235514</v>
      </c>
      <c r="F80" s="323"/>
      <c r="L80" s="348"/>
      <c r="M80" s="348"/>
      <c r="N80" s="348"/>
      <c r="O80" s="323"/>
    </row>
    <row r="81" spans="1:15">
      <c r="A81" s="567"/>
      <c r="B81" s="342">
        <v>162</v>
      </c>
      <c r="C81" s="348">
        <v>277644</v>
      </c>
      <c r="D81" s="344">
        <v>875</v>
      </c>
      <c r="E81" s="227">
        <f t="shared" si="3"/>
        <v>2.5678650036683788</v>
      </c>
      <c r="F81" s="323"/>
      <c r="L81" s="348"/>
      <c r="M81" s="348"/>
      <c r="N81" s="348"/>
      <c r="O81" s="323"/>
    </row>
    <row r="82" spans="1:15">
      <c r="A82" s="567"/>
      <c r="B82" s="342">
        <v>163</v>
      </c>
      <c r="C82" s="324">
        <v>277642</v>
      </c>
      <c r="D82" s="344">
        <v>4138</v>
      </c>
      <c r="E82" s="227">
        <f t="shared" si="3"/>
        <v>12.14380044020543</v>
      </c>
      <c r="F82" s="323"/>
      <c r="L82" s="348"/>
      <c r="M82" s="348"/>
      <c r="N82" s="348"/>
      <c r="O82" s="323"/>
    </row>
    <row r="83" spans="1:15">
      <c r="A83" s="567"/>
      <c r="B83" s="342">
        <v>164</v>
      </c>
      <c r="C83" s="348">
        <v>277633</v>
      </c>
      <c r="D83" s="344">
        <v>5685</v>
      </c>
      <c r="E83" s="227">
        <f t="shared" si="3"/>
        <v>16.683785766691123</v>
      </c>
      <c r="F83" s="323"/>
      <c r="L83" s="348"/>
      <c r="M83" s="348"/>
      <c r="N83" s="348"/>
      <c r="O83" s="323"/>
    </row>
    <row r="84" spans="1:15">
      <c r="A84" s="567"/>
      <c r="B84" s="342">
        <v>167</v>
      </c>
      <c r="C84" s="348">
        <v>276634</v>
      </c>
      <c r="D84" s="344">
        <v>2013</v>
      </c>
      <c r="E84" s="227">
        <f t="shared" ref="E84:E128" si="4">D84/340.75</f>
        <v>5.9075568598679382</v>
      </c>
      <c r="F84" s="323"/>
      <c r="L84" s="348"/>
      <c r="M84" s="348"/>
      <c r="N84" s="348"/>
      <c r="O84" s="323"/>
    </row>
    <row r="85" spans="1:15">
      <c r="A85" s="567"/>
      <c r="B85" s="573">
        <v>169</v>
      </c>
      <c r="C85" s="348">
        <v>147795</v>
      </c>
      <c r="D85" s="344">
        <v>5590</v>
      </c>
      <c r="E85" s="227">
        <f t="shared" si="4"/>
        <v>16.404988994864269</v>
      </c>
      <c r="F85" s="323"/>
      <c r="L85" s="348"/>
      <c r="M85" s="348"/>
      <c r="N85" s="348"/>
      <c r="O85" s="323"/>
    </row>
    <row r="86" spans="1:15">
      <c r="A86" s="567"/>
      <c r="B86" s="573"/>
      <c r="C86" s="348">
        <v>147796</v>
      </c>
      <c r="D86" s="344">
        <v>1000</v>
      </c>
      <c r="E86" s="227">
        <f t="shared" si="4"/>
        <v>2.9347028613352899</v>
      </c>
      <c r="F86" s="323"/>
      <c r="L86" s="348"/>
      <c r="M86" s="348"/>
      <c r="N86" s="348"/>
      <c r="O86" s="323"/>
    </row>
    <row r="87" spans="1:15">
      <c r="A87" s="567"/>
      <c r="B87" s="342">
        <v>170</v>
      </c>
      <c r="C87" s="348">
        <v>277640</v>
      </c>
      <c r="D87" s="344">
        <v>1365</v>
      </c>
      <c r="E87" s="227">
        <f t="shared" si="4"/>
        <v>4.0058694057226703</v>
      </c>
      <c r="F87" s="323"/>
      <c r="L87" s="348"/>
      <c r="M87" s="348"/>
      <c r="N87" s="348"/>
      <c r="O87" s="323"/>
    </row>
    <row r="88" spans="1:15">
      <c r="A88" s="567"/>
      <c r="B88" s="342">
        <v>172</v>
      </c>
      <c r="C88" s="348">
        <v>147791</v>
      </c>
      <c r="D88" s="344">
        <v>3275</v>
      </c>
      <c r="E88" s="227">
        <f t="shared" si="4"/>
        <v>9.6111518708730745</v>
      </c>
      <c r="F88" s="323"/>
      <c r="L88" s="348"/>
      <c r="M88" s="348"/>
      <c r="O88" s="323"/>
    </row>
    <row r="89" spans="1:15">
      <c r="A89" s="567"/>
      <c r="B89" s="342">
        <v>177</v>
      </c>
      <c r="C89" s="348">
        <v>277648</v>
      </c>
      <c r="D89" s="344">
        <v>1875</v>
      </c>
      <c r="E89" s="227">
        <f t="shared" si="4"/>
        <v>5.5025678650036687</v>
      </c>
      <c r="F89" s="323"/>
      <c r="M89" s="348"/>
      <c r="N89" s="348"/>
      <c r="O89" s="323"/>
    </row>
    <row r="90" spans="1:15">
      <c r="A90" s="567"/>
      <c r="B90" s="342">
        <v>178</v>
      </c>
      <c r="C90" s="348">
        <v>277647</v>
      </c>
      <c r="D90" s="344">
        <v>1688</v>
      </c>
      <c r="E90" s="227">
        <f t="shared" si="4"/>
        <v>4.9537784299339691</v>
      </c>
      <c r="F90" s="323"/>
      <c r="M90" s="348"/>
      <c r="N90" s="348"/>
      <c r="O90" s="323"/>
    </row>
    <row r="91" spans="1:15">
      <c r="A91" s="567"/>
      <c r="B91" s="342">
        <v>185</v>
      </c>
      <c r="C91" s="348">
        <v>147376</v>
      </c>
      <c r="D91" s="344">
        <v>1581</v>
      </c>
      <c r="E91" s="227">
        <f t="shared" si="4"/>
        <v>4.6397652237710929</v>
      </c>
      <c r="F91" s="323"/>
      <c r="M91" s="348"/>
      <c r="N91" s="348"/>
      <c r="O91" s="323"/>
    </row>
    <row r="92" spans="1:15">
      <c r="A92" s="567"/>
      <c r="B92" s="342">
        <v>195</v>
      </c>
      <c r="C92" s="348">
        <v>179541</v>
      </c>
      <c r="D92" s="344">
        <v>1365</v>
      </c>
      <c r="E92" s="227">
        <f t="shared" si="4"/>
        <v>4.0058694057226703</v>
      </c>
      <c r="F92" s="323"/>
      <c r="M92" s="348"/>
      <c r="N92" s="348"/>
      <c r="O92" s="323"/>
    </row>
    <row r="93" spans="1:15">
      <c r="A93" s="567"/>
      <c r="B93" s="342">
        <v>201</v>
      </c>
      <c r="C93" s="348">
        <v>179524</v>
      </c>
      <c r="D93" s="344">
        <v>1580</v>
      </c>
      <c r="E93" s="227">
        <f t="shared" si="4"/>
        <v>4.6368305209097578</v>
      </c>
      <c r="F93" s="323"/>
      <c r="M93" s="348"/>
      <c r="N93" s="348"/>
      <c r="O93" s="323"/>
    </row>
    <row r="94" spans="1:15">
      <c r="A94" s="567"/>
      <c r="B94" s="342">
        <v>203</v>
      </c>
      <c r="C94" s="348">
        <v>179534</v>
      </c>
      <c r="D94" s="344">
        <v>4834</v>
      </c>
      <c r="E94" s="227">
        <f t="shared" si="4"/>
        <v>14.186353631694791</v>
      </c>
      <c r="F94" s="323"/>
      <c r="L94" s="348"/>
      <c r="N94" s="348"/>
      <c r="O94" s="323"/>
    </row>
    <row r="95" spans="1:15">
      <c r="A95" s="567"/>
      <c r="B95" s="342">
        <v>204</v>
      </c>
      <c r="C95" s="348" t="s">
        <v>365</v>
      </c>
      <c r="D95" s="344">
        <v>563</v>
      </c>
      <c r="E95" s="227">
        <f t="shared" si="4"/>
        <v>1.6522377109317681</v>
      </c>
      <c r="F95" s="323"/>
      <c r="L95" s="348"/>
      <c r="N95" s="348"/>
      <c r="O95" s="323"/>
    </row>
    <row r="96" spans="1:15">
      <c r="A96" s="567"/>
      <c r="B96" s="342">
        <v>205</v>
      </c>
      <c r="C96" s="348">
        <v>179525</v>
      </c>
      <c r="D96" s="344">
        <v>3375</v>
      </c>
      <c r="E96" s="227">
        <f t="shared" si="4"/>
        <v>9.9046221570066031</v>
      </c>
      <c r="F96" s="323"/>
      <c r="L96" s="348"/>
      <c r="N96" s="348"/>
      <c r="O96" s="323"/>
    </row>
    <row r="97" spans="1:15">
      <c r="A97" s="567"/>
      <c r="B97" s="342">
        <v>206</v>
      </c>
      <c r="C97" s="348">
        <v>179527</v>
      </c>
      <c r="D97" s="344">
        <v>2606</v>
      </c>
      <c r="E97" s="227">
        <f t="shared" si="4"/>
        <v>7.6478356566397654</v>
      </c>
      <c r="F97" s="323"/>
      <c r="L97" s="348"/>
      <c r="M97" s="348"/>
      <c r="N97" s="348"/>
      <c r="O97" s="323"/>
    </row>
    <row r="98" spans="1:15">
      <c r="A98" s="567"/>
      <c r="B98" s="342">
        <v>208</v>
      </c>
      <c r="C98" s="348">
        <v>179522</v>
      </c>
      <c r="D98" s="344">
        <v>717</v>
      </c>
      <c r="E98" s="227">
        <f t="shared" si="4"/>
        <v>2.1041819515774027</v>
      </c>
      <c r="F98" s="323"/>
      <c r="L98" s="348"/>
      <c r="M98" s="348"/>
      <c r="N98" s="348"/>
      <c r="O98" s="323"/>
    </row>
    <row r="99" spans="1:15">
      <c r="A99" s="567"/>
      <c r="B99" s="342">
        <v>209</v>
      </c>
      <c r="C99" s="348">
        <v>179520</v>
      </c>
      <c r="D99" s="344">
        <v>2500</v>
      </c>
      <c r="E99" s="227">
        <f t="shared" si="4"/>
        <v>7.3367571533382243</v>
      </c>
      <c r="F99" s="323"/>
      <c r="L99" s="348"/>
      <c r="M99" s="348"/>
      <c r="N99" s="348"/>
      <c r="O99" s="323"/>
    </row>
    <row r="100" spans="1:15">
      <c r="A100" s="567"/>
      <c r="B100" s="342">
        <v>210</v>
      </c>
      <c r="C100" s="348">
        <v>179540</v>
      </c>
      <c r="D100" s="344">
        <v>1625</v>
      </c>
      <c r="E100" s="227">
        <f t="shared" si="4"/>
        <v>4.7688921496698455</v>
      </c>
      <c r="F100" s="323"/>
      <c r="L100" s="348"/>
      <c r="M100" s="348"/>
      <c r="N100" s="348"/>
      <c r="O100" s="323"/>
    </row>
    <row r="101" spans="1:15">
      <c r="A101" s="567"/>
      <c r="B101" s="342">
        <v>211</v>
      </c>
      <c r="C101" s="348">
        <v>179519</v>
      </c>
      <c r="D101" s="344">
        <v>1959</v>
      </c>
      <c r="E101" s="227">
        <f t="shared" si="4"/>
        <v>5.7490829053558326</v>
      </c>
      <c r="F101" s="323"/>
      <c r="L101" s="348"/>
      <c r="M101" s="348"/>
      <c r="N101" s="348"/>
      <c r="O101" s="323"/>
    </row>
    <row r="102" spans="1:15">
      <c r="A102" s="567"/>
      <c r="B102" s="342">
        <v>214</v>
      </c>
      <c r="C102" s="348" t="s">
        <v>365</v>
      </c>
      <c r="D102" s="344">
        <v>500</v>
      </c>
      <c r="E102" s="227">
        <f t="shared" si="4"/>
        <v>1.467351430667645</v>
      </c>
      <c r="F102" s="323"/>
      <c r="L102" s="348"/>
      <c r="M102" s="348"/>
      <c r="N102" s="348"/>
      <c r="O102" s="323"/>
    </row>
    <row r="103" spans="1:15">
      <c r="A103" s="567"/>
      <c r="B103" s="342">
        <v>215</v>
      </c>
      <c r="C103" s="348" t="s">
        <v>365</v>
      </c>
      <c r="D103" s="344">
        <v>500</v>
      </c>
      <c r="E103" s="227">
        <f t="shared" si="4"/>
        <v>1.467351430667645</v>
      </c>
      <c r="F103" s="323"/>
      <c r="L103" s="348"/>
      <c r="M103" s="348"/>
      <c r="N103" s="348"/>
      <c r="O103" s="323"/>
    </row>
    <row r="104" spans="1:15">
      <c r="A104" s="567"/>
      <c r="B104" s="342">
        <v>216</v>
      </c>
      <c r="C104" s="348" t="s">
        <v>365</v>
      </c>
      <c r="D104" s="344">
        <v>282</v>
      </c>
      <c r="E104" s="227">
        <f t="shared" si="4"/>
        <v>0.82758620689655171</v>
      </c>
      <c r="F104" s="323"/>
      <c r="L104" s="348"/>
      <c r="M104" s="348"/>
      <c r="N104" s="348"/>
      <c r="O104" s="323"/>
    </row>
    <row r="105" spans="1:15">
      <c r="A105" s="567"/>
      <c r="B105" s="342">
        <v>217</v>
      </c>
      <c r="C105" s="349">
        <v>179518</v>
      </c>
      <c r="D105" s="344">
        <v>8688</v>
      </c>
      <c r="E105" s="227">
        <f t="shared" si="4"/>
        <v>25.496698459280999</v>
      </c>
      <c r="F105" s="323"/>
      <c r="L105" s="348"/>
      <c r="M105" s="348"/>
      <c r="N105" s="348"/>
      <c r="O105" s="323"/>
    </row>
    <row r="106" spans="1:15">
      <c r="A106" s="567"/>
      <c r="B106" s="342">
        <v>220</v>
      </c>
      <c r="C106" s="348">
        <v>219197</v>
      </c>
      <c r="D106" s="344">
        <v>6433</v>
      </c>
      <c r="E106" s="227">
        <f t="shared" si="4"/>
        <v>18.878943506969918</v>
      </c>
      <c r="F106" s="323"/>
      <c r="L106" s="348"/>
      <c r="M106" s="348"/>
      <c r="N106" s="348"/>
      <c r="O106" s="323"/>
    </row>
    <row r="107" spans="1:15">
      <c r="A107" s="567"/>
      <c r="B107" s="342">
        <v>221</v>
      </c>
      <c r="C107" s="348">
        <v>179516</v>
      </c>
      <c r="D107" s="344">
        <v>1122</v>
      </c>
      <c r="E107" s="227">
        <f t="shared" si="4"/>
        <v>3.2927366104181952</v>
      </c>
      <c r="F107" s="323"/>
      <c r="L107" s="348"/>
      <c r="M107" s="348"/>
      <c r="N107" s="348"/>
      <c r="O107" s="323"/>
    </row>
    <row r="108" spans="1:15">
      <c r="A108" s="567"/>
      <c r="B108" s="573">
        <v>222</v>
      </c>
      <c r="C108" s="349">
        <v>179514</v>
      </c>
      <c r="D108" s="344">
        <v>24250</v>
      </c>
      <c r="E108" s="227">
        <f t="shared" si="4"/>
        <v>71.166544387380782</v>
      </c>
      <c r="F108" s="323"/>
      <c r="L108" s="348"/>
      <c r="M108" s="348"/>
      <c r="N108" s="348"/>
      <c r="O108" s="323"/>
    </row>
    <row r="109" spans="1:15">
      <c r="A109" s="567"/>
      <c r="B109" s="573"/>
      <c r="C109" s="349">
        <v>179515</v>
      </c>
      <c r="D109" s="344">
        <v>1000</v>
      </c>
      <c r="E109" s="227">
        <f t="shared" si="4"/>
        <v>2.9347028613352899</v>
      </c>
      <c r="F109" s="323"/>
      <c r="L109" s="348"/>
      <c r="M109" s="348"/>
      <c r="N109" s="348"/>
      <c r="O109" s="323"/>
    </row>
    <row r="110" spans="1:15">
      <c r="A110" s="567"/>
      <c r="B110" s="342">
        <v>224</v>
      </c>
      <c r="C110" s="348">
        <v>179512</v>
      </c>
      <c r="D110" s="344">
        <v>1000</v>
      </c>
      <c r="E110" s="227">
        <f t="shared" si="4"/>
        <v>2.9347028613352899</v>
      </c>
      <c r="F110" s="323"/>
      <c r="L110" s="348"/>
      <c r="M110" s="348"/>
      <c r="N110" s="348"/>
      <c r="O110" s="323"/>
    </row>
    <row r="111" spans="1:15">
      <c r="A111" s="567"/>
      <c r="B111" s="342">
        <v>231</v>
      </c>
      <c r="C111" s="348">
        <v>179501</v>
      </c>
      <c r="D111" s="344">
        <v>2375</v>
      </c>
      <c r="E111" s="227">
        <f t="shared" si="4"/>
        <v>6.9699192956713132</v>
      </c>
      <c r="F111" s="323"/>
      <c r="L111" s="348"/>
      <c r="M111" s="348"/>
      <c r="N111" s="348"/>
      <c r="O111" s="323"/>
    </row>
    <row r="112" spans="1:15">
      <c r="A112" s="567"/>
      <c r="B112" s="342">
        <v>238</v>
      </c>
      <c r="C112" s="348">
        <v>179507</v>
      </c>
      <c r="D112" s="344">
        <v>3000</v>
      </c>
      <c r="E112" s="227">
        <f t="shared" si="4"/>
        <v>8.8041085840058688</v>
      </c>
      <c r="F112" s="323"/>
      <c r="L112" s="348"/>
      <c r="M112" s="348"/>
      <c r="N112" s="348"/>
      <c r="O112" s="323"/>
    </row>
    <row r="113" spans="1:15">
      <c r="A113" s="567"/>
      <c r="B113" s="342">
        <v>239</v>
      </c>
      <c r="C113" s="348">
        <v>179505</v>
      </c>
      <c r="D113" s="344">
        <v>2563</v>
      </c>
      <c r="E113" s="227">
        <f t="shared" si="4"/>
        <v>7.5216434336023479</v>
      </c>
      <c r="F113" s="323"/>
      <c r="L113" s="348"/>
      <c r="M113" s="348"/>
      <c r="N113" s="348"/>
      <c r="O113" s="323"/>
    </row>
    <row r="114" spans="1:15" ht="12" thickBot="1">
      <c r="A114" s="568"/>
      <c r="B114" s="343">
        <v>240</v>
      </c>
      <c r="C114" s="350">
        <v>179503</v>
      </c>
      <c r="D114" s="345">
        <v>2838</v>
      </c>
      <c r="E114" s="327">
        <f t="shared" si="4"/>
        <v>8.3286867204695518</v>
      </c>
      <c r="F114" s="328">
        <f>SUM(E76:E114)</f>
        <v>337.3793103448275</v>
      </c>
      <c r="L114" s="348"/>
      <c r="M114" s="348"/>
      <c r="N114" s="348"/>
      <c r="O114" s="323"/>
    </row>
    <row r="115" spans="1:15" ht="12" thickBot="1">
      <c r="A115" s="368" t="s">
        <v>340</v>
      </c>
      <c r="B115" s="369">
        <v>259</v>
      </c>
      <c r="C115" s="370">
        <v>179531</v>
      </c>
      <c r="D115" s="371">
        <v>3750</v>
      </c>
      <c r="E115" s="373">
        <f t="shared" si="4"/>
        <v>11.005135730007337</v>
      </c>
      <c r="F115" s="372" t="s">
        <v>366</v>
      </c>
      <c r="L115" s="348"/>
      <c r="M115" s="348"/>
      <c r="N115" s="348"/>
      <c r="O115" s="323"/>
    </row>
    <row r="116" spans="1:15">
      <c r="A116" s="570" t="s">
        <v>377</v>
      </c>
      <c r="B116" s="342">
        <v>263</v>
      </c>
      <c r="C116" s="348">
        <v>179532</v>
      </c>
      <c r="D116" s="344">
        <v>1770</v>
      </c>
      <c r="E116" s="351">
        <f t="shared" si="4"/>
        <v>5.1944240645634627</v>
      </c>
      <c r="L116" s="348"/>
      <c r="M116" s="348"/>
      <c r="N116" s="348"/>
      <c r="O116" s="323"/>
    </row>
    <row r="117" spans="1:15">
      <c r="A117" s="570"/>
      <c r="B117" s="342">
        <v>268</v>
      </c>
      <c r="C117" s="348">
        <v>179510</v>
      </c>
      <c r="D117" s="344">
        <v>1000</v>
      </c>
      <c r="E117" s="351">
        <f t="shared" si="4"/>
        <v>2.9347028613352899</v>
      </c>
      <c r="F117" s="323"/>
      <c r="L117" s="348"/>
      <c r="M117" s="348"/>
      <c r="N117" s="348"/>
      <c r="O117" s="323"/>
    </row>
    <row r="118" spans="1:15">
      <c r="A118" s="570"/>
      <c r="B118" s="342">
        <v>269</v>
      </c>
      <c r="C118" s="348">
        <v>179529</v>
      </c>
      <c r="D118" s="344">
        <v>563</v>
      </c>
      <c r="E118" s="351">
        <f t="shared" si="4"/>
        <v>1.6522377109317681</v>
      </c>
      <c r="F118" s="323"/>
      <c r="L118" s="348"/>
      <c r="M118" s="348"/>
      <c r="N118" s="348"/>
      <c r="O118" s="323"/>
    </row>
    <row r="119" spans="1:15">
      <c r="A119" s="570"/>
      <c r="B119" s="342">
        <v>276</v>
      </c>
      <c r="C119" s="348">
        <v>179523</v>
      </c>
      <c r="D119" s="344">
        <v>2515</v>
      </c>
      <c r="E119" s="351">
        <f t="shared" si="4"/>
        <v>7.3807776962582539</v>
      </c>
      <c r="F119" s="323"/>
      <c r="L119" s="348"/>
      <c r="M119" s="348"/>
      <c r="N119" s="348"/>
      <c r="O119" s="323"/>
    </row>
    <row r="120" spans="1:15">
      <c r="A120" s="570"/>
      <c r="B120" s="342">
        <v>277</v>
      </c>
      <c r="C120" s="348">
        <v>147367</v>
      </c>
      <c r="D120" s="344">
        <v>1906</v>
      </c>
      <c r="E120" s="351">
        <f t="shared" si="4"/>
        <v>5.593543653705062</v>
      </c>
      <c r="F120" s="323"/>
      <c r="L120" s="348"/>
      <c r="M120" s="348"/>
      <c r="N120" s="348"/>
      <c r="O120" s="323"/>
    </row>
    <row r="121" spans="1:15">
      <c r="A121" s="570"/>
      <c r="B121" s="342">
        <v>279</v>
      </c>
      <c r="C121" s="348">
        <v>179563</v>
      </c>
      <c r="D121" s="344">
        <v>9465</v>
      </c>
      <c r="E121" s="351">
        <f t="shared" si="4"/>
        <v>27.776962582538516</v>
      </c>
      <c r="F121" s="323"/>
      <c r="L121" s="348"/>
      <c r="N121" s="348"/>
      <c r="O121" s="323"/>
    </row>
    <row r="122" spans="1:15" ht="12" thickBot="1">
      <c r="A122" s="571"/>
      <c r="B122" s="343">
        <v>280</v>
      </c>
      <c r="C122" s="350">
        <v>179538</v>
      </c>
      <c r="D122" s="345">
        <v>1375</v>
      </c>
      <c r="E122" s="352">
        <f t="shared" si="4"/>
        <v>4.0352164343360233</v>
      </c>
      <c r="F122" s="328">
        <f>SUM(E116:E122)</f>
        <v>54.567865003668373</v>
      </c>
      <c r="L122" s="348"/>
      <c r="N122" s="348"/>
      <c r="O122" s="323"/>
    </row>
    <row r="123" spans="1:15">
      <c r="A123" s="284" t="s">
        <v>378</v>
      </c>
      <c r="E123" s="351">
        <f t="shared" si="4"/>
        <v>0</v>
      </c>
      <c r="L123" s="348"/>
      <c r="N123" s="348"/>
      <c r="O123" s="323"/>
    </row>
    <row r="124" spans="1:15">
      <c r="E124" s="351">
        <f t="shared" si="4"/>
        <v>0</v>
      </c>
      <c r="L124" s="323"/>
      <c r="M124" s="323"/>
      <c r="N124" s="323"/>
      <c r="O124" s="323"/>
    </row>
    <row r="125" spans="1:15">
      <c r="E125" s="351">
        <f t="shared" si="4"/>
        <v>0</v>
      </c>
      <c r="L125" s="323"/>
      <c r="M125" s="323"/>
      <c r="N125" s="323"/>
      <c r="O125" s="323"/>
    </row>
    <row r="126" spans="1:15">
      <c r="E126" s="351">
        <f t="shared" si="4"/>
        <v>0</v>
      </c>
    </row>
    <row r="127" spans="1:15">
      <c r="E127" s="351">
        <f t="shared" si="4"/>
        <v>0</v>
      </c>
    </row>
    <row r="128" spans="1:15">
      <c r="E128" s="351">
        <f t="shared" si="4"/>
        <v>0</v>
      </c>
    </row>
  </sheetData>
  <mergeCells count="27">
    <mergeCell ref="A116:A122"/>
    <mergeCell ref="P1:Q1"/>
    <mergeCell ref="M1:M2"/>
    <mergeCell ref="A22:N2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B108:B109"/>
    <mergeCell ref="A76:A114"/>
    <mergeCell ref="A29:A42"/>
    <mergeCell ref="F1:F2"/>
    <mergeCell ref="E23:G23"/>
    <mergeCell ref="A24:A28"/>
    <mergeCell ref="B85:B86"/>
    <mergeCell ref="B53:B54"/>
    <mergeCell ref="B58:B59"/>
    <mergeCell ref="A43:A63"/>
    <mergeCell ref="B67:B68"/>
    <mergeCell ref="A64:A7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"/>
  <sheetViews>
    <sheetView workbookViewId="0">
      <pane ySplit="1" topLeftCell="A2" activePane="bottomLeft" state="frozen"/>
      <selection pane="bottomLeft" activeCell="AF4" sqref="AF4:AF5"/>
    </sheetView>
  </sheetViews>
  <sheetFormatPr defaultRowHeight="11.25"/>
  <cols>
    <col min="1" max="1" width="5" style="284" bestFit="1" customWidth="1"/>
    <col min="2" max="2" width="6.33203125" style="284" bestFit="1" customWidth="1"/>
    <col min="3" max="4" width="7" style="284" bestFit="1" customWidth="1"/>
    <col min="5" max="5" width="6.33203125" style="284" bestFit="1" customWidth="1"/>
    <col min="6" max="6" width="3.21875" style="284" bestFit="1" customWidth="1"/>
    <col min="7" max="7" width="2.6640625" style="284" bestFit="1" customWidth="1"/>
    <col min="8" max="8" width="4.44140625" style="284" bestFit="1" customWidth="1"/>
    <col min="9" max="11" width="6.33203125" style="284" bestFit="1" customWidth="1"/>
    <col min="12" max="12" width="4.44140625" style="284" bestFit="1" customWidth="1"/>
    <col min="13" max="13" width="7" style="284" customWidth="1"/>
    <col min="14" max="14" width="7.33203125" style="284" bestFit="1" customWidth="1"/>
    <col min="15" max="15" width="7.33203125" style="284" customWidth="1"/>
    <col min="16" max="16" width="9.88671875" style="284" bestFit="1" customWidth="1"/>
    <col min="17" max="17" width="7.33203125" style="284" bestFit="1" customWidth="1"/>
    <col min="18" max="18" width="5.33203125" style="284" customWidth="1"/>
    <col min="19" max="19" width="6.33203125" style="284" bestFit="1" customWidth="1"/>
    <col min="20" max="25" width="3.33203125" style="284" bestFit="1" customWidth="1"/>
    <col min="26" max="26" width="4.5546875" style="284" customWidth="1"/>
    <col min="27" max="28" width="5.6640625" style="284" bestFit="1" customWidth="1"/>
    <col min="29" max="29" width="4.6640625" style="284" customWidth="1"/>
    <col min="30" max="30" width="5.21875" style="284" customWidth="1"/>
    <col min="31" max="31" width="6.33203125" style="284" bestFit="1" customWidth="1"/>
    <col min="32" max="16384" width="8.88671875" style="284"/>
  </cols>
  <sheetData>
    <row r="1" spans="1:32" ht="12" thickBot="1">
      <c r="A1" s="318"/>
      <c r="B1" s="56" t="s">
        <v>18</v>
      </c>
      <c r="C1" s="319" t="s">
        <v>19</v>
      </c>
      <c r="D1" s="56" t="s">
        <v>20</v>
      </c>
      <c r="E1" s="21" t="s">
        <v>21</v>
      </c>
      <c r="F1" s="56" t="s">
        <v>2</v>
      </c>
      <c r="G1" s="319" t="s">
        <v>22</v>
      </c>
      <c r="H1" s="56" t="s">
        <v>23</v>
      </c>
      <c r="I1" s="21" t="s">
        <v>24</v>
      </c>
      <c r="J1" s="56" t="s">
        <v>25</v>
      </c>
      <c r="K1" s="319" t="s">
        <v>26</v>
      </c>
      <c r="L1" s="56" t="s">
        <v>27</v>
      </c>
      <c r="M1" s="21" t="s">
        <v>28</v>
      </c>
      <c r="N1" s="320" t="s">
        <v>107</v>
      </c>
      <c r="O1" s="320" t="s">
        <v>74</v>
      </c>
      <c r="P1" s="321" t="s">
        <v>263</v>
      </c>
      <c r="Q1" s="320" t="s">
        <v>74</v>
      </c>
    </row>
    <row r="2" spans="1:32">
      <c r="A2" s="288">
        <v>1998</v>
      </c>
      <c r="B2" s="289"/>
      <c r="C2" s="289"/>
      <c r="D2" s="289"/>
      <c r="E2" s="289"/>
      <c r="F2" s="289"/>
      <c r="G2" s="289"/>
      <c r="H2" s="289"/>
      <c r="I2" s="289">
        <v>0</v>
      </c>
      <c r="J2" s="290">
        <v>204.7</v>
      </c>
      <c r="K2" s="290">
        <v>124.02</v>
      </c>
      <c r="L2" s="290">
        <v>0</v>
      </c>
      <c r="M2" s="290">
        <v>0</v>
      </c>
      <c r="N2" s="290">
        <f>SUM(I2:M2)</f>
        <v>328.71999999999997</v>
      </c>
      <c r="O2" s="302">
        <f>AE2</f>
        <v>3779</v>
      </c>
      <c r="P2" s="290">
        <f>N2*30%</f>
        <v>98.615999999999985</v>
      </c>
      <c r="Q2" s="302">
        <f>O2*30%</f>
        <v>1133.7</v>
      </c>
      <c r="S2" s="296"/>
      <c r="T2" s="296"/>
      <c r="U2" s="296"/>
      <c r="V2" s="296"/>
      <c r="W2" s="296"/>
      <c r="X2" s="296"/>
      <c r="Y2" s="296"/>
      <c r="Z2" s="296">
        <v>0</v>
      </c>
      <c r="AA2" s="296">
        <v>2370</v>
      </c>
      <c r="AB2" s="296">
        <v>1409</v>
      </c>
      <c r="AC2" s="296">
        <v>0</v>
      </c>
      <c r="AD2" s="296">
        <v>0</v>
      </c>
      <c r="AE2" s="376">
        <f>SUM(S2:AD2)</f>
        <v>3779</v>
      </c>
    </row>
    <row r="3" spans="1:32">
      <c r="A3" s="285">
        <v>1999</v>
      </c>
      <c r="B3" s="291">
        <v>534.12</v>
      </c>
      <c r="C3" s="54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90">
        <f>SUM(B3:M3)</f>
        <v>534.12</v>
      </c>
      <c r="O3" s="302">
        <f>AE3</f>
        <v>5742</v>
      </c>
      <c r="P3" s="290">
        <f>N3*30%</f>
        <v>160.23599999999999</v>
      </c>
      <c r="Q3" s="302">
        <f>O3*30%</f>
        <v>1722.6</v>
      </c>
      <c r="S3" s="296">
        <v>5731</v>
      </c>
      <c r="T3" s="296">
        <v>1</v>
      </c>
      <c r="U3" s="296">
        <v>1</v>
      </c>
      <c r="V3" s="296">
        <v>1</v>
      </c>
      <c r="W3" s="296">
        <v>1</v>
      </c>
      <c r="X3" s="296">
        <v>1</v>
      </c>
      <c r="Y3" s="296">
        <v>1</v>
      </c>
      <c r="Z3" s="296">
        <v>1</v>
      </c>
      <c r="AA3" s="296">
        <v>1</v>
      </c>
      <c r="AB3" s="296">
        <v>1</v>
      </c>
      <c r="AC3" s="296">
        <v>1</v>
      </c>
      <c r="AD3" s="296">
        <v>1</v>
      </c>
      <c r="AE3" s="376">
        <f>SUM(S3:AD3)</f>
        <v>5742</v>
      </c>
    </row>
    <row r="4" spans="1:32">
      <c r="A4" s="285">
        <v>2000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53"/>
      <c r="O4" s="53"/>
      <c r="P4" s="53"/>
      <c r="Q4" s="53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304" t="s">
        <v>470</v>
      </c>
    </row>
    <row r="5" spans="1:32">
      <c r="A5" s="285">
        <v>2001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53"/>
      <c r="O5" s="53"/>
      <c r="P5" s="53"/>
      <c r="Q5" s="53">
        <f t="shared" ref="Q5:Q17" si="0">SUM(B5:M5)</f>
        <v>0</v>
      </c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148">
        <v>45324</v>
      </c>
    </row>
    <row r="6" spans="1:32">
      <c r="A6" s="285">
        <v>2002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53"/>
      <c r="O6" s="53"/>
      <c r="P6" s="53"/>
      <c r="Q6" s="53">
        <f t="shared" si="0"/>
        <v>0</v>
      </c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</row>
    <row r="7" spans="1:32">
      <c r="A7" s="285">
        <v>2003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377"/>
      <c r="O7" s="377"/>
      <c r="P7" s="377"/>
      <c r="Q7" s="53">
        <f t="shared" si="0"/>
        <v>0</v>
      </c>
    </row>
    <row r="8" spans="1:32">
      <c r="A8" s="285">
        <v>2004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377"/>
      <c r="O8" s="377"/>
      <c r="P8" s="377"/>
      <c r="Q8" s="53">
        <f t="shared" si="0"/>
        <v>0</v>
      </c>
    </row>
    <row r="9" spans="1:32">
      <c r="A9" s="285">
        <v>2005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53"/>
      <c r="O9" s="53"/>
      <c r="P9" s="53"/>
      <c r="Q9" s="53">
        <f t="shared" si="0"/>
        <v>0</v>
      </c>
    </row>
    <row r="10" spans="1:32">
      <c r="A10" s="285">
        <v>2006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53"/>
      <c r="O10" s="53"/>
      <c r="P10" s="53"/>
      <c r="Q10" s="53">
        <f t="shared" si="0"/>
        <v>0</v>
      </c>
    </row>
    <row r="11" spans="1:32">
      <c r="A11" s="285">
        <v>2007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53"/>
      <c r="O11" s="53"/>
      <c r="P11" s="53"/>
      <c r="Q11" s="53">
        <f t="shared" si="0"/>
        <v>0</v>
      </c>
    </row>
    <row r="12" spans="1:32">
      <c r="A12" s="285">
        <v>2008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53"/>
      <c r="O12" s="53"/>
      <c r="P12" s="53"/>
      <c r="Q12" s="53">
        <f t="shared" si="0"/>
        <v>0</v>
      </c>
    </row>
    <row r="13" spans="1:32">
      <c r="A13" s="285">
        <v>2009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53"/>
      <c r="O13" s="53"/>
      <c r="P13" s="53"/>
      <c r="Q13" s="53">
        <f t="shared" si="0"/>
        <v>0</v>
      </c>
    </row>
    <row r="14" spans="1:32">
      <c r="A14" s="285">
        <v>2010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53"/>
      <c r="O14" s="53"/>
      <c r="P14" s="53"/>
      <c r="Q14" s="53">
        <f t="shared" si="0"/>
        <v>0</v>
      </c>
    </row>
    <row r="15" spans="1:32">
      <c r="A15" s="285">
        <v>2011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53"/>
      <c r="O15" s="53"/>
      <c r="P15" s="53"/>
      <c r="Q15" s="53">
        <f t="shared" si="0"/>
        <v>0</v>
      </c>
    </row>
    <row r="16" spans="1:32">
      <c r="A16" s="285">
        <v>2012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53"/>
      <c r="O16" s="53"/>
      <c r="P16" s="53"/>
      <c r="Q16" s="53">
        <f t="shared" si="0"/>
        <v>0</v>
      </c>
    </row>
    <row r="17" spans="1:19">
      <c r="A17" s="285">
        <v>2013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53"/>
      <c r="O17" s="53"/>
      <c r="P17" s="53"/>
      <c r="Q17" s="53">
        <f t="shared" si="0"/>
        <v>0</v>
      </c>
      <c r="R17" s="304"/>
      <c r="S17" s="304"/>
    </row>
    <row r="18" spans="1:19"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1">
        <f t="shared" ref="N18:P18" si="1">SUM(N2:N17)</f>
        <v>862.83999999999992</v>
      </c>
      <c r="O18" s="299">
        <f t="shared" si="1"/>
        <v>9521</v>
      </c>
      <c r="P18" s="291">
        <f t="shared" si="1"/>
        <v>258.85199999999998</v>
      </c>
      <c r="Q18" s="299">
        <f>SUM(Q2:Q17)</f>
        <v>2856.3</v>
      </c>
    </row>
    <row r="19" spans="1:19">
      <c r="P19" s="363">
        <v>299</v>
      </c>
    </row>
    <row r="20" spans="1:19">
      <c r="O20" s="304" t="s">
        <v>470</v>
      </c>
    </row>
    <row r="21" spans="1:19">
      <c r="A21" s="575" t="s">
        <v>345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</row>
    <row r="22" spans="1:19">
      <c r="C22" s="335" t="s">
        <v>46</v>
      </c>
      <c r="D22" s="335"/>
      <c r="E22" s="335"/>
      <c r="F22" s="335" t="s">
        <v>47</v>
      </c>
    </row>
    <row r="23" spans="1:19" ht="12" thickBot="1">
      <c r="A23" s="378" t="s">
        <v>338</v>
      </c>
      <c r="B23" s="323">
        <v>32</v>
      </c>
      <c r="C23" s="324">
        <v>219153</v>
      </c>
      <c r="D23" s="324">
        <v>69750</v>
      </c>
      <c r="E23" s="227">
        <f t="shared" ref="E23" si="2">D23/340.75</f>
        <v>204.69552457813646</v>
      </c>
      <c r="F23" s="354" t="s">
        <v>367</v>
      </c>
      <c r="G23" s="355"/>
      <c r="H23" s="355">
        <f t="shared" ref="H23" si="3">G23/340.75</f>
        <v>0</v>
      </c>
      <c r="I23" s="388">
        <f t="shared" ref="I23" si="4">E23+H23</f>
        <v>204.69552457813646</v>
      </c>
      <c r="J23" s="323"/>
    </row>
    <row r="24" spans="1:19">
      <c r="A24" s="569" t="s">
        <v>339</v>
      </c>
      <c r="B24" s="329">
        <v>67</v>
      </c>
      <c r="C24" s="330">
        <v>147380</v>
      </c>
      <c r="D24" s="330">
        <v>26815</v>
      </c>
      <c r="E24" s="331">
        <f t="shared" ref="E24:E26" si="5">D24/340.75</f>
        <v>78.694057226705795</v>
      </c>
      <c r="F24" s="360" t="s">
        <v>367</v>
      </c>
      <c r="G24" s="361"/>
      <c r="H24" s="361">
        <f t="shared" ref="H24" si="6">G24/340.75</f>
        <v>0</v>
      </c>
      <c r="I24" s="362">
        <f t="shared" ref="I24:I26" si="7">E24+H24</f>
        <v>78.694057226705795</v>
      </c>
      <c r="J24" s="323"/>
    </row>
    <row r="25" spans="1:19" ht="12" thickBot="1">
      <c r="A25" s="571"/>
      <c r="B25" s="325">
        <v>71</v>
      </c>
      <c r="C25" s="326">
        <v>147384</v>
      </c>
      <c r="D25" s="326">
        <v>15445</v>
      </c>
      <c r="E25" s="327">
        <f t="shared" si="5"/>
        <v>45.326485693323548</v>
      </c>
      <c r="F25" s="357" t="s">
        <v>367</v>
      </c>
      <c r="G25" s="358"/>
      <c r="H25" s="358">
        <f t="shared" ref="H25" si="8">G25/340.75</f>
        <v>0</v>
      </c>
      <c r="I25" s="359">
        <f t="shared" si="7"/>
        <v>45.326485693323548</v>
      </c>
      <c r="J25" s="328">
        <f>SUM(I24:I25)</f>
        <v>124.02054292002934</v>
      </c>
    </row>
    <row r="26" spans="1:19">
      <c r="A26" s="142" t="s">
        <v>340</v>
      </c>
      <c r="B26" s="284">
        <v>253</v>
      </c>
      <c r="C26" s="296">
        <v>147385</v>
      </c>
      <c r="D26" s="296">
        <v>182000</v>
      </c>
      <c r="E26" s="294">
        <f t="shared" si="5"/>
        <v>534.1159207630227</v>
      </c>
      <c r="G26" s="294"/>
      <c r="H26" s="294">
        <f t="shared" ref="H26" si="9">G26/340.75</f>
        <v>0</v>
      </c>
      <c r="I26" s="183">
        <f t="shared" si="7"/>
        <v>534.1159207630227</v>
      </c>
    </row>
  </sheetData>
  <mergeCells count="2">
    <mergeCell ref="A21:Q21"/>
    <mergeCell ref="A24:A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8"/>
  <sheetViews>
    <sheetView topLeftCell="E1" workbookViewId="0">
      <selection activeCell="AF3" sqref="AF3:AF4"/>
    </sheetView>
  </sheetViews>
  <sheetFormatPr defaultRowHeight="11.25"/>
  <cols>
    <col min="1" max="1" width="5" style="284" bestFit="1" customWidth="1"/>
    <col min="2" max="2" width="6.44140625" style="284" bestFit="1" customWidth="1"/>
    <col min="3" max="3" width="8" style="284" bestFit="1" customWidth="1"/>
    <col min="4" max="7" width="7.21875" style="284" bestFit="1" customWidth="1"/>
    <col min="8" max="8" width="5" style="284" bestFit="1" customWidth="1"/>
    <col min="9" max="10" width="9" style="284" bestFit="1" customWidth="1"/>
    <col min="11" max="11" width="12.33203125" style="284" bestFit="1" customWidth="1"/>
    <col min="12" max="12" width="6.33203125" style="284" bestFit="1" customWidth="1"/>
    <col min="13" max="14" width="7.33203125" style="284" bestFit="1" customWidth="1"/>
    <col min="15" max="15" width="6.88671875" style="284" customWidth="1"/>
    <col min="16" max="16" width="9.88671875" style="284" bestFit="1" customWidth="1"/>
    <col min="17" max="17" width="8" style="284" bestFit="1" customWidth="1"/>
    <col min="18" max="18" width="4.77734375" style="284" customWidth="1"/>
    <col min="19" max="19" width="6.33203125" style="284" bestFit="1" customWidth="1"/>
    <col min="20" max="20" width="5.6640625" style="284" bestFit="1" customWidth="1"/>
    <col min="21" max="25" width="3.33203125" style="284" bestFit="1" customWidth="1"/>
    <col min="26" max="26" width="5.6640625" style="284" bestFit="1" customWidth="1"/>
    <col min="27" max="28" width="6.33203125" style="284" bestFit="1" customWidth="1"/>
    <col min="29" max="29" width="5.6640625" style="284" bestFit="1" customWidth="1"/>
    <col min="30" max="30" width="6.33203125" style="284" bestFit="1" customWidth="1"/>
    <col min="31" max="31" width="7" style="284" bestFit="1" customWidth="1"/>
    <col min="32" max="16384" width="8.88671875" style="284"/>
  </cols>
  <sheetData>
    <row r="1" spans="1:32" ht="12" thickBot="1">
      <c r="A1" s="318"/>
      <c r="B1" s="56" t="s">
        <v>18</v>
      </c>
      <c r="C1" s="319" t="s">
        <v>19</v>
      </c>
      <c r="D1" s="56" t="s">
        <v>20</v>
      </c>
      <c r="E1" s="21" t="s">
        <v>21</v>
      </c>
      <c r="F1" s="56" t="s">
        <v>2</v>
      </c>
      <c r="G1" s="319" t="s">
        <v>22</v>
      </c>
      <c r="H1" s="56" t="s">
        <v>23</v>
      </c>
      <c r="I1" s="21" t="s">
        <v>24</v>
      </c>
      <c r="J1" s="56" t="s">
        <v>25</v>
      </c>
      <c r="K1" s="319" t="s">
        <v>26</v>
      </c>
      <c r="L1" s="56" t="s">
        <v>27</v>
      </c>
      <c r="M1" s="21" t="s">
        <v>28</v>
      </c>
      <c r="N1" s="320"/>
      <c r="O1" s="40" t="s">
        <v>74</v>
      </c>
      <c r="P1" s="321" t="s">
        <v>263</v>
      </c>
      <c r="Q1" s="320" t="s">
        <v>74</v>
      </c>
    </row>
    <row r="2" spans="1:32">
      <c r="A2" s="288">
        <v>1998</v>
      </c>
      <c r="B2" s="289"/>
      <c r="C2" s="289"/>
      <c r="D2" s="289"/>
      <c r="E2" s="289"/>
      <c r="F2" s="289"/>
      <c r="G2" s="289"/>
      <c r="H2" s="289"/>
      <c r="I2" s="290">
        <v>331.45</v>
      </c>
      <c r="J2" s="290">
        <v>598.57000000000005</v>
      </c>
      <c r="K2" s="290">
        <v>2183.71</v>
      </c>
      <c r="L2" s="290">
        <v>419.19</v>
      </c>
      <c r="M2" s="290">
        <v>1590.6</v>
      </c>
      <c r="N2" s="290">
        <f>SUM(B2:M2)</f>
        <v>5123.5200000000004</v>
      </c>
      <c r="O2" s="302">
        <f>AE2</f>
        <v>57713</v>
      </c>
      <c r="P2" s="290">
        <f>N2*30%</f>
        <v>1537.056</v>
      </c>
      <c r="Q2" s="290">
        <f>O2*30%</f>
        <v>17313.899999999998</v>
      </c>
      <c r="R2" s="294"/>
      <c r="S2" s="296"/>
      <c r="T2" s="296"/>
      <c r="U2" s="296"/>
      <c r="V2" s="296"/>
      <c r="W2" s="296"/>
      <c r="X2" s="296"/>
      <c r="Y2" s="296"/>
      <c r="Z2" s="296">
        <v>3911</v>
      </c>
      <c r="AA2" s="296">
        <v>6930</v>
      </c>
      <c r="AB2" s="296">
        <v>24805</v>
      </c>
      <c r="AC2" s="296">
        <v>4672</v>
      </c>
      <c r="AD2" s="296">
        <v>17395</v>
      </c>
      <c r="AE2" s="376">
        <f>SUM(S2:AD2)</f>
        <v>57713</v>
      </c>
    </row>
    <row r="3" spans="1:32">
      <c r="A3" s="285">
        <v>1999</v>
      </c>
      <c r="B3" s="291">
        <v>67.569999999999993</v>
      </c>
      <c r="C3" s="291">
        <v>70.599999999999994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90">
        <f t="shared" ref="N3:N17" si="0">SUM(B3:M3)</f>
        <v>138.16999999999999</v>
      </c>
      <c r="O3" s="299">
        <f>AE3</f>
        <v>1478</v>
      </c>
      <c r="P3" s="290">
        <f>N3*30%</f>
        <v>41.450999999999993</v>
      </c>
      <c r="Q3" s="290">
        <f>O3*30%</f>
        <v>443.4</v>
      </c>
      <c r="R3" s="294"/>
      <c r="S3" s="296">
        <v>725</v>
      </c>
      <c r="T3" s="296">
        <v>743</v>
      </c>
      <c r="U3" s="296">
        <v>1</v>
      </c>
      <c r="V3" s="296">
        <v>1</v>
      </c>
      <c r="W3" s="296">
        <v>1</v>
      </c>
      <c r="X3" s="296">
        <v>1</v>
      </c>
      <c r="Y3" s="296">
        <v>1</v>
      </c>
      <c r="Z3" s="296">
        <v>1</v>
      </c>
      <c r="AA3" s="296">
        <v>1</v>
      </c>
      <c r="AB3" s="296">
        <v>1</v>
      </c>
      <c r="AC3" s="296">
        <v>1</v>
      </c>
      <c r="AD3" s="296">
        <v>1</v>
      </c>
      <c r="AE3" s="376">
        <f>SUM(S3:AD3)</f>
        <v>1478</v>
      </c>
      <c r="AF3" s="304" t="s">
        <v>470</v>
      </c>
    </row>
    <row r="4" spans="1:32">
      <c r="A4" s="285">
        <v>2000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53">
        <f t="shared" si="0"/>
        <v>0</v>
      </c>
      <c r="O4" s="322"/>
      <c r="P4" s="53"/>
      <c r="Q4" s="53"/>
      <c r="R4" s="294"/>
      <c r="AF4" s="148">
        <v>45324</v>
      </c>
    </row>
    <row r="5" spans="1:32">
      <c r="A5" s="285">
        <v>2001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53">
        <f t="shared" si="0"/>
        <v>0</v>
      </c>
      <c r="O5" s="322"/>
      <c r="P5" s="53"/>
      <c r="Q5" s="53"/>
      <c r="R5" s="294"/>
    </row>
    <row r="6" spans="1:32">
      <c r="A6" s="285">
        <v>2002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53">
        <f t="shared" si="0"/>
        <v>0</v>
      </c>
      <c r="O6" s="322"/>
      <c r="P6" s="53"/>
      <c r="Q6" s="53"/>
      <c r="R6" s="294"/>
    </row>
    <row r="7" spans="1:32">
      <c r="A7" s="285">
        <v>2003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53">
        <f t="shared" si="0"/>
        <v>0</v>
      </c>
      <c r="O7" s="322"/>
      <c r="P7" s="53"/>
      <c r="Q7" s="53"/>
      <c r="R7" s="294"/>
    </row>
    <row r="8" spans="1:32">
      <c r="A8" s="285">
        <v>2004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289">
        <f t="shared" si="0"/>
        <v>0</v>
      </c>
      <c r="O8" s="322"/>
      <c r="P8" s="53"/>
      <c r="Q8" s="53"/>
    </row>
    <row r="9" spans="1:32">
      <c r="A9" s="285">
        <v>2005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89">
        <f t="shared" si="0"/>
        <v>0</v>
      </c>
      <c r="O9" s="322"/>
      <c r="P9" s="53"/>
      <c r="Q9" s="53"/>
    </row>
    <row r="10" spans="1:32">
      <c r="A10" s="285">
        <v>2006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89">
        <f t="shared" si="0"/>
        <v>0</v>
      </c>
      <c r="O10" s="322"/>
      <c r="P10" s="53"/>
      <c r="Q10" s="53"/>
    </row>
    <row r="11" spans="1:32">
      <c r="A11" s="285">
        <v>2007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89">
        <f t="shared" si="0"/>
        <v>0</v>
      </c>
      <c r="O11" s="322"/>
      <c r="P11" s="53"/>
      <c r="Q11" s="53"/>
    </row>
    <row r="12" spans="1:32">
      <c r="A12" s="285">
        <v>2008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89">
        <f t="shared" si="0"/>
        <v>0</v>
      </c>
      <c r="O12" s="322"/>
      <c r="P12" s="53"/>
      <c r="Q12" s="53"/>
    </row>
    <row r="13" spans="1:32">
      <c r="A13" s="285">
        <v>2009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89">
        <f t="shared" si="0"/>
        <v>0</v>
      </c>
      <c r="O13" s="322"/>
      <c r="P13" s="53"/>
      <c r="Q13" s="53"/>
    </row>
    <row r="14" spans="1:32">
      <c r="A14" s="285">
        <v>2010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89">
        <f t="shared" si="0"/>
        <v>0</v>
      </c>
      <c r="O14" s="322"/>
      <c r="P14" s="53"/>
      <c r="Q14" s="53"/>
    </row>
    <row r="15" spans="1:32">
      <c r="A15" s="285">
        <v>2011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89">
        <f t="shared" si="0"/>
        <v>0</v>
      </c>
      <c r="O15" s="322"/>
      <c r="P15" s="53"/>
      <c r="Q15" s="53"/>
    </row>
    <row r="16" spans="1:32">
      <c r="A16" s="285">
        <v>2012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89">
        <f t="shared" si="0"/>
        <v>0</v>
      </c>
      <c r="O16" s="322"/>
      <c r="P16" s="53"/>
      <c r="Q16" s="53"/>
    </row>
    <row r="17" spans="1:20">
      <c r="A17" s="285">
        <v>2013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89">
        <f t="shared" si="0"/>
        <v>0</v>
      </c>
      <c r="O17" s="341"/>
      <c r="P17" s="53"/>
      <c r="Q17" s="53"/>
    </row>
    <row r="18" spans="1:20"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1">
        <f>SUM(N2:N17)</f>
        <v>5261.6900000000005</v>
      </c>
      <c r="O18" s="299">
        <f>SUM(O2:O17)</f>
        <v>59191</v>
      </c>
      <c r="P18" s="291">
        <f t="shared" ref="P18:Q18" si="1">SUM(P2:P17)</f>
        <v>1578.5070000000001</v>
      </c>
      <c r="Q18" s="299">
        <f t="shared" si="1"/>
        <v>17757.3</v>
      </c>
    </row>
    <row r="20" spans="1:20">
      <c r="O20" s="304" t="s">
        <v>470</v>
      </c>
    </row>
    <row r="21" spans="1:20">
      <c r="A21" s="576" t="s">
        <v>382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</row>
    <row r="22" spans="1:20">
      <c r="A22" s="381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4" spans="1:20">
      <c r="C24" s="335" t="s">
        <v>46</v>
      </c>
      <c r="D24" s="335"/>
      <c r="E24" s="335"/>
      <c r="F24" s="335" t="s">
        <v>47</v>
      </c>
      <c r="I24" s="572" t="s">
        <v>342</v>
      </c>
      <c r="J24" s="572"/>
      <c r="K24" s="572"/>
      <c r="S24" s="364"/>
      <c r="T24" s="364"/>
    </row>
    <row r="25" spans="1:20">
      <c r="B25" s="353" t="s">
        <v>341</v>
      </c>
      <c r="C25" s="353" t="s">
        <v>344</v>
      </c>
      <c r="D25" s="353" t="s">
        <v>83</v>
      </c>
      <c r="E25" s="353"/>
      <c r="F25" s="353" t="s">
        <v>344</v>
      </c>
      <c r="G25" s="353" t="s">
        <v>83</v>
      </c>
      <c r="H25" s="353"/>
      <c r="I25" s="353" t="s">
        <v>107</v>
      </c>
    </row>
    <row r="26" spans="1:20">
      <c r="A26" s="567" t="s">
        <v>343</v>
      </c>
      <c r="B26" s="323">
        <v>3</v>
      </c>
      <c r="C26" s="324">
        <v>219156</v>
      </c>
      <c r="D26" s="324">
        <v>17366</v>
      </c>
      <c r="E26" s="227">
        <f>D26/340.75</f>
        <v>50.96404988994864</v>
      </c>
      <c r="F26" s="354" t="s">
        <v>367</v>
      </c>
      <c r="G26" s="355"/>
      <c r="H26" s="355">
        <f>G26/340.75</f>
        <v>0</v>
      </c>
      <c r="I26" s="356">
        <f>E26+H26</f>
        <v>50.96404988994864</v>
      </c>
    </row>
    <row r="27" spans="1:20" ht="11.25" customHeight="1">
      <c r="A27" s="567"/>
      <c r="B27" s="323">
        <v>9</v>
      </c>
      <c r="C27" s="324">
        <v>219160</v>
      </c>
      <c r="D27" s="324">
        <v>27573</v>
      </c>
      <c r="E27" s="227">
        <f t="shared" ref="E27:E68" si="2">D27/340.75</f>
        <v>80.91856199559794</v>
      </c>
      <c r="F27" s="354" t="s">
        <v>367</v>
      </c>
      <c r="G27" s="355"/>
      <c r="H27" s="355">
        <f>G27/340.75</f>
        <v>0</v>
      </c>
      <c r="I27" s="356">
        <f t="shared" ref="I27:I68" si="3">E27+H27</f>
        <v>80.91856199559794</v>
      </c>
    </row>
    <row r="28" spans="1:20" ht="12" customHeight="1" thickBot="1">
      <c r="A28" s="568"/>
      <c r="B28" s="325">
        <v>14</v>
      </c>
      <c r="C28" s="326">
        <v>219161</v>
      </c>
      <c r="D28" s="326">
        <v>68004</v>
      </c>
      <c r="E28" s="327">
        <f t="shared" si="2"/>
        <v>199.57153338224504</v>
      </c>
      <c r="F28" s="357" t="s">
        <v>367</v>
      </c>
      <c r="G28" s="358"/>
      <c r="H28" s="358">
        <f t="shared" ref="H28:H69" si="4">G28/340.75</f>
        <v>0</v>
      </c>
      <c r="I28" s="359">
        <f t="shared" si="3"/>
        <v>199.57153338224504</v>
      </c>
      <c r="J28" s="328">
        <f>SUM(I26:I28)</f>
        <v>331.4541452677916</v>
      </c>
    </row>
    <row r="29" spans="1:20">
      <c r="A29" s="569" t="s">
        <v>338</v>
      </c>
      <c r="B29" s="323">
        <v>18</v>
      </c>
      <c r="C29" s="324">
        <v>219165</v>
      </c>
      <c r="D29" s="324">
        <v>45765</v>
      </c>
      <c r="E29" s="227">
        <f t="shared" si="2"/>
        <v>134.30667644900953</v>
      </c>
      <c r="F29" s="354" t="s">
        <v>367</v>
      </c>
      <c r="G29" s="355"/>
      <c r="H29" s="355">
        <f t="shared" si="4"/>
        <v>0</v>
      </c>
      <c r="I29" s="356">
        <f t="shared" si="3"/>
        <v>134.30667644900953</v>
      </c>
      <c r="K29" s="332" t="s">
        <v>369</v>
      </c>
      <c r="M29" s="384"/>
      <c r="P29" s="384" t="s">
        <v>387</v>
      </c>
    </row>
    <row r="30" spans="1:20" ht="11.25" customHeight="1">
      <c r="A30" s="570"/>
      <c r="B30" s="323">
        <v>36</v>
      </c>
      <c r="C30" s="324">
        <v>219169</v>
      </c>
      <c r="D30" s="324">
        <v>27573</v>
      </c>
      <c r="E30" s="227">
        <f t="shared" ref="E30" si="5">D30/340.75</f>
        <v>80.91856199559794</v>
      </c>
      <c r="F30" s="354" t="s">
        <v>367</v>
      </c>
      <c r="G30" s="355"/>
      <c r="H30" s="355">
        <f t="shared" si="4"/>
        <v>0</v>
      </c>
      <c r="I30" s="356">
        <f t="shared" si="3"/>
        <v>80.91856199559794</v>
      </c>
      <c r="K30" s="332" t="s">
        <v>368</v>
      </c>
      <c r="L30" s="385" t="s">
        <v>392</v>
      </c>
      <c r="M30" s="384"/>
      <c r="P30" s="384" t="s">
        <v>388</v>
      </c>
    </row>
    <row r="31" spans="1:20" ht="11.25" customHeight="1">
      <c r="A31" s="570"/>
      <c r="B31" s="323">
        <v>45</v>
      </c>
      <c r="C31" s="324">
        <v>219172</v>
      </c>
      <c r="D31" s="324">
        <v>8053</v>
      </c>
      <c r="E31" s="227">
        <f t="shared" si="2"/>
        <v>23.633162142333088</v>
      </c>
      <c r="F31" s="354" t="s">
        <v>367</v>
      </c>
      <c r="G31" s="355"/>
      <c r="H31" s="355">
        <f t="shared" si="4"/>
        <v>0</v>
      </c>
      <c r="I31" s="356">
        <f t="shared" si="3"/>
        <v>23.633162142333088</v>
      </c>
      <c r="K31" s="332" t="s">
        <v>370</v>
      </c>
      <c r="M31" s="384"/>
      <c r="P31" s="384" t="s">
        <v>389</v>
      </c>
    </row>
    <row r="32" spans="1:20" ht="11.25" customHeight="1">
      <c r="A32" s="570"/>
      <c r="B32" s="323">
        <v>54</v>
      </c>
      <c r="C32" s="324">
        <v>219177</v>
      </c>
      <c r="D32" s="324">
        <v>109785</v>
      </c>
      <c r="E32" s="227">
        <f t="shared" si="2"/>
        <v>322.18635363169477</v>
      </c>
      <c r="F32" s="354" t="s">
        <v>367</v>
      </c>
      <c r="G32" s="355"/>
      <c r="H32" s="355">
        <f t="shared" si="4"/>
        <v>0</v>
      </c>
      <c r="I32" s="356">
        <f t="shared" si="3"/>
        <v>322.18635363169477</v>
      </c>
      <c r="K32" s="332" t="s">
        <v>371</v>
      </c>
      <c r="L32" s="385" t="s">
        <v>397</v>
      </c>
      <c r="M32" s="384"/>
      <c r="N32" s="385" t="s">
        <v>396</v>
      </c>
      <c r="P32" s="384" t="s">
        <v>390</v>
      </c>
    </row>
    <row r="33" spans="1:16" ht="12" customHeight="1" thickBot="1">
      <c r="A33" s="571"/>
      <c r="B33" s="323">
        <v>55</v>
      </c>
      <c r="C33" s="324">
        <v>219175</v>
      </c>
      <c r="D33" s="324">
        <v>12788</v>
      </c>
      <c r="E33" s="327">
        <f t="shared" si="2"/>
        <v>37.528980190755689</v>
      </c>
      <c r="F33" s="357" t="s">
        <v>367</v>
      </c>
      <c r="G33" s="358"/>
      <c r="H33" s="358">
        <f t="shared" si="4"/>
        <v>0</v>
      </c>
      <c r="I33" s="359">
        <f t="shared" si="3"/>
        <v>37.528980190755689</v>
      </c>
      <c r="J33" s="328">
        <f>SUM(I29:I33)</f>
        <v>598.57373440939091</v>
      </c>
      <c r="M33" s="384"/>
      <c r="P33" s="384" t="s">
        <v>391</v>
      </c>
    </row>
    <row r="34" spans="1:16">
      <c r="A34" s="566" t="s">
        <v>339</v>
      </c>
      <c r="B34" s="329">
        <v>73</v>
      </c>
      <c r="C34" s="330">
        <v>179191</v>
      </c>
      <c r="D34" s="330">
        <v>29089</v>
      </c>
      <c r="E34" s="331">
        <f t="shared" si="2"/>
        <v>85.367571533382247</v>
      </c>
      <c r="F34" s="360" t="s">
        <v>367</v>
      </c>
      <c r="G34" s="361"/>
      <c r="H34" s="361">
        <f t="shared" si="4"/>
        <v>0</v>
      </c>
      <c r="I34" s="362">
        <f t="shared" si="3"/>
        <v>85.367571533382247</v>
      </c>
      <c r="J34" s="329"/>
    </row>
    <row r="35" spans="1:16">
      <c r="A35" s="567"/>
      <c r="B35" s="323">
        <v>74</v>
      </c>
      <c r="C35" s="324">
        <v>179189</v>
      </c>
      <c r="D35" s="324">
        <v>10138</v>
      </c>
      <c r="E35" s="227">
        <f t="shared" si="2"/>
        <v>29.752017608217169</v>
      </c>
      <c r="F35" s="354" t="s">
        <v>367</v>
      </c>
      <c r="G35" s="355"/>
      <c r="H35" s="355">
        <f t="shared" si="4"/>
        <v>0</v>
      </c>
      <c r="I35" s="356">
        <f t="shared" si="3"/>
        <v>29.752017608217169</v>
      </c>
      <c r="J35" s="323"/>
      <c r="K35" s="143" t="s">
        <v>372</v>
      </c>
    </row>
    <row r="36" spans="1:16">
      <c r="A36" s="567"/>
      <c r="B36" s="323">
        <v>76</v>
      </c>
      <c r="C36" s="324">
        <v>179508</v>
      </c>
      <c r="D36" s="324">
        <v>17719</v>
      </c>
      <c r="E36" s="227">
        <f t="shared" si="2"/>
        <v>52</v>
      </c>
      <c r="F36" s="354" t="s">
        <v>367</v>
      </c>
      <c r="G36" s="355"/>
      <c r="H36" s="355">
        <f t="shared" si="4"/>
        <v>0</v>
      </c>
      <c r="I36" s="356">
        <f t="shared" si="3"/>
        <v>52</v>
      </c>
      <c r="J36" s="323"/>
      <c r="K36" s="143" t="s">
        <v>373</v>
      </c>
    </row>
    <row r="37" spans="1:16">
      <c r="A37" s="567"/>
      <c r="B37" s="323">
        <v>77</v>
      </c>
      <c r="C37" s="324">
        <v>179184</v>
      </c>
      <c r="D37" s="324">
        <v>13170</v>
      </c>
      <c r="E37" s="227">
        <f t="shared" si="2"/>
        <v>38.650036683785764</v>
      </c>
      <c r="F37" s="354" t="s">
        <v>367</v>
      </c>
      <c r="G37" s="355"/>
      <c r="H37" s="355">
        <f t="shared" si="4"/>
        <v>0</v>
      </c>
      <c r="I37" s="356">
        <f t="shared" si="3"/>
        <v>38.650036683785764</v>
      </c>
      <c r="J37" s="323"/>
    </row>
    <row r="38" spans="1:16">
      <c r="A38" s="567"/>
      <c r="B38" s="323">
        <v>78</v>
      </c>
      <c r="C38" s="365" t="s">
        <v>374</v>
      </c>
      <c r="D38" s="324">
        <v>111696</v>
      </c>
      <c r="E38" s="227">
        <f t="shared" si="2"/>
        <v>327.79457079970655</v>
      </c>
      <c r="F38" s="354" t="s">
        <v>367</v>
      </c>
      <c r="G38" s="355"/>
      <c r="H38" s="355">
        <f t="shared" si="4"/>
        <v>0</v>
      </c>
      <c r="I38" s="356">
        <f t="shared" si="3"/>
        <v>327.79457079970655</v>
      </c>
      <c r="J38" s="323"/>
    </row>
    <row r="39" spans="1:16">
      <c r="A39" s="567"/>
      <c r="B39" s="323">
        <v>86</v>
      </c>
      <c r="C39" s="324">
        <v>179178</v>
      </c>
      <c r="D39" s="324">
        <v>32211</v>
      </c>
      <c r="E39" s="227">
        <f t="shared" si="2"/>
        <v>94.529713866471013</v>
      </c>
      <c r="F39" s="354" t="s">
        <v>367</v>
      </c>
      <c r="G39" s="355"/>
      <c r="H39" s="355">
        <f t="shared" si="4"/>
        <v>0</v>
      </c>
      <c r="I39" s="356">
        <f t="shared" si="3"/>
        <v>94.529713866471013</v>
      </c>
      <c r="J39" s="323"/>
    </row>
    <row r="40" spans="1:16">
      <c r="A40" s="567"/>
      <c r="B40" s="323">
        <v>87</v>
      </c>
      <c r="C40" s="324">
        <v>179176</v>
      </c>
      <c r="D40" s="324">
        <v>245345</v>
      </c>
      <c r="E40" s="227">
        <f t="shared" si="2"/>
        <v>720.01467351430665</v>
      </c>
      <c r="F40" s="354" t="s">
        <v>367</v>
      </c>
      <c r="G40" s="355"/>
      <c r="H40" s="355">
        <f t="shared" si="4"/>
        <v>0</v>
      </c>
      <c r="I40" s="356">
        <f t="shared" si="3"/>
        <v>720.01467351430665</v>
      </c>
      <c r="J40" s="323"/>
    </row>
    <row r="41" spans="1:16">
      <c r="A41" s="567"/>
      <c r="B41" s="323">
        <v>88</v>
      </c>
      <c r="C41" s="324">
        <v>179173</v>
      </c>
      <c r="D41" s="324">
        <v>196354</v>
      </c>
      <c r="E41" s="227">
        <f t="shared" si="2"/>
        <v>576.24064563462946</v>
      </c>
      <c r="F41" s="354" t="s">
        <v>367</v>
      </c>
      <c r="G41" s="355"/>
      <c r="H41" s="355">
        <f t="shared" si="4"/>
        <v>0</v>
      </c>
      <c r="I41" s="356">
        <f t="shared" si="3"/>
        <v>576.24064563462946</v>
      </c>
      <c r="J41" s="323"/>
    </row>
    <row r="42" spans="1:16">
      <c r="A42" s="567"/>
      <c r="B42" s="323">
        <v>91</v>
      </c>
      <c r="C42" s="324">
        <v>179171</v>
      </c>
      <c r="D42" s="324">
        <v>79041</v>
      </c>
      <c r="E42" s="227">
        <f t="shared" si="2"/>
        <v>231.96184886280264</v>
      </c>
      <c r="F42" s="354" t="s">
        <v>367</v>
      </c>
      <c r="G42" s="355"/>
      <c r="H42" s="355">
        <f t="shared" si="4"/>
        <v>0</v>
      </c>
      <c r="I42" s="356">
        <f t="shared" si="3"/>
        <v>231.96184886280264</v>
      </c>
      <c r="J42" s="323"/>
    </row>
    <row r="43" spans="1:16">
      <c r="A43" s="567"/>
      <c r="B43" s="323">
        <v>104</v>
      </c>
      <c r="C43" s="324">
        <v>179166</v>
      </c>
      <c r="D43" s="324">
        <v>3745</v>
      </c>
      <c r="E43" s="227">
        <f t="shared" si="2"/>
        <v>10.99046221570066</v>
      </c>
      <c r="F43" s="354" t="s">
        <v>367</v>
      </c>
      <c r="G43" s="355"/>
      <c r="H43" s="355">
        <f t="shared" si="4"/>
        <v>0</v>
      </c>
      <c r="I43" s="356">
        <f t="shared" si="3"/>
        <v>10.99046221570066</v>
      </c>
      <c r="J43" s="323"/>
    </row>
    <row r="44" spans="1:16" ht="12" thickBot="1">
      <c r="A44" s="568"/>
      <c r="B44" s="325">
        <v>108</v>
      </c>
      <c r="C44" s="326">
        <v>179162</v>
      </c>
      <c r="D44" s="326">
        <v>5591</v>
      </c>
      <c r="E44" s="327">
        <f t="shared" si="2"/>
        <v>16.407923697725604</v>
      </c>
      <c r="F44" s="357" t="s">
        <v>367</v>
      </c>
      <c r="G44" s="358"/>
      <c r="H44" s="358">
        <f t="shared" si="4"/>
        <v>0</v>
      </c>
      <c r="I44" s="359">
        <f t="shared" si="3"/>
        <v>16.407923697725604</v>
      </c>
      <c r="J44" s="328">
        <f>SUM(I34:I44)</f>
        <v>2183.7094644167273</v>
      </c>
    </row>
    <row r="45" spans="1:16">
      <c r="A45" s="569" t="s">
        <v>362</v>
      </c>
      <c r="B45" s="329">
        <v>110</v>
      </c>
      <c r="C45" s="367">
        <v>179161</v>
      </c>
      <c r="D45" s="330">
        <v>3089</v>
      </c>
      <c r="E45" s="331">
        <f t="shared" si="2"/>
        <v>9.065297138664711</v>
      </c>
      <c r="F45" s="360" t="s">
        <v>367</v>
      </c>
      <c r="G45" s="361"/>
      <c r="H45" s="361">
        <f t="shared" si="4"/>
        <v>0</v>
      </c>
      <c r="I45" s="362">
        <f t="shared" si="3"/>
        <v>9.065297138664711</v>
      </c>
      <c r="J45" s="329"/>
    </row>
    <row r="46" spans="1:16">
      <c r="A46" s="570"/>
      <c r="B46" s="323">
        <v>113</v>
      </c>
      <c r="C46" s="348">
        <v>179159</v>
      </c>
      <c r="D46" s="324">
        <v>18476</v>
      </c>
      <c r="E46" s="227">
        <f t="shared" si="2"/>
        <v>54.221570066030814</v>
      </c>
      <c r="F46" s="354" t="s">
        <v>367</v>
      </c>
      <c r="G46" s="355"/>
      <c r="H46" s="355">
        <f t="shared" si="4"/>
        <v>0</v>
      </c>
      <c r="I46" s="356">
        <f t="shared" si="3"/>
        <v>54.221570066030814</v>
      </c>
      <c r="J46" s="323"/>
    </row>
    <row r="47" spans="1:16">
      <c r="A47" s="570"/>
      <c r="B47" s="323">
        <v>122</v>
      </c>
      <c r="C47" s="348">
        <v>179154</v>
      </c>
      <c r="D47" s="324">
        <v>10139</v>
      </c>
      <c r="E47" s="227">
        <f t="shared" si="2"/>
        <v>29.754952311078505</v>
      </c>
      <c r="F47" s="354" t="s">
        <v>367</v>
      </c>
      <c r="G47" s="355"/>
      <c r="H47" s="355">
        <f t="shared" si="4"/>
        <v>0</v>
      </c>
      <c r="I47" s="356">
        <f t="shared" si="3"/>
        <v>29.754952311078505</v>
      </c>
      <c r="J47" s="323"/>
    </row>
    <row r="48" spans="1:16">
      <c r="A48" s="570"/>
      <c r="B48" s="323">
        <v>123</v>
      </c>
      <c r="C48" s="348">
        <v>179156</v>
      </c>
      <c r="D48" s="324">
        <v>27193</v>
      </c>
      <c r="E48" s="227">
        <f t="shared" si="2"/>
        <v>79.803374908290536</v>
      </c>
      <c r="F48" s="354" t="s">
        <v>367</v>
      </c>
      <c r="G48" s="355"/>
      <c r="H48" s="355">
        <f t="shared" si="4"/>
        <v>0</v>
      </c>
      <c r="I48" s="356">
        <f t="shared" si="3"/>
        <v>79.803374908290536</v>
      </c>
      <c r="J48" s="323"/>
    </row>
    <row r="49" spans="1:11">
      <c r="A49" s="570"/>
      <c r="B49" s="323">
        <v>124</v>
      </c>
      <c r="C49" s="348">
        <v>179152</v>
      </c>
      <c r="D49" s="324">
        <v>10139</v>
      </c>
      <c r="E49" s="227">
        <f t="shared" si="2"/>
        <v>29.754952311078505</v>
      </c>
      <c r="F49" s="354" t="s">
        <v>367</v>
      </c>
      <c r="G49" s="355"/>
      <c r="H49" s="355">
        <f t="shared" si="4"/>
        <v>0</v>
      </c>
      <c r="I49" s="356">
        <f t="shared" si="3"/>
        <v>29.754952311078505</v>
      </c>
      <c r="J49" s="323"/>
    </row>
    <row r="50" spans="1:11">
      <c r="A50" s="570"/>
      <c r="B50" s="323">
        <v>126</v>
      </c>
      <c r="C50" s="348">
        <v>179186</v>
      </c>
      <c r="D50" s="324">
        <v>42733</v>
      </c>
      <c r="E50" s="227">
        <f t="shared" si="2"/>
        <v>125.40865737344095</v>
      </c>
      <c r="F50" s="354" t="s">
        <v>367</v>
      </c>
      <c r="G50" s="355"/>
      <c r="H50" s="355">
        <f t="shared" si="4"/>
        <v>0</v>
      </c>
      <c r="I50" s="356">
        <f t="shared" si="3"/>
        <v>125.40865737344095</v>
      </c>
      <c r="J50" s="323"/>
    </row>
    <row r="51" spans="1:11">
      <c r="A51" s="570"/>
      <c r="B51" s="323">
        <v>133</v>
      </c>
      <c r="C51" s="348">
        <v>147391</v>
      </c>
      <c r="D51" s="324">
        <v>23586</v>
      </c>
      <c r="E51" s="227">
        <f t="shared" si="2"/>
        <v>69.217901687454145</v>
      </c>
      <c r="F51" s="354" t="s">
        <v>367</v>
      </c>
      <c r="G51" s="355"/>
      <c r="H51" s="355">
        <f t="shared" si="4"/>
        <v>0</v>
      </c>
      <c r="I51" s="356">
        <f t="shared" si="3"/>
        <v>69.217901687454145</v>
      </c>
      <c r="J51" s="323"/>
      <c r="K51" s="366" t="s">
        <v>375</v>
      </c>
    </row>
    <row r="52" spans="1:11" ht="12" thickBot="1">
      <c r="A52" s="571"/>
      <c r="B52" s="325">
        <v>141</v>
      </c>
      <c r="C52" s="350">
        <v>147387</v>
      </c>
      <c r="D52" s="326">
        <v>7485</v>
      </c>
      <c r="E52" s="327">
        <f t="shared" si="2"/>
        <v>21.966250917094644</v>
      </c>
      <c r="F52" s="357" t="s">
        <v>367</v>
      </c>
      <c r="G52" s="358"/>
      <c r="H52" s="358">
        <f t="shared" si="4"/>
        <v>0</v>
      </c>
      <c r="I52" s="359">
        <f t="shared" si="3"/>
        <v>21.966250917094644</v>
      </c>
      <c r="J52" s="328">
        <f>SUM(I45:I52)</f>
        <v>419.1929567131329</v>
      </c>
    </row>
    <row r="53" spans="1:11">
      <c r="A53" s="566" t="s">
        <v>364</v>
      </c>
      <c r="B53" s="329">
        <v>154</v>
      </c>
      <c r="C53" s="367">
        <v>277636</v>
      </c>
      <c r="D53" s="330">
        <v>6587</v>
      </c>
      <c r="E53" s="331">
        <f t="shared" si="2"/>
        <v>19.330887747615552</v>
      </c>
      <c r="F53" s="360" t="s">
        <v>367</v>
      </c>
      <c r="G53" s="361"/>
      <c r="H53" s="361">
        <f t="shared" si="4"/>
        <v>0</v>
      </c>
      <c r="I53" s="362">
        <f t="shared" si="3"/>
        <v>19.330887747615552</v>
      </c>
      <c r="J53" s="329"/>
    </row>
    <row r="54" spans="1:11">
      <c r="A54" s="567"/>
      <c r="B54" s="323">
        <v>161</v>
      </c>
      <c r="C54" s="348">
        <v>277645</v>
      </c>
      <c r="D54" s="324">
        <v>19613</v>
      </c>
      <c r="E54" s="227">
        <f t="shared" si="2"/>
        <v>57.558327219369041</v>
      </c>
      <c r="F54" s="354" t="s">
        <v>367</v>
      </c>
      <c r="G54" s="355"/>
      <c r="H54" s="355">
        <f t="shared" si="4"/>
        <v>0</v>
      </c>
      <c r="I54" s="356">
        <f t="shared" si="3"/>
        <v>57.558327219369041</v>
      </c>
      <c r="J54" s="323"/>
    </row>
    <row r="55" spans="1:11">
      <c r="A55" s="567"/>
      <c r="B55" s="323">
        <v>162</v>
      </c>
      <c r="C55" s="348">
        <v>277643</v>
      </c>
      <c r="D55" s="324">
        <v>8264</v>
      </c>
      <c r="E55" s="227">
        <f t="shared" si="2"/>
        <v>24.252384446074835</v>
      </c>
      <c r="F55" s="354" t="s">
        <v>367</v>
      </c>
      <c r="G55" s="355"/>
      <c r="H55" s="355">
        <f t="shared" si="4"/>
        <v>0</v>
      </c>
      <c r="I55" s="356">
        <f t="shared" si="3"/>
        <v>24.252384446074835</v>
      </c>
      <c r="J55" s="323"/>
    </row>
    <row r="56" spans="1:11">
      <c r="A56" s="567"/>
      <c r="B56" s="323">
        <v>163</v>
      </c>
      <c r="C56" s="348">
        <v>277641</v>
      </c>
      <c r="D56" s="324">
        <v>25374</v>
      </c>
      <c r="E56" s="227">
        <f t="shared" si="2"/>
        <v>74.465150403521648</v>
      </c>
      <c r="F56" s="354" t="s">
        <v>367</v>
      </c>
      <c r="G56" s="355"/>
      <c r="H56" s="355">
        <f t="shared" si="4"/>
        <v>0</v>
      </c>
      <c r="I56" s="356">
        <f t="shared" si="3"/>
        <v>74.465150403521648</v>
      </c>
      <c r="J56" s="323"/>
    </row>
    <row r="57" spans="1:11">
      <c r="A57" s="567"/>
      <c r="B57" s="323">
        <v>169</v>
      </c>
      <c r="C57" s="348">
        <v>147794</v>
      </c>
      <c r="D57" s="324">
        <v>34170</v>
      </c>
      <c r="E57" s="227">
        <f t="shared" si="2"/>
        <v>100.27879677182685</v>
      </c>
      <c r="F57" s="354" t="s">
        <v>367</v>
      </c>
      <c r="G57" s="355"/>
      <c r="H57" s="355">
        <f t="shared" si="4"/>
        <v>0</v>
      </c>
      <c r="I57" s="356">
        <f t="shared" si="3"/>
        <v>100.27879677182685</v>
      </c>
      <c r="J57" s="323"/>
    </row>
    <row r="58" spans="1:11">
      <c r="A58" s="567"/>
      <c r="B58" s="323">
        <v>172</v>
      </c>
      <c r="C58" s="348">
        <v>147789</v>
      </c>
      <c r="D58" s="324">
        <v>20330</v>
      </c>
      <c r="E58" s="227">
        <f t="shared" si="2"/>
        <v>59.662509170946443</v>
      </c>
      <c r="F58" s="354" t="s">
        <v>367</v>
      </c>
      <c r="G58" s="355"/>
      <c r="H58" s="355">
        <f t="shared" si="4"/>
        <v>0</v>
      </c>
      <c r="I58" s="356">
        <f t="shared" si="3"/>
        <v>59.662509170946443</v>
      </c>
      <c r="J58" s="323"/>
    </row>
    <row r="59" spans="1:11">
      <c r="A59" s="567"/>
      <c r="B59" s="323">
        <v>177</v>
      </c>
      <c r="C59" s="348">
        <v>147445</v>
      </c>
      <c r="D59" s="324">
        <v>6655</v>
      </c>
      <c r="E59" s="227">
        <f t="shared" si="2"/>
        <v>19.530447542186355</v>
      </c>
      <c r="F59" s="354" t="s">
        <v>367</v>
      </c>
      <c r="G59" s="355"/>
      <c r="H59" s="355">
        <f t="shared" si="4"/>
        <v>0</v>
      </c>
      <c r="I59" s="356">
        <f t="shared" si="3"/>
        <v>19.530447542186355</v>
      </c>
      <c r="J59" s="323"/>
    </row>
    <row r="60" spans="1:11">
      <c r="A60" s="567"/>
      <c r="B60" s="323">
        <v>203</v>
      </c>
      <c r="C60" s="348">
        <v>179533</v>
      </c>
      <c r="D60" s="324">
        <v>29596</v>
      </c>
      <c r="E60" s="227">
        <f t="shared" si="2"/>
        <v>86.855465884079237</v>
      </c>
      <c r="F60" s="354" t="s">
        <v>367</v>
      </c>
      <c r="G60" s="355"/>
      <c r="H60" s="355">
        <f t="shared" si="4"/>
        <v>0</v>
      </c>
      <c r="I60" s="356">
        <f t="shared" si="3"/>
        <v>86.855465884079237</v>
      </c>
      <c r="J60" s="323"/>
    </row>
    <row r="61" spans="1:11">
      <c r="A61" s="567"/>
      <c r="B61" s="323">
        <v>204</v>
      </c>
      <c r="C61" s="348">
        <v>179535</v>
      </c>
      <c r="D61" s="324">
        <v>3696</v>
      </c>
      <c r="E61" s="227">
        <f t="shared" si="2"/>
        <v>10.846661775495232</v>
      </c>
      <c r="F61" s="354" t="s">
        <v>367</v>
      </c>
      <c r="G61" s="355"/>
      <c r="H61" s="355">
        <f t="shared" si="4"/>
        <v>0</v>
      </c>
      <c r="I61" s="356">
        <f t="shared" si="3"/>
        <v>10.846661775495232</v>
      </c>
      <c r="J61" s="323"/>
    </row>
    <row r="62" spans="1:11">
      <c r="A62" s="567"/>
      <c r="B62" s="323">
        <v>205</v>
      </c>
      <c r="C62" s="348">
        <v>179536</v>
      </c>
      <c r="D62" s="324">
        <v>20750</v>
      </c>
      <c r="E62" s="227">
        <f t="shared" si="2"/>
        <v>60.895084372707267</v>
      </c>
      <c r="F62" s="354" t="s">
        <v>367</v>
      </c>
      <c r="G62" s="355"/>
      <c r="H62" s="355">
        <f t="shared" si="4"/>
        <v>0</v>
      </c>
      <c r="I62" s="356">
        <f t="shared" si="3"/>
        <v>60.895084372707267</v>
      </c>
      <c r="J62" s="323"/>
    </row>
    <row r="63" spans="1:11">
      <c r="A63" s="567"/>
      <c r="B63" s="323">
        <v>206</v>
      </c>
      <c r="C63" s="348">
        <v>179526</v>
      </c>
      <c r="D63" s="324">
        <v>16088</v>
      </c>
      <c r="E63" s="227">
        <f t="shared" si="2"/>
        <v>47.213499633162144</v>
      </c>
      <c r="F63" s="354" t="s">
        <v>367</v>
      </c>
      <c r="G63" s="355"/>
      <c r="H63" s="355">
        <f t="shared" si="4"/>
        <v>0</v>
      </c>
      <c r="I63" s="356">
        <f t="shared" si="3"/>
        <v>47.213499633162144</v>
      </c>
      <c r="J63" s="323"/>
    </row>
    <row r="64" spans="1:11">
      <c r="A64" s="567"/>
      <c r="B64" s="323">
        <v>209</v>
      </c>
      <c r="C64" s="348">
        <v>179521</v>
      </c>
      <c r="D64" s="324">
        <v>15445</v>
      </c>
      <c r="E64" s="227">
        <f t="shared" si="2"/>
        <v>45.326485693323548</v>
      </c>
      <c r="F64" s="354" t="s">
        <v>367</v>
      </c>
      <c r="G64" s="355"/>
      <c r="H64" s="355">
        <f t="shared" si="4"/>
        <v>0</v>
      </c>
      <c r="I64" s="356">
        <f t="shared" si="3"/>
        <v>45.326485693323548</v>
      </c>
      <c r="J64" s="323"/>
    </row>
    <row r="65" spans="1:12">
      <c r="A65" s="567"/>
      <c r="B65" s="323">
        <v>210</v>
      </c>
      <c r="C65" s="348">
        <v>179547</v>
      </c>
      <c r="D65" s="324">
        <v>10139</v>
      </c>
      <c r="E65" s="227">
        <f t="shared" si="2"/>
        <v>29.754952311078505</v>
      </c>
      <c r="F65" s="354" t="s">
        <v>367</v>
      </c>
      <c r="G65" s="355"/>
      <c r="H65" s="355">
        <f t="shared" si="4"/>
        <v>0</v>
      </c>
      <c r="I65" s="356">
        <f t="shared" si="3"/>
        <v>29.754952311078505</v>
      </c>
      <c r="J65" s="323"/>
    </row>
    <row r="66" spans="1:12">
      <c r="A66" s="567"/>
      <c r="B66" s="323">
        <v>214</v>
      </c>
      <c r="C66" s="348">
        <v>179548</v>
      </c>
      <c r="D66" s="324">
        <v>3316</v>
      </c>
      <c r="E66" s="227">
        <f t="shared" si="2"/>
        <v>9.7314746881878218</v>
      </c>
      <c r="F66" s="354" t="s">
        <v>367</v>
      </c>
      <c r="G66" s="355"/>
      <c r="H66" s="355">
        <f t="shared" si="4"/>
        <v>0</v>
      </c>
      <c r="I66" s="356">
        <f t="shared" si="3"/>
        <v>9.7314746881878218</v>
      </c>
      <c r="J66" s="323"/>
    </row>
    <row r="67" spans="1:12">
      <c r="A67" s="567"/>
      <c r="B67" s="323">
        <v>215</v>
      </c>
      <c r="C67" s="348">
        <v>179550</v>
      </c>
      <c r="D67" s="324">
        <v>3316</v>
      </c>
      <c r="E67" s="227">
        <f t="shared" si="2"/>
        <v>9.7314746881878218</v>
      </c>
      <c r="F67" s="354" t="s">
        <v>367</v>
      </c>
      <c r="G67" s="355"/>
      <c r="H67" s="355">
        <f t="shared" si="4"/>
        <v>0</v>
      </c>
      <c r="I67" s="356">
        <f t="shared" si="3"/>
        <v>9.7314746881878218</v>
      </c>
      <c r="J67" s="323"/>
    </row>
    <row r="68" spans="1:12">
      <c r="A68" s="567"/>
      <c r="B68" s="323">
        <v>216</v>
      </c>
      <c r="C68" s="348">
        <v>179649</v>
      </c>
      <c r="D68" s="324">
        <v>1990</v>
      </c>
      <c r="E68" s="227">
        <f t="shared" si="2"/>
        <v>5.8400586940572268</v>
      </c>
      <c r="F68" s="354" t="s">
        <v>367</v>
      </c>
      <c r="G68" s="355"/>
      <c r="H68" s="355">
        <f t="shared" si="4"/>
        <v>0</v>
      </c>
      <c r="I68" s="356">
        <f t="shared" si="3"/>
        <v>5.8400586940572268</v>
      </c>
      <c r="J68" s="323"/>
    </row>
    <row r="69" spans="1:12">
      <c r="A69" s="567"/>
      <c r="B69" s="323">
        <v>217</v>
      </c>
      <c r="C69" s="349">
        <v>179517</v>
      </c>
      <c r="D69" s="324">
        <v>52966</v>
      </c>
      <c r="E69" s="227">
        <f t="shared" ref="E69:E80" si="6">D69/340.75</f>
        <v>155.43947175348495</v>
      </c>
      <c r="F69" s="354" t="s">
        <v>367</v>
      </c>
      <c r="G69" s="355"/>
      <c r="H69" s="355">
        <f t="shared" si="4"/>
        <v>0</v>
      </c>
      <c r="I69" s="356">
        <f t="shared" ref="I69:I80" si="7">E69+H69</f>
        <v>155.43947175348495</v>
      </c>
      <c r="J69" s="323"/>
    </row>
    <row r="70" spans="1:12">
      <c r="A70" s="567"/>
      <c r="B70" s="323">
        <v>220</v>
      </c>
      <c r="C70" s="348">
        <v>219198</v>
      </c>
      <c r="D70" s="324">
        <v>38081</v>
      </c>
      <c r="E70" s="227">
        <f t="shared" si="6"/>
        <v>111.75641966250917</v>
      </c>
      <c r="F70" s="354" t="s">
        <v>367</v>
      </c>
      <c r="G70" s="355"/>
      <c r="H70" s="355">
        <f t="shared" ref="H70:H80" si="8">G70/340.75</f>
        <v>0</v>
      </c>
      <c r="I70" s="356">
        <f t="shared" si="7"/>
        <v>111.75641966250917</v>
      </c>
      <c r="J70" s="323"/>
    </row>
    <row r="71" spans="1:12">
      <c r="A71" s="567"/>
      <c r="B71" s="323">
        <v>222</v>
      </c>
      <c r="C71" s="349">
        <v>179513</v>
      </c>
      <c r="D71" s="324">
        <v>148336</v>
      </c>
      <c r="E71" s="227">
        <f t="shared" si="6"/>
        <v>435.32208363903158</v>
      </c>
      <c r="F71" s="354" t="s">
        <v>367</v>
      </c>
      <c r="G71" s="355"/>
      <c r="H71" s="355">
        <f t="shared" si="8"/>
        <v>0</v>
      </c>
      <c r="I71" s="356">
        <f t="shared" si="7"/>
        <v>435.32208363903158</v>
      </c>
      <c r="J71" s="323"/>
    </row>
    <row r="72" spans="1:12">
      <c r="A72" s="567"/>
      <c r="B72" s="323">
        <v>224</v>
      </c>
      <c r="C72" s="348">
        <v>179511</v>
      </c>
      <c r="D72" s="324">
        <v>6349</v>
      </c>
      <c r="E72" s="227">
        <f t="shared" si="6"/>
        <v>18.632428466617753</v>
      </c>
      <c r="F72" s="354" t="s">
        <v>367</v>
      </c>
      <c r="G72" s="355"/>
      <c r="H72" s="355">
        <f t="shared" si="8"/>
        <v>0</v>
      </c>
      <c r="I72" s="356">
        <f t="shared" si="7"/>
        <v>18.632428466617753</v>
      </c>
      <c r="J72" s="323"/>
    </row>
    <row r="73" spans="1:12">
      <c r="A73" s="567"/>
      <c r="B73" s="323">
        <v>231</v>
      </c>
      <c r="C73" s="348">
        <v>219199</v>
      </c>
      <c r="D73" s="324">
        <v>19123</v>
      </c>
      <c r="E73" s="227">
        <f t="shared" si="6"/>
        <v>56.120322817314744</v>
      </c>
      <c r="F73" s="354" t="s">
        <v>367</v>
      </c>
      <c r="G73" s="355"/>
      <c r="H73" s="355">
        <f t="shared" si="8"/>
        <v>0</v>
      </c>
      <c r="I73" s="356">
        <f t="shared" si="7"/>
        <v>56.120322817314744</v>
      </c>
      <c r="J73" s="323"/>
    </row>
    <row r="74" spans="1:12">
      <c r="A74" s="567"/>
      <c r="B74" s="323">
        <v>238</v>
      </c>
      <c r="C74" s="348">
        <v>179506</v>
      </c>
      <c r="D74" s="324">
        <v>18477</v>
      </c>
      <c r="E74" s="227">
        <f t="shared" si="6"/>
        <v>54.224504768892153</v>
      </c>
      <c r="F74" s="354" t="s">
        <v>367</v>
      </c>
      <c r="G74" s="355"/>
      <c r="H74" s="355">
        <f t="shared" si="8"/>
        <v>0</v>
      </c>
      <c r="I74" s="356">
        <f t="shared" si="7"/>
        <v>54.224504768892153</v>
      </c>
      <c r="J74" s="323"/>
    </row>
    <row r="75" spans="1:12">
      <c r="A75" s="567"/>
      <c r="B75" s="323">
        <v>239</v>
      </c>
      <c r="C75" s="348">
        <v>179504</v>
      </c>
      <c r="D75" s="324">
        <v>15824</v>
      </c>
      <c r="E75" s="227">
        <f t="shared" si="6"/>
        <v>46.438738077769628</v>
      </c>
      <c r="F75" s="354" t="s">
        <v>367</v>
      </c>
      <c r="G75" s="355"/>
      <c r="H75" s="355">
        <f t="shared" si="8"/>
        <v>0</v>
      </c>
      <c r="I75" s="356">
        <f t="shared" si="7"/>
        <v>46.438738077769628</v>
      </c>
      <c r="J75" s="323"/>
    </row>
    <row r="76" spans="1:12" ht="12" thickBot="1">
      <c r="A76" s="568"/>
      <c r="B76" s="325">
        <v>240</v>
      </c>
      <c r="C76" s="350">
        <v>179502</v>
      </c>
      <c r="D76" s="326">
        <v>17511</v>
      </c>
      <c r="E76" s="327">
        <f t="shared" si="6"/>
        <v>51.389581804842258</v>
      </c>
      <c r="F76" s="357" t="s">
        <v>367</v>
      </c>
      <c r="G76" s="358"/>
      <c r="H76" s="358">
        <f t="shared" si="8"/>
        <v>0</v>
      </c>
      <c r="I76" s="359">
        <f t="shared" si="7"/>
        <v>51.389581804842258</v>
      </c>
      <c r="J76" s="328">
        <f>SUM(I53:I76)</f>
        <v>1590.5972120322815</v>
      </c>
    </row>
    <row r="77" spans="1:12" ht="12" thickBot="1">
      <c r="A77" s="374" t="s">
        <v>340</v>
      </c>
      <c r="B77" s="325">
        <v>259</v>
      </c>
      <c r="C77" s="326">
        <v>179530</v>
      </c>
      <c r="D77" s="326">
        <v>23025</v>
      </c>
      <c r="E77" s="327">
        <f t="shared" si="6"/>
        <v>67.57153338224505</v>
      </c>
      <c r="F77" s="357" t="s">
        <v>367</v>
      </c>
      <c r="G77" s="358"/>
      <c r="H77" s="358">
        <f t="shared" si="8"/>
        <v>0</v>
      </c>
      <c r="I77" s="328">
        <f t="shared" si="7"/>
        <v>67.57153338224505</v>
      </c>
      <c r="K77" s="366" t="s">
        <v>376</v>
      </c>
    </row>
    <row r="78" spans="1:12">
      <c r="A78" s="566" t="s">
        <v>377</v>
      </c>
      <c r="B78" s="342">
        <v>269</v>
      </c>
      <c r="C78" s="324">
        <v>179528</v>
      </c>
      <c r="D78" s="324">
        <v>3696</v>
      </c>
      <c r="E78" s="227">
        <f t="shared" si="6"/>
        <v>10.846661775495232</v>
      </c>
      <c r="F78" s="354" t="s">
        <v>367</v>
      </c>
      <c r="G78" s="355"/>
      <c r="H78" s="355">
        <f t="shared" si="8"/>
        <v>0</v>
      </c>
      <c r="I78" s="356">
        <f t="shared" si="7"/>
        <v>10.846661775495232</v>
      </c>
      <c r="J78" s="323"/>
      <c r="L78" s="384" t="s">
        <v>425</v>
      </c>
    </row>
    <row r="79" spans="1:12">
      <c r="A79" s="567"/>
      <c r="B79" s="342">
        <v>277</v>
      </c>
      <c r="C79" s="324">
        <v>147366</v>
      </c>
      <c r="D79" s="324">
        <v>11845</v>
      </c>
      <c r="E79" s="227">
        <f t="shared" si="6"/>
        <v>34.761555392516506</v>
      </c>
      <c r="F79" s="354" t="s">
        <v>367</v>
      </c>
      <c r="G79" s="355"/>
      <c r="H79" s="355">
        <f t="shared" si="8"/>
        <v>0</v>
      </c>
      <c r="I79" s="356">
        <f t="shared" si="7"/>
        <v>34.761555392516506</v>
      </c>
      <c r="J79" s="323"/>
    </row>
    <row r="80" spans="1:12" ht="12" thickBot="1">
      <c r="A80" s="568"/>
      <c r="B80" s="343">
        <v>280</v>
      </c>
      <c r="C80" s="326">
        <v>179534</v>
      </c>
      <c r="D80" s="326">
        <v>8515</v>
      </c>
      <c r="E80" s="327">
        <f t="shared" si="6"/>
        <v>24.988994864269994</v>
      </c>
      <c r="F80" s="357" t="s">
        <v>367</v>
      </c>
      <c r="G80" s="358"/>
      <c r="H80" s="358">
        <f t="shared" si="8"/>
        <v>0</v>
      </c>
      <c r="I80" s="359">
        <f t="shared" si="7"/>
        <v>24.988994864269994</v>
      </c>
      <c r="J80" s="328">
        <f>SUM(I78:I80)</f>
        <v>70.597212032281732</v>
      </c>
      <c r="L80" s="384" t="s">
        <v>425</v>
      </c>
    </row>
    <row r="81" spans="2:11">
      <c r="B81" s="342"/>
      <c r="C81" s="324"/>
      <c r="D81" s="324"/>
      <c r="E81" s="324"/>
      <c r="F81" s="324"/>
      <c r="G81" s="324"/>
      <c r="H81" s="324"/>
      <c r="I81" s="324"/>
      <c r="J81" s="324"/>
      <c r="K81" s="324"/>
    </row>
    <row r="82" spans="2:11">
      <c r="B82" s="342"/>
      <c r="C82" s="324"/>
      <c r="D82" s="324"/>
      <c r="E82" s="324"/>
      <c r="F82" s="324"/>
      <c r="G82" s="324"/>
      <c r="H82" s="324"/>
      <c r="I82" s="324"/>
    </row>
    <row r="83" spans="2:11">
      <c r="B83" s="342"/>
      <c r="C83" s="324"/>
      <c r="D83" s="324"/>
      <c r="E83" s="324"/>
      <c r="F83" s="324"/>
      <c r="G83" s="324"/>
      <c r="H83" s="324"/>
      <c r="I83" s="324"/>
    </row>
    <row r="84" spans="2:11">
      <c r="B84" s="342"/>
      <c r="C84" s="324"/>
      <c r="D84" s="324"/>
      <c r="E84" s="324"/>
      <c r="F84" s="324"/>
      <c r="G84" s="324"/>
      <c r="H84" s="324"/>
      <c r="I84" s="324"/>
    </row>
    <row r="85" spans="2:11">
      <c r="B85" s="342"/>
      <c r="C85" s="324"/>
      <c r="D85" s="324"/>
      <c r="E85" s="324"/>
      <c r="F85" s="324"/>
      <c r="G85" s="324"/>
      <c r="H85" s="324"/>
      <c r="I85" s="324"/>
    </row>
    <row r="86" spans="2:11">
      <c r="B86" s="342"/>
      <c r="C86" s="324"/>
      <c r="D86" s="324"/>
      <c r="E86" s="324"/>
      <c r="F86" s="324"/>
      <c r="G86" s="324"/>
      <c r="H86" s="324"/>
      <c r="I86" s="324"/>
    </row>
    <row r="87" spans="2:11">
      <c r="B87" s="342"/>
      <c r="C87" s="324"/>
      <c r="D87" s="324"/>
      <c r="E87" s="324"/>
      <c r="F87" s="324"/>
      <c r="G87" s="324"/>
      <c r="H87" s="324"/>
      <c r="I87" s="324"/>
    </row>
    <row r="88" spans="2:11">
      <c r="B88" s="342"/>
      <c r="C88" s="324"/>
      <c r="D88" s="324"/>
      <c r="E88" s="324"/>
      <c r="F88" s="324"/>
      <c r="G88" s="324"/>
      <c r="H88" s="324"/>
      <c r="I88" s="324"/>
    </row>
    <row r="89" spans="2:11">
      <c r="B89" s="342"/>
      <c r="C89" s="324"/>
      <c r="D89" s="324"/>
      <c r="E89" s="324"/>
      <c r="F89" s="324"/>
      <c r="G89" s="324"/>
      <c r="H89" s="324"/>
      <c r="I89" s="324"/>
    </row>
    <row r="90" spans="2:11">
      <c r="B90" s="342"/>
      <c r="C90" s="324"/>
      <c r="D90" s="324"/>
      <c r="E90" s="324"/>
      <c r="F90" s="324"/>
      <c r="G90" s="324"/>
      <c r="H90" s="324"/>
      <c r="I90" s="324"/>
    </row>
    <row r="91" spans="2:11">
      <c r="B91" s="342"/>
      <c r="C91" s="324"/>
      <c r="D91" s="324"/>
      <c r="E91" s="324"/>
      <c r="F91" s="324"/>
      <c r="G91" s="324"/>
      <c r="H91" s="324"/>
      <c r="I91" s="324"/>
    </row>
    <row r="92" spans="2:11">
      <c r="B92" s="323"/>
      <c r="C92" s="324"/>
      <c r="D92" s="324"/>
      <c r="E92" s="324"/>
      <c r="F92" s="324"/>
      <c r="G92" s="324"/>
      <c r="H92" s="324"/>
      <c r="I92" s="324"/>
    </row>
    <row r="93" spans="2:11">
      <c r="B93" s="323"/>
      <c r="C93" s="324"/>
      <c r="D93" s="324"/>
      <c r="E93" s="324"/>
      <c r="F93" s="324"/>
      <c r="G93" s="324"/>
      <c r="H93" s="324"/>
      <c r="I93" s="324"/>
    </row>
    <row r="94" spans="2:11">
      <c r="B94" s="323"/>
      <c r="C94" s="324"/>
      <c r="D94" s="324"/>
      <c r="E94" s="324"/>
      <c r="F94" s="324"/>
      <c r="G94" s="324"/>
      <c r="H94" s="324"/>
      <c r="I94" s="324"/>
    </row>
    <row r="95" spans="2:11">
      <c r="B95" s="323"/>
      <c r="C95" s="324"/>
      <c r="E95" s="324"/>
      <c r="F95" s="324"/>
      <c r="G95" s="324"/>
      <c r="H95" s="324"/>
      <c r="I95" s="324"/>
    </row>
    <row r="96" spans="2:11">
      <c r="E96" s="324"/>
      <c r="F96" s="324"/>
      <c r="G96" s="324"/>
      <c r="H96" s="324"/>
      <c r="I96" s="324"/>
    </row>
    <row r="97" spans="5:9">
      <c r="E97" s="324"/>
      <c r="F97" s="324"/>
      <c r="G97" s="324"/>
      <c r="H97" s="324"/>
      <c r="I97" s="324"/>
    </row>
    <row r="98" spans="5:9">
      <c r="E98" s="324"/>
      <c r="F98" s="324"/>
      <c r="G98" s="324"/>
      <c r="H98" s="324"/>
      <c r="I98" s="324"/>
    </row>
  </sheetData>
  <mergeCells count="8">
    <mergeCell ref="A21:Q21"/>
    <mergeCell ref="A26:A28"/>
    <mergeCell ref="A29:A33"/>
    <mergeCell ref="A78:A80"/>
    <mergeCell ref="I24:K24"/>
    <mergeCell ref="A34:A44"/>
    <mergeCell ref="A45:A52"/>
    <mergeCell ref="A53:A7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workbookViewId="0">
      <selection activeCell="J13" sqref="J13"/>
    </sheetView>
  </sheetViews>
  <sheetFormatPr defaultRowHeight="15"/>
  <cols>
    <col min="1" max="1" width="5" style="22" bestFit="1" customWidth="1"/>
    <col min="2" max="7" width="7.21875" style="22" bestFit="1" customWidth="1"/>
    <col min="8" max="8" width="6.33203125" style="22" bestFit="1" customWidth="1"/>
    <col min="9" max="9" width="8.44140625" style="22" bestFit="1" customWidth="1"/>
    <col min="10" max="11" width="7.21875" style="22" bestFit="1" customWidth="1"/>
    <col min="12" max="12" width="8.44140625" style="22" bestFit="1" customWidth="1"/>
    <col min="13" max="13" width="7.21875" style="22" bestFit="1" customWidth="1"/>
    <col min="14" max="14" width="11.77734375" style="22" customWidth="1"/>
    <col min="15" max="16" width="10.44140625" style="22" bestFit="1" customWidth="1"/>
    <col min="17" max="16384" width="8.88671875" style="22"/>
  </cols>
  <sheetData>
    <row r="1" spans="1:16">
      <c r="A1" s="584"/>
      <c r="B1" s="580" t="s">
        <v>18</v>
      </c>
      <c r="C1" s="582" t="s">
        <v>19</v>
      </c>
      <c r="D1" s="580" t="s">
        <v>20</v>
      </c>
      <c r="E1" s="578" t="s">
        <v>21</v>
      </c>
      <c r="F1" s="580" t="s">
        <v>2</v>
      </c>
      <c r="G1" s="582" t="s">
        <v>22</v>
      </c>
      <c r="H1" s="580" t="s">
        <v>23</v>
      </c>
      <c r="I1" s="578" t="s">
        <v>24</v>
      </c>
      <c r="J1" s="580" t="s">
        <v>25</v>
      </c>
      <c r="K1" s="582" t="s">
        <v>26</v>
      </c>
      <c r="L1" s="580" t="s">
        <v>27</v>
      </c>
      <c r="M1" s="578" t="s">
        <v>28</v>
      </c>
      <c r="N1" s="580" t="s">
        <v>33</v>
      </c>
      <c r="O1" s="64"/>
    </row>
    <row r="2" spans="1:16" ht="15.75" thickBot="1">
      <c r="A2" s="585"/>
      <c r="B2" s="581"/>
      <c r="C2" s="583"/>
      <c r="D2" s="581"/>
      <c r="E2" s="579"/>
      <c r="F2" s="581"/>
      <c r="G2" s="583"/>
      <c r="H2" s="581"/>
      <c r="I2" s="579"/>
      <c r="J2" s="581"/>
      <c r="K2" s="583"/>
      <c r="L2" s="581"/>
      <c r="M2" s="579"/>
      <c r="N2" s="581"/>
      <c r="O2" s="37" t="s">
        <v>39</v>
      </c>
    </row>
    <row r="3" spans="1:16">
      <c r="A3" s="25">
        <v>1998</v>
      </c>
      <c r="B3" s="26"/>
      <c r="C3" s="26"/>
      <c r="D3" s="26"/>
      <c r="E3" s="26"/>
      <c r="F3" s="26"/>
      <c r="G3" s="26"/>
      <c r="H3" s="26"/>
      <c r="I3" s="27"/>
      <c r="J3" s="27"/>
      <c r="K3" s="27"/>
      <c r="L3" s="26"/>
      <c r="M3" s="26"/>
      <c r="N3" s="26"/>
      <c r="O3" s="51"/>
    </row>
    <row r="4" spans="1:16">
      <c r="A4" s="28">
        <v>1999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51"/>
    </row>
    <row r="5" spans="1:16">
      <c r="A5" s="28">
        <v>2000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51"/>
    </row>
    <row r="6" spans="1:16">
      <c r="A6" s="28">
        <v>2001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1"/>
    </row>
    <row r="7" spans="1:16">
      <c r="A7" s="28">
        <v>2002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51"/>
    </row>
    <row r="8" spans="1:16">
      <c r="A8" s="28">
        <v>2003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51"/>
    </row>
    <row r="9" spans="1:16">
      <c r="A9" s="28">
        <v>2004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51"/>
    </row>
    <row r="10" spans="1:16">
      <c r="A10" s="28">
        <v>2005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1"/>
    </row>
    <row r="11" spans="1:16">
      <c r="A11" s="28">
        <v>2006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1"/>
    </row>
    <row r="12" spans="1:16">
      <c r="A12" s="28">
        <v>2007</v>
      </c>
      <c r="B12" s="29"/>
      <c r="C12" s="29"/>
      <c r="D12" s="29"/>
      <c r="E12" s="29"/>
      <c r="F12" s="29"/>
      <c r="G12" s="33"/>
      <c r="H12" s="33"/>
      <c r="I12" s="33"/>
      <c r="J12" s="33"/>
      <c r="K12" s="33"/>
      <c r="L12" s="33"/>
      <c r="M12" s="33"/>
      <c r="N12" s="33"/>
      <c r="O12" s="38">
        <f>SUM(B12:N12)</f>
        <v>0</v>
      </c>
    </row>
    <row r="13" spans="1:16">
      <c r="A13" s="28">
        <v>2008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8">
        <f>SUM(B13:N13)</f>
        <v>0</v>
      </c>
      <c r="P13" s="61">
        <v>484.81</v>
      </c>
    </row>
    <row r="14" spans="1:16">
      <c r="A14" s="28">
        <v>2009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8">
        <f t="shared" ref="O14:O18" si="0">SUM(B14:N14)</f>
        <v>0</v>
      </c>
      <c r="P14" s="61"/>
    </row>
    <row r="15" spans="1:16">
      <c r="A15" s="28">
        <v>2010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8">
        <f t="shared" si="0"/>
        <v>0</v>
      </c>
      <c r="P15" s="61">
        <v>96.9</v>
      </c>
    </row>
    <row r="16" spans="1:16">
      <c r="A16" s="28">
        <v>2011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8">
        <f t="shared" si="0"/>
        <v>0</v>
      </c>
      <c r="P16" s="61">
        <v>267.98</v>
      </c>
    </row>
    <row r="17" spans="1:18">
      <c r="A17" s="28">
        <v>2012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8">
        <f t="shared" si="0"/>
        <v>0</v>
      </c>
      <c r="P17" s="61"/>
    </row>
    <row r="18" spans="1:18" ht="15.75">
      <c r="A18" s="28">
        <v>2013</v>
      </c>
      <c r="B18" s="33"/>
      <c r="C18" s="33"/>
      <c r="D18" s="33"/>
      <c r="E18" s="33"/>
      <c r="F18" s="33"/>
      <c r="G18" s="29"/>
      <c r="H18" s="29"/>
      <c r="I18" s="29"/>
      <c r="J18" s="29"/>
      <c r="K18" s="29"/>
      <c r="L18" s="29"/>
      <c r="M18" s="29"/>
      <c r="N18" s="29"/>
      <c r="O18" s="38">
        <f t="shared" si="0"/>
        <v>0</v>
      </c>
      <c r="P18" s="67"/>
      <c r="Q18" s="30" t="s">
        <v>1</v>
      </c>
      <c r="R18" s="30" t="s">
        <v>2</v>
      </c>
    </row>
    <row r="19" spans="1:18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3">
        <f>SUM(O3:O18)</f>
        <v>0</v>
      </c>
    </row>
    <row r="20" spans="1:18">
      <c r="O20" s="11">
        <v>834.06</v>
      </c>
    </row>
    <row r="21" spans="1:18">
      <c r="O21" s="22">
        <v>923.36</v>
      </c>
    </row>
    <row r="24" spans="1:18">
      <c r="A24" s="577" t="s">
        <v>212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</row>
    <row r="25" spans="1:18">
      <c r="A25" s="577"/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</row>
  </sheetData>
  <mergeCells count="15">
    <mergeCell ref="A24:N25"/>
    <mergeCell ref="M1:M2"/>
    <mergeCell ref="N1:N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26</vt:i4>
      </vt:variant>
    </vt:vector>
  </HeadingPairs>
  <TitlesOfParts>
    <vt:vector size="26" baseType="lpstr">
      <vt:lpstr>δολοςΤΑΝ</vt:lpstr>
      <vt:lpstr>281α</vt:lpstr>
      <vt:lpstr>281β</vt:lpstr>
      <vt:lpstr>281γ</vt:lpstr>
      <vt:lpstr>281-δ1</vt:lpstr>
      <vt:lpstr>281δ2</vt:lpstr>
      <vt:lpstr>281ε1</vt:lpstr>
      <vt:lpstr>281ε2</vt:lpstr>
      <vt:lpstr>281ζ</vt:lpstr>
      <vt:lpstr>281η</vt:lpstr>
      <vt:lpstr>281θ</vt:lpstr>
      <vt:lpstr>281ι1</vt:lpstr>
      <vt:lpstr>281ι1β</vt:lpstr>
      <vt:lpstr>281ι2</vt:lpstr>
      <vt:lpstr>281κ</vt:lpstr>
      <vt:lpstr>281ξ(1-2)</vt:lpstr>
      <vt:lpstr>281ξ3</vt:lpstr>
      <vt:lpstr>281ο</vt:lpstr>
      <vt:lpstr>281ρ1</vt:lpstr>
      <vt:lpstr>281ρ2</vt:lpstr>
      <vt:lpstr>281ρ3</vt:lpstr>
      <vt:lpstr>281υ1</vt:lpstr>
      <vt:lpstr>281υ2</vt:lpstr>
      <vt:lpstr>281φ1</vt:lpstr>
      <vt:lpstr>281φ2</vt:lpstr>
      <vt:lpstr>281ω3α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2022-05-25T08:36:57Z</cp:lastPrinted>
  <dcterms:created xsi:type="dcterms:W3CDTF">2019-08-29T15:23:37Z</dcterms:created>
  <dcterms:modified xsi:type="dcterms:W3CDTF">2024-02-19T04:35:02Z</dcterms:modified>
</cp:coreProperties>
</file>