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3" sheetId="4" r:id="rId1"/>
  </sheets>
  <definedNames>
    <definedName name="_xlnm._FilterDatabase" localSheetId="0" hidden="1">'219γ3'!$F$1:$F$143</definedName>
  </definedNames>
  <calcPr calcId="125725"/>
</workbook>
</file>

<file path=xl/calcChain.xml><?xml version="1.0" encoding="utf-8"?>
<calcChain xmlns="http://schemas.openxmlformats.org/spreadsheetml/2006/main">
  <c r="AL120" i="4"/>
  <c r="AK120"/>
  <c r="AI120"/>
  <c r="AG119"/>
  <c r="AG120" s="1"/>
  <c r="AA5"/>
  <c r="Z5"/>
  <c r="Y5"/>
  <c r="Q18"/>
  <c r="AF120"/>
  <c r="AD120"/>
  <c r="AA106" l="1"/>
  <c r="AA107"/>
  <c r="AA108"/>
  <c r="AA109"/>
  <c r="AA110"/>
  <c r="AA111"/>
  <c r="AA112"/>
  <c r="AA113"/>
  <c r="AA114"/>
  <c r="AA115"/>
  <c r="AA116"/>
  <c r="Y116"/>
  <c r="Z106"/>
  <c r="Z107"/>
  <c r="Z108"/>
  <c r="Z109"/>
  <c r="Z110"/>
  <c r="Z111"/>
  <c r="Z112"/>
  <c r="Z113"/>
  <c r="Z114"/>
  <c r="Z115"/>
  <c r="Z116"/>
  <c r="Y106"/>
  <c r="Y107"/>
  <c r="Y108"/>
  <c r="Y109"/>
  <c r="Y110"/>
  <c r="Y111"/>
  <c r="Y112"/>
  <c r="Y113"/>
  <c r="Y114"/>
  <c r="Y115"/>
  <c r="Z31" l="1"/>
  <c r="Z30"/>
  <c r="Z27"/>
  <c r="Z26"/>
  <c r="Z19"/>
  <c r="Z17"/>
  <c r="Z16"/>
  <c r="Z15"/>
  <c r="Z14"/>
  <c r="Z13"/>
  <c r="Z12"/>
  <c r="Z11"/>
  <c r="Z9"/>
  <c r="Z8"/>
  <c r="P120"/>
  <c r="J120"/>
  <c r="AA34" l="1"/>
  <c r="AA33"/>
  <c r="AA21"/>
  <c r="AA18"/>
  <c r="Z85"/>
  <c r="AA6"/>
  <c r="AA8"/>
  <c r="AA9"/>
  <c r="AA11"/>
  <c r="AA119" s="1"/>
  <c r="AA12"/>
  <c r="AA13"/>
  <c r="AA14"/>
  <c r="AA15"/>
  <c r="AA16"/>
  <c r="AA17"/>
  <c r="AA19"/>
  <c r="AA22"/>
  <c r="AA23"/>
  <c r="AA26"/>
  <c r="AA27"/>
  <c r="AA32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61"/>
  <c r="AA62"/>
  <c r="AA66"/>
  <c r="AA67"/>
  <c r="AA69"/>
  <c r="AA70"/>
  <c r="AA71"/>
  <c r="AA74"/>
  <c r="AA85"/>
  <c r="AA89"/>
  <c r="AA90"/>
  <c r="AA91"/>
  <c r="AA92"/>
  <c r="AA93"/>
  <c r="AA94"/>
  <c r="AA95"/>
  <c r="AA96"/>
  <c r="AA97"/>
  <c r="AA98"/>
  <c r="AA99"/>
  <c r="AA100"/>
  <c r="AA101"/>
  <c r="AA102"/>
  <c r="AA103"/>
  <c r="AA105"/>
  <c r="AA117"/>
  <c r="Z4"/>
  <c r="Z6"/>
  <c r="Z7"/>
  <c r="Z10"/>
  <c r="Z18"/>
  <c r="Z20"/>
  <c r="Z21"/>
  <c r="Z22"/>
  <c r="Z23"/>
  <c r="Z24"/>
  <c r="Z25"/>
  <c r="Z28"/>
  <c r="Z29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5"/>
  <c r="Z3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5"/>
  <c r="Y117"/>
  <c r="Z117" s="1"/>
  <c r="Y3"/>
  <c r="Y4"/>
  <c r="O21"/>
  <c r="I10"/>
  <c r="I120" s="1"/>
  <c r="R88"/>
  <c r="Q88"/>
  <c r="L88"/>
  <c r="K88"/>
  <c r="R87"/>
  <c r="Q87"/>
  <c r="L87"/>
  <c r="K87"/>
  <c r="R86"/>
  <c r="Q86"/>
  <c r="L86"/>
  <c r="K86"/>
  <c r="R84"/>
  <c r="Q84"/>
  <c r="L84"/>
  <c r="K84"/>
  <c r="R83"/>
  <c r="Q83"/>
  <c r="L83"/>
  <c r="K83"/>
  <c r="R82"/>
  <c r="Q82"/>
  <c r="L82"/>
  <c r="K82"/>
  <c r="R80"/>
  <c r="Q80"/>
  <c r="L80"/>
  <c r="K80"/>
  <c r="R78"/>
  <c r="Q78"/>
  <c r="L78"/>
  <c r="K78"/>
  <c r="R77"/>
  <c r="Q77"/>
  <c r="L77"/>
  <c r="K77"/>
  <c r="R75"/>
  <c r="Q75"/>
  <c r="L75"/>
  <c r="K75"/>
  <c r="R72"/>
  <c r="Q72"/>
  <c r="L72"/>
  <c r="K72"/>
  <c r="R73"/>
  <c r="Q73"/>
  <c r="L73"/>
  <c r="K73"/>
  <c r="R68"/>
  <c r="Q68"/>
  <c r="L68"/>
  <c r="K68"/>
  <c r="R64"/>
  <c r="AA64" s="1"/>
  <c r="R63"/>
  <c r="AA63" s="1"/>
  <c r="Q63"/>
  <c r="R58"/>
  <c r="R57"/>
  <c r="Q58"/>
  <c r="Q57"/>
  <c r="L58"/>
  <c r="AA58" s="1"/>
  <c r="L57"/>
  <c r="AA57" s="1"/>
  <c r="R50"/>
  <c r="Q50"/>
  <c r="R31"/>
  <c r="Q31"/>
  <c r="L31"/>
  <c r="K31"/>
  <c r="R30"/>
  <c r="Q30"/>
  <c r="L30"/>
  <c r="K30"/>
  <c r="R29"/>
  <c r="AA29" s="1"/>
  <c r="Q29"/>
  <c r="K29"/>
  <c r="R28"/>
  <c r="Q28"/>
  <c r="L28"/>
  <c r="K28"/>
  <c r="R25"/>
  <c r="Q25"/>
  <c r="L25"/>
  <c r="K25"/>
  <c r="R24"/>
  <c r="Q24"/>
  <c r="L24"/>
  <c r="K24"/>
  <c r="Q22"/>
  <c r="R20"/>
  <c r="Q20"/>
  <c r="L20"/>
  <c r="K20"/>
  <c r="R10"/>
  <c r="AA10" s="1"/>
  <c r="R7"/>
  <c r="AA7" s="1"/>
  <c r="AA73" l="1"/>
  <c r="AA72"/>
  <c r="AA75"/>
  <c r="AA80"/>
  <c r="AA83"/>
  <c r="AA84"/>
  <c r="AA31"/>
  <c r="Z120"/>
  <c r="AA24"/>
  <c r="AA25"/>
  <c r="AA28"/>
  <c r="AA78"/>
  <c r="AA82"/>
  <c r="AA86"/>
  <c r="AA20"/>
  <c r="AA88"/>
  <c r="AA87"/>
  <c r="AA77"/>
  <c r="AA68"/>
  <c r="AA30"/>
  <c r="O120"/>
  <c r="AA4"/>
  <c r="AA3"/>
  <c r="N120"/>
  <c r="Y6"/>
  <c r="Y7"/>
  <c r="R81"/>
  <c r="L81"/>
  <c r="R79"/>
  <c r="Q79"/>
  <c r="L79"/>
  <c r="K79"/>
  <c r="R76"/>
  <c r="L76"/>
  <c r="R65"/>
  <c r="L65"/>
  <c r="R60"/>
  <c r="L60"/>
  <c r="R59"/>
  <c r="L59"/>
  <c r="R56"/>
  <c r="L56"/>
  <c r="Q36"/>
  <c r="M120"/>
  <c r="S120"/>
  <c r="T120"/>
  <c r="U120"/>
  <c r="V120"/>
  <c r="Y120" l="1"/>
  <c r="AA59"/>
  <c r="AA65"/>
  <c r="AA81"/>
  <c r="AA56"/>
  <c r="AA76"/>
  <c r="AA79"/>
  <c r="AA60"/>
  <c r="R120"/>
  <c r="H120"/>
  <c r="G120"/>
  <c r="K120"/>
  <c r="L120"/>
  <c r="Q120"/>
  <c r="AA120" l="1"/>
  <c r="Z122"/>
</calcChain>
</file>

<file path=xl/sharedStrings.xml><?xml version="1.0" encoding="utf-8"?>
<sst xmlns="http://schemas.openxmlformats.org/spreadsheetml/2006/main" count="631" uniqueCount="249">
  <si>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</si>
  <si>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</si>
  <si>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</si>
  <si>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</si>
  <si>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</si>
  <si>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</si>
  <si>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</si>
  <si>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>νομικά ΥΠΟΛΟΓΟΣ είναι ο πωλητής , καθώς αυτός καρπώθηκε , κατά το ενδιάμεσο διάστημα , τα χρήματα , ΑΛΛΑ ουσιαστικά είναι ο αγοραστής , ΚΑΘΩΣ η ΑΓΑΠΕ , αυτόν στόχευε να διευκολύνει , επειδή έβγαινε περισσότερος φόρος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</si>
  <si>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</si>
  <si>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</si>
  <si>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</si>
  <si>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</si>
  <si>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</si>
  <si>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</si>
  <si>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ΛΙΜΕΝΑΡΙΑ</t>
  </si>
  <si>
    <t>ΛΙΜΕΝΑΣ</t>
  </si>
  <si>
    <t>ΠΑΝΑΓΙΑ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</si>
  <si>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</si>
  <si>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</si>
  <si>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</si>
  <si>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</si>
  <si>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</si>
  <si>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</si>
  <si>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219-1</t>
  </si>
  <si>
    <t>ημερομηνία</t>
  </si>
  <si>
    <t>εξάλειψη υποθήκης</t>
  </si>
  <si>
    <t>θυμνιοςΔημητριος</t>
  </si>
  <si>
    <t>ΜΗ χρεωθέντες πόροι κ-15-17 &amp; κ-18 &amp; ΤΑΣ στο συμβόλαιο</t>
  </si>
  <si>
    <t>219-16κ</t>
  </si>
  <si>
    <t>φιλιππιδης αφοι ΟΕ</t>
  </si>
  <si>
    <t>5.963 =7πλέτα</t>
  </si>
  <si>
    <t>υποθήκη</t>
  </si>
  <si>
    <t>6.137 =4πλέτα</t>
  </si>
  <si>
    <t>δάνειο</t>
  </si>
  <si>
    <t>φιλιππίδηςΜαρμαραΑΕ</t>
  </si>
  <si>
    <t>9.946Α' =7πλέτα</t>
  </si>
  <si>
    <t>10.350 = 4πλέτα</t>
  </si>
  <si>
    <t>12.252 = 4πλέτα</t>
  </si>
  <si>
    <t>219-29κ</t>
  </si>
  <si>
    <t>λατΜαρμΛασκαριδηςΛορΠαπΧρυσ &amp; σια ΕΕ</t>
  </si>
  <si>
    <t>219-30</t>
  </si>
  <si>
    <t>leasing ΑΠΟΔΟΧΗ</t>
  </si>
  <si>
    <t>συνεταιριστικη …AE</t>
  </si>
  <si>
    <t>δάνειο &amp;υποθήκη</t>
  </si>
  <si>
    <t>μεντζαςΠαναγιωτης</t>
  </si>
  <si>
    <t>219-43</t>
  </si>
  <si>
    <t>219-45</t>
  </si>
  <si>
    <t>μιαμοςΔημητριος</t>
  </si>
  <si>
    <t>219-48</t>
  </si>
  <si>
    <t>μαρκοπουλοςΓεωργιος</t>
  </si>
  <si>
    <t>219-49</t>
  </si>
  <si>
    <t>διαμαντηςΕυαγγελος</t>
  </si>
  <si>
    <t>219-52</t>
  </si>
  <si>
    <t>219-59</t>
  </si>
  <si>
    <t>δάνειο &amp; υποθήκη</t>
  </si>
  <si>
    <t>παπακυριακουΠερσεφινη</t>
  </si>
  <si>
    <t>καραγιαννηςΔημητριος &amp; κΜαρουΑθηνα &amp; κΗλιας</t>
  </si>
  <si>
    <t xml:space="preserve">καραγιαννηςΔημητριος </t>
  </si>
  <si>
    <t>219-62</t>
  </si>
  <si>
    <t>παπαγεωργιουΙωαννης</t>
  </si>
  <si>
    <t>παπαγεωργιουΙωαννης &amp; αδερφός</t>
  </si>
  <si>
    <t>219-64</t>
  </si>
  <si>
    <t>παπαδημητριουΠαναγιωτης</t>
  </si>
  <si>
    <t>ΚΑΛΗΡΑΧΗ</t>
  </si>
  <si>
    <t>κατάσχεσης ΑΡΣΗ</t>
  </si>
  <si>
    <t>παναγιωτουΑθανασιος</t>
  </si>
  <si>
    <t>219-67</t>
  </si>
  <si>
    <t>219-74</t>
  </si>
  <si>
    <t>γραμμάτιο Τ.Π.Δ. κατάθεση</t>
  </si>
  <si>
    <t>βογιατζογλουΝικολαος</t>
  </si>
  <si>
    <t>ΘΕΟΛΟΓΟΣ</t>
  </si>
  <si>
    <t>κυριωτηςΠαναγιωτης</t>
  </si>
  <si>
    <t>219-95</t>
  </si>
  <si>
    <t>219-92</t>
  </si>
  <si>
    <t>βελιοςΚωνσταντινος</t>
  </si>
  <si>
    <t>219-99</t>
  </si>
  <si>
    <t>δάνειο Τ.Π.Δ.</t>
  </si>
  <si>
    <t>δημοςΘασου</t>
  </si>
  <si>
    <t xml:space="preserve"> ΔΕΥΑΘ</t>
  </si>
  <si>
    <t>219-100</t>
  </si>
  <si>
    <t>λαζαρεληςΚωνσταντινος</t>
  </si>
  <si>
    <t>219-101</t>
  </si>
  <si>
    <t>νικηφορακηΠαναγιωτα …ΠΡΟΣ… 219-101 = βερζαμανηςΔημητριος</t>
  </si>
  <si>
    <t>εγγύησης ΔΗΛΩΣΗ</t>
  </si>
  <si>
    <t>219-122</t>
  </si>
  <si>
    <t>δάνειο Τ.Π.Δ. &amp; υποθήκη</t>
  </si>
  <si>
    <t>τριανταφυλλιδηςΝικολαος</t>
  </si>
  <si>
    <t>τριανταφυλλιδηςΤριανταφυλλος</t>
  </si>
  <si>
    <t>ΡΑΧΩΝΙ</t>
  </si>
  <si>
    <t>219-123</t>
  </si>
  <si>
    <t>μαθιαντωνηςΜεταξας</t>
  </si>
  <si>
    <t>219-124κ</t>
  </si>
  <si>
    <t>ζαμπεκοςΝικολαος</t>
  </si>
  <si>
    <t>βασιλουδηςΑργυροπουλος</t>
  </si>
  <si>
    <t>βασιλουδηςΒασιλειος</t>
  </si>
  <si>
    <t>219-125</t>
  </si>
  <si>
    <t>;;;??? = τριπλέτα</t>
  </si>
  <si>
    <t>;;;????</t>
  </si>
  <si>
    <t>ΠΟΤΑΜΙΑ</t>
  </si>
  <si>
    <t>219-126</t>
  </si>
  <si>
    <t>πετσινακηςΣταυρος &amp; π-ραξηΣονια</t>
  </si>
  <si>
    <t>219-127</t>
  </si>
  <si>
    <t>συκουδηςΓεωργιος</t>
  </si>
  <si>
    <t>219-128</t>
  </si>
  <si>
    <t>τριχα-καλακηΚυριακη</t>
  </si>
  <si>
    <t>219-129</t>
  </si>
  <si>
    <t>χατζηαυγουστηςΑντωνιος</t>
  </si>
  <si>
    <t>219-130</t>
  </si>
  <si>
    <t>219-131</t>
  </si>
  <si>
    <t>κοτρωτσοςΓεωργιος</t>
  </si>
  <si>
    <t>219-132</t>
  </si>
  <si>
    <t>χριστοδουλακηςΑποστολος</t>
  </si>
  <si>
    <t>219-133</t>
  </si>
  <si>
    <t>κομνηνοςΚωνσταντινος{του κομνηνου</t>
  </si>
  <si>
    <t>219-134</t>
  </si>
  <si>
    <t>παπαντωνιουΝικολαος</t>
  </si>
  <si>
    <t>ΠΡΙΝΟΣ</t>
  </si>
  <si>
    <t>ποσό-2</t>
  </si>
  <si>
    <t>εξάλειψη υποθήκης 8.417κύρου</t>
  </si>
  <si>
    <t>εξάλειψη υποθήκης 9.276κύρου</t>
  </si>
  <si>
    <t>εξάλειψη υποθήκης 7.604κύρου</t>
  </si>
  <si>
    <t>εξάλειψη υποθήκης 9.189κύρου</t>
  </si>
  <si>
    <t>εξάλειψη υποθήκης 9.669κύρου</t>
  </si>
  <si>
    <t>εξάλειψη υποθήκης 7.395κύρου</t>
  </si>
  <si>
    <t>εξάλειψη υποθήκης 8.907κύρου</t>
  </si>
  <si>
    <t>εξάλειψη υποθήκης 8.906κύρου</t>
  </si>
  <si>
    <t>εξάλειψη υποθήκης 8.199κύρου</t>
  </si>
  <si>
    <t>εξάλειψη υποθήκης 8.742κύρου</t>
  </si>
  <si>
    <t>εξάλειψη υποθήκης 7.893κύρου</t>
  </si>
  <si>
    <t>εξάλειψη υποθήκης 10.839κύρου</t>
  </si>
  <si>
    <t>εξάλειψη υποθήκης 5.404κύρου</t>
  </si>
  <si>
    <t>εξάλειψη υποθήκης 10.824κύρου</t>
  </si>
  <si>
    <t>219-135</t>
  </si>
  <si>
    <t>λημναιοςΑποστολος</t>
  </si>
  <si>
    <t>ποσό-1</t>
  </si>
  <si>
    <t xml:space="preserve">ΜΗ χρεωθέντες πόροι κ-15-17 &amp; κ-18 &amp; ΤΑΣ στο συμβόλαιο </t>
  </si>
  <si>
    <t>ΔΕΝ υπολογίζονται τα ΚΑΚΩΣ χρεωθέντα 534,12</t>
  </si>
  <si>
    <t>219-136</t>
  </si>
  <si>
    <t>;;;???=τριπλέτα</t>
  </si>
  <si>
    <t>;;;???</t>
  </si>
  <si>
    <t xml:space="preserve"> ιωσηφιδηςΚωνσταντινος</t>
  </si>
  <si>
    <t>219-137</t>
  </si>
  <si>
    <t>συκουδηςΔημητριος</t>
  </si>
  <si>
    <t>219-138</t>
  </si>
  <si>
    <t>;;;???=7πλέτα</t>
  </si>
  <si>
    <t>λασκαρηςΠαναγιωτης</t>
  </si>
  <si>
    <t>219-139</t>
  </si>
  <si>
    <t>;;;???=6πλέτα</t>
  </si>
  <si>
    <t>;;;??? = 21πλέτα</t>
  </si>
  <si>
    <t>;;;??? = 6πλέτα</t>
  </si>
  <si>
    <t>;;;??? = (9 έως 17)πλέτα</t>
  </si>
  <si>
    <t>;;;??? = 9πλέτα</t>
  </si>
  <si>
    <t>;;;??? = 12πλέτα</t>
  </si>
  <si>
    <t>2.804κύρου = 9πλέτα</t>
  </si>
  <si>
    <t>1.627κύρου = 9πλέτα</t>
  </si>
  <si>
    <t>7604κύρου</t>
  </si>
  <si>
    <t>7.644κύρου = τριπλέτα</t>
  </si>
  <si>
    <t>8346κύρου</t>
  </si>
  <si>
    <t>8.350κύρου = 2πλέτα</t>
  </si>
  <si>
    <t>11.988κύρου = τριπλέτα</t>
  </si>
  <si>
    <t>;;;??? = 4πλέτα</t>
  </si>
  <si>
    <t>;;;??? = 2πλέτα</t>
  </si>
  <si>
    <t>;;;??? = 5πλέτα</t>
  </si>
  <si>
    <t>μπραστιανοςΙωαννης</t>
  </si>
  <si>
    <t>219-140</t>
  </si>
  <si>
    <t xml:space="preserve">δάνειο ενυπόθηκο [ΟργΕργΚατοικ </t>
  </si>
  <si>
    <t>εξάλειψη υποθήκης 11.897κύρου</t>
  </si>
  <si>
    <t xml:space="preserve">κεραμαρη-τυρολογουΚωνσταντινια </t>
  </si>
  <si>
    <t>219-141</t>
  </si>
  <si>
    <t>έγγραφο ΚΑΤΑΘΕΣΗ &amp; ΑΝΑΛΗΨΗ</t>
  </si>
  <si>
    <t xml:space="preserve"> WestrumThomasSchulte</t>
  </si>
  <si>
    <t>219-142</t>
  </si>
  <si>
    <t>γραμματίου Τ.Π.Δ.  ΚΑΤΑΘΕΣΗ</t>
  </si>
  <si>
    <t>λαδικαςΚλεανθης</t>
  </si>
  <si>
    <t>κ-15 επερχόμενου ελέγχου ΤΑΝ</t>
  </si>
  <si>
    <t>συν (+) διαφυγόντες κ-15 βάσει  zηλ</t>
  </si>
  <si>
    <t>συν (+) διαφυγόντα ΤΑΝ-κ-18 &amp; ΤΑΣ &amp; χαρτ ΒΑΣΕΙ zηλ</t>
  </si>
  <si>
    <t>κ-15 ελέγχου ΤΑΝ ΠΛΗΡΩΜΕΝΑ</t>
  </si>
  <si>
    <t>κ-18 ελέγχου ΤΑΝ ΠΛΗΡΩΜΕΝΑ</t>
  </si>
  <si>
    <t>διαφυγόντα ΤΑΝ-κ-18 &amp; ΤΑΣ επερχόμενων ελέγχων</t>
  </si>
  <si>
    <t>κατάθεση εγράφου</t>
  </si>
  <si>
    <t>καταθεση εγγραφων { 4 γραμμ</t>
  </si>
  <si>
    <t>219-143</t>
  </si>
  <si>
    <t>γραμμάτιο Τ.Π.Δ.   ΚΑΤΑΘΕΣΗ</t>
  </si>
  <si>
    <t>γραμματίου Τ.Π.Δ.  8.658κύρου  ΑΝΑΛΗΨΗ</t>
  </si>
  <si>
    <t xml:space="preserve">καραμπινηςΙωαννης VS γεωργαληςΑποστολος [''κρόκος] </t>
  </si>
  <si>
    <t>ΘΕΣΣΑΛΟΝΙΚΗ</t>
  </si>
  <si>
    <t>219-144</t>
  </si>
  <si>
    <t>έγγραφα ΚΑΤΑΘΕΣΗ</t>
  </si>
  <si>
    <t xml:space="preserve"> γκιγκιλαςΓεωργιος</t>
  </si>
  <si>
    <t>219-145</t>
  </si>
  <si>
    <t>7.146 = 2πλέτα</t>
  </si>
  <si>
    <t>αγορά &amp; χρησιδάνειο</t>
  </si>
  <si>
    <t>smithFrank</t>
  </si>
  <si>
    <t>219-170κ</t>
  </si>
  <si>
    <t>μαδεμληςΑντωνιος [για μΚωνσταντινο</t>
  </si>
  <si>
    <t>μΑντωνιος [για μΝικολαο</t>
  </si>
  <si>
    <t>υποθήκη [στην κοινότητα ΓΙΑ χρέος παράνομων νταμαριών</t>
  </si>
  <si>
    <t>219-176κ</t>
  </si>
  <si>
    <t>υποθήκη 2η  [για μηχανές] , [ΘΑΣΟΣ-1]</t>
  </si>
  <si>
    <t>ΑΝΕΘ</t>
  </si>
  <si>
    <t>απαίτηση για κ-15-18-ΤΑΣ σε ΟΡΟΥΣ δημιουργίας {π.χ. 1984-1ος}</t>
  </si>
  <si>
    <t>αναγγελία ΠΡΩΤΕΡΑΙΟΤΗΤΑΣ σε κατάσχεση υπερ Δ.Ο.Υ. {=3.137,19€} [στον επικείμενο πλειστηριασμό ΥΠΕΡ οικονομουΑΕΒΕ {=9.190,56€</t>
  </si>
  <si>
    <t>αναγγελία ΠΡΩΤΕΡΑΙΟΤΗΤΑΣ σε κατάσχεση υπερ Δ.Ο.Υ. {= 1.454,42€} [στον επικείμενο πλειστηριασμό ΥΠΕΡ μυλωνας ΟΕ …{ΙΔΕ 9.505</t>
  </si>
  <si>
    <t xml:space="preserve">κατάσχεσης ΑΡΣΗ </t>
  </si>
  <si>
    <t>κατάθεση εγγράφων [έκθΠλειστηρ-ΚΛΠ</t>
  </si>
  <si>
    <t>κατάσχεσης ΑΡΣΗ [για τέλη παρεπιδημούντων</t>
  </si>
  <si>
    <t xml:space="preserve">;;;??? </t>
  </si>
  <si>
    <t>εμπορικη ΚΑΤΆ καραπατακηςΧρηστος</t>
  </si>
  <si>
    <t>δημοςΘασου ΚΑΤΆ ιατρου-κουτλαΑναστασια</t>
  </si>
  <si>
    <t>βελιοςΚωνσταντινο &amp; βΝικολαος ΚΑΤΆ λαζαρίδηςΙωάννης</t>
  </si>
  <si>
    <t>πιπινηςΑντωνιος ΚΑΤΆ παπαρσενίουΜαργαρίτης</t>
  </si>
  <si>
    <t>ΑΛΦΑτραπ ΚΑΤΆ μανωλάκηΕλισσάβετ</t>
  </si>
  <si>
    <t>μυλωναςΟΕ ΚΑΤΆ γιαντζοςΔημητριος</t>
  </si>
  <si>
    <t>καρανίκου -παπακωστα ΟΕ</t>
  </si>
  <si>
    <t>μεντζαςΠαναγιωτης ΚΑΤΆ τσουλκάνηςΔημήτριος</t>
  </si>
  <si>
    <t>χατζηεμμανουηλΑλεξης ΚΑΤΑ παπαναρέτου-κυριατζίδουΧχαρίκλεια</t>
  </si>
  <si>
    <t>λαδικαςΜπετονΑΕ ΚΑΤΆ πετρομελίδης-καραριζος  ΟΕ</t>
  </si>
  <si>
    <t>γιαντζοςΔημητριος</t>
  </si>
  <si>
    <t>ΚΑΒΑΛΑ</t>
  </si>
  <si>
    <t>ΣΩΤΗΡΟΣ</t>
  </si>
  <si>
    <t>πληστειριασμοί παππού [73 πολίτες = 445 συμβόλαια</t>
  </si>
  <si>
    <t>πληρώθηκαν</t>
  </si>
  <si>
    <t>έρχονται</t>
  </si>
  <si>
    <t>ίσως ΔΕΝ έρθουν</t>
  </si>
  <si>
    <t>τσακαλουΑΦΟΙ ..ΟΕ</t>
  </si>
  <si>
    <t>παππού</t>
  </si>
  <si>
    <t>κ-15-17</t>
  </si>
  <si>
    <t>έτη/μήνες εξόφλησης</t>
  </si>
  <si>
    <t>ζημία</t>
  </si>
  <si>
    <t>μεΖΗΛπ.χ.-1</t>
  </si>
  <si>
    <t>καθεστώς πληρωμής από ΑΓΑΠΕ</t>
  </si>
  <si>
    <t>;;;???κύρου = 4πλέτα</t>
  </si>
  <si>
    <t>;;;???κύρου =τριπλέτα</t>
  </si>
  <si>
    <t>;;;???κύρου = 10πλέτα</t>
  </si>
  <si>
    <t>;;;???κύρου =2πλέτα</t>
  </si>
  <si>
    <t>;;;???κύρου =4πλέτα</t>
  </si>
  <si>
    <t>;;;???κύρου = 15πλέτα</t>
  </si>
  <si>
    <t>;;;???κύρου</t>
  </si>
  <si>
    <t>;;;???κύρου = 9πλέτα</t>
  </si>
  <si>
    <t>;;;???κύρου = 6πλέτα</t>
  </si>
  <si>
    <t>;;;???κύρου = 21πλέτα</t>
  </si>
  <si>
    <t>;;;???κύρου = 2πλέτα</t>
  </si>
  <si>
    <t>;;;???κύρου = 2πλέτα [+3πλέτα</t>
  </si>
  <si>
    <t>;;;???κύρου = τριπλέτα [+ 3πλέτα</t>
  </si>
  <si>
    <t>ΤΟΓΚΑ</t>
  </si>
  <si>
    <t>έωςΣήμερα</t>
  </si>
  <si>
    <t>13έτη &amp; 3μήνες</t>
  </si>
  <si>
    <t>παππούς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</si>
</sst>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2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2"/>
      <color rgb="FF0070C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sz val="8"/>
      <color rgb="FFFF0000"/>
      <name val="Arial"/>
      <family val="2"/>
      <charset val="161"/>
    </font>
    <font>
      <u/>
      <sz val="10"/>
      <color rgb="FFFF0000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304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0" fontId="10" fillId="0" borderId="1" xfId="0" applyFont="1" applyFill="1" applyBorder="1" applyAlignment="1">
      <alignment horizontal="left" wrapText="1"/>
    </xf>
    <xf numFmtId="43" fontId="10" fillId="0" borderId="1" xfId="1" applyFont="1" applyFill="1" applyBorder="1"/>
    <xf numFmtId="164" fontId="11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0" fontId="3" fillId="0" borderId="1" xfId="0" applyFont="1" applyFill="1" applyBorder="1" applyAlignment="1">
      <alignment horizontal="left" wrapText="1"/>
    </xf>
    <xf numFmtId="14" fontId="11" fillId="0" borderId="1" xfId="0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0" fontId="12" fillId="0" borderId="0" xfId="0" applyFont="1" applyAlignment="1">
      <alignment horizontal="center"/>
    </xf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164" fontId="10" fillId="6" borderId="1" xfId="1" applyNumberFormat="1" applyFont="1" applyFill="1" applyBorder="1"/>
    <xf numFmtId="43" fontId="10" fillId="6" borderId="1" xfId="1" applyFont="1" applyFill="1" applyBorder="1"/>
    <xf numFmtId="164" fontId="10" fillId="0" borderId="0" xfId="0" applyNumberFormat="1" applyFont="1" applyFill="1" applyBorder="1"/>
    <xf numFmtId="14" fontId="13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10" xfId="0" applyNumberFormat="1" applyFont="1" applyFill="1" applyBorder="1"/>
    <xf numFmtId="0" fontId="3" fillId="0" borderId="10" xfId="0" applyFont="1" applyFill="1" applyBorder="1"/>
    <xf numFmtId="164" fontId="11" fillId="0" borderId="10" xfId="1" applyNumberFormat="1" applyFont="1" applyFill="1" applyBorder="1" applyAlignment="1">
      <alignment horizontal="center" vertical="center"/>
    </xf>
    <xf numFmtId="14" fontId="11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wrapText="1"/>
    </xf>
    <xf numFmtId="43" fontId="10" fillId="0" borderId="10" xfId="1" applyFont="1" applyFill="1" applyBorder="1" applyAlignment="1">
      <alignment horizontal="center"/>
    </xf>
    <xf numFmtId="164" fontId="10" fillId="0" borderId="10" xfId="1" applyNumberFormat="1" applyFont="1" applyFill="1" applyBorder="1"/>
    <xf numFmtId="43" fontId="10" fillId="0" borderId="10" xfId="1" applyFont="1" applyFill="1" applyBorder="1"/>
    <xf numFmtId="43" fontId="10" fillId="6" borderId="10" xfId="1" applyFont="1" applyFill="1" applyBorder="1"/>
    <xf numFmtId="164" fontId="10" fillId="6" borderId="10" xfId="1" applyNumberFormat="1" applyFont="1" applyFill="1" applyBorder="1"/>
    <xf numFmtId="0" fontId="16" fillId="0" borderId="0" xfId="0" applyFont="1"/>
    <xf numFmtId="164" fontId="10" fillId="0" borderId="10" xfId="1" applyNumberFormat="1" applyFont="1" applyFill="1" applyBorder="1" applyAlignment="1">
      <alignment horizontal="center"/>
    </xf>
    <xf numFmtId="14" fontId="13" fillId="0" borderId="9" xfId="1" applyNumberFormat="1" applyFont="1" applyFill="1" applyBorder="1" applyAlignment="1"/>
    <xf numFmtId="0" fontId="10" fillId="4" borderId="10" xfId="0" applyFont="1" applyFill="1" applyBorder="1" applyAlignment="1">
      <alignment horizontal="left" wrapText="1"/>
    </xf>
    <xf numFmtId="164" fontId="11" fillId="0" borderId="4" xfId="1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3" fontId="10" fillId="0" borderId="4" xfId="1" applyFont="1" applyFill="1" applyBorder="1" applyAlignment="1">
      <alignment horizontal="center"/>
    </xf>
    <xf numFmtId="164" fontId="10" fillId="0" borderId="4" xfId="1" applyNumberFormat="1" applyFont="1" applyFill="1" applyBorder="1"/>
    <xf numFmtId="43" fontId="10" fillId="0" borderId="4" xfId="1" applyFont="1" applyFill="1" applyBorder="1"/>
    <xf numFmtId="43" fontId="10" fillId="6" borderId="4" xfId="1" applyFont="1" applyFill="1" applyBorder="1"/>
    <xf numFmtId="164" fontId="10" fillId="6" borderId="4" xfId="1" applyNumberFormat="1" applyFont="1" applyFill="1" applyBorder="1"/>
    <xf numFmtId="164" fontId="10" fillId="0" borderId="14" xfId="1" applyNumberFormat="1" applyFont="1" applyFill="1" applyBorder="1"/>
    <xf numFmtId="164" fontId="10" fillId="0" borderId="4" xfId="0" applyNumberFormat="1" applyFont="1" applyFill="1" applyBorder="1"/>
    <xf numFmtId="0" fontId="3" fillId="0" borderId="4" xfId="0" applyFont="1" applyFill="1" applyBorder="1"/>
    <xf numFmtId="164" fontId="11" fillId="0" borderId="1" xfId="1" applyNumberFormat="1" applyFont="1" applyFill="1" applyBorder="1"/>
    <xf numFmtId="0" fontId="10" fillId="0" borderId="1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43" fontId="10" fillId="8" borderId="4" xfId="1" applyFont="1" applyFill="1" applyBorder="1"/>
    <xf numFmtId="164" fontId="10" fillId="8" borderId="4" xfId="1" applyNumberFormat="1" applyFont="1" applyFill="1" applyBorder="1"/>
    <xf numFmtId="14" fontId="13" fillId="0" borderId="15" xfId="1" applyNumberFormat="1" applyFont="1" applyFill="1" applyBorder="1" applyAlignment="1"/>
    <xf numFmtId="164" fontId="10" fillId="0" borderId="2" xfId="1" applyNumberFormat="1" applyFont="1" applyFill="1" applyBorder="1"/>
    <xf numFmtId="14" fontId="13" fillId="0" borderId="1" xfId="1" applyNumberFormat="1" applyFont="1" applyFill="1" applyBorder="1" applyAlignment="1"/>
    <xf numFmtId="43" fontId="10" fillId="9" borderId="4" xfId="1" applyFont="1" applyFill="1" applyBorder="1" applyAlignment="1">
      <alignment horizontal="center"/>
    </xf>
    <xf numFmtId="164" fontId="10" fillId="0" borderId="16" xfId="1" applyNumberFormat="1" applyFont="1" applyFill="1" applyBorder="1"/>
    <xf numFmtId="164" fontId="10" fillId="0" borderId="4" xfId="1" applyNumberFormat="1" applyFont="1" applyFill="1" applyBorder="1" applyAlignment="1">
      <alignment horizontal="center"/>
    </xf>
    <xf numFmtId="164" fontId="10" fillId="0" borderId="17" xfId="1" applyNumberFormat="1" applyFont="1" applyFill="1" applyBorder="1"/>
    <xf numFmtId="43" fontId="10" fillId="9" borderId="10" xfId="1" applyFont="1" applyFill="1" applyBorder="1" applyAlignment="1">
      <alignment horizontal="center"/>
    </xf>
    <xf numFmtId="43" fontId="10" fillId="9" borderId="1" xfId="1" applyFont="1" applyFill="1" applyBorder="1" applyAlignment="1">
      <alignment horizontal="center"/>
    </xf>
    <xf numFmtId="43" fontId="10" fillId="9" borderId="10" xfId="1" applyFont="1" applyFill="1" applyBorder="1"/>
    <xf numFmtId="43" fontId="10" fillId="9" borderId="1" xfId="1" applyFont="1" applyFill="1" applyBorder="1"/>
    <xf numFmtId="43" fontId="10" fillId="0" borderId="20" xfId="1" applyFont="1" applyFill="1" applyBorder="1" applyAlignment="1">
      <alignment horizontal="center"/>
    </xf>
    <xf numFmtId="164" fontId="10" fillId="0" borderId="20" xfId="1" applyNumberFormat="1" applyFont="1" applyFill="1" applyBorder="1"/>
    <xf numFmtId="43" fontId="10" fillId="6" borderId="20" xfId="1" applyFont="1" applyFill="1" applyBorder="1"/>
    <xf numFmtId="43" fontId="10" fillId="0" borderId="20" xfId="1" applyFont="1" applyFill="1" applyBorder="1"/>
    <xf numFmtId="164" fontId="10" fillId="0" borderId="21" xfId="1" applyNumberFormat="1" applyFont="1" applyFill="1" applyBorder="1"/>
    <xf numFmtId="43" fontId="10" fillId="9" borderId="4" xfId="1" applyFont="1" applyFill="1" applyBorder="1"/>
    <xf numFmtId="164" fontId="11" fillId="0" borderId="22" xfId="1" applyNumberFormat="1" applyFont="1" applyFill="1" applyBorder="1" applyAlignment="1">
      <alignment horizontal="center" vertical="center"/>
    </xf>
    <xf numFmtId="14" fontId="11" fillId="0" borderId="22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 wrapText="1"/>
    </xf>
    <xf numFmtId="0" fontId="10" fillId="0" borderId="22" xfId="0" applyFont="1" applyFill="1" applyBorder="1" applyAlignment="1">
      <alignment horizontal="left" wrapText="1"/>
    </xf>
    <xf numFmtId="43" fontId="10" fillId="9" borderId="22" xfId="1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43" fontId="10" fillId="0" borderId="22" xfId="1" applyFont="1" applyFill="1" applyBorder="1" applyAlignment="1">
      <alignment horizontal="center"/>
    </xf>
    <xf numFmtId="164" fontId="10" fillId="0" borderId="22" xfId="1" applyNumberFormat="1" applyFont="1" applyFill="1" applyBorder="1"/>
    <xf numFmtId="43" fontId="10" fillId="0" borderId="22" xfId="1" applyFont="1" applyFill="1" applyBorder="1"/>
    <xf numFmtId="43" fontId="10" fillId="6" borderId="22" xfId="1" applyFont="1" applyFill="1" applyBorder="1"/>
    <xf numFmtId="164" fontId="10" fillId="0" borderId="23" xfId="1" applyNumberFormat="1" applyFont="1" applyFill="1" applyBorder="1"/>
    <xf numFmtId="14" fontId="13" fillId="0" borderId="22" xfId="1" applyNumberFormat="1" applyFont="1" applyFill="1" applyBorder="1" applyAlignment="1"/>
    <xf numFmtId="164" fontId="10" fillId="0" borderId="22" xfId="0" applyNumberFormat="1" applyFont="1" applyFill="1" applyBorder="1"/>
    <xf numFmtId="0" fontId="3" fillId="0" borderId="22" xfId="0" applyFont="1" applyFill="1" applyBorder="1"/>
    <xf numFmtId="164" fontId="11" fillId="0" borderId="13" xfId="1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wrapText="1"/>
    </xf>
    <xf numFmtId="0" fontId="10" fillId="0" borderId="13" xfId="0" applyFont="1" applyFill="1" applyBorder="1" applyAlignment="1">
      <alignment horizontal="left" wrapText="1"/>
    </xf>
    <xf numFmtId="43" fontId="10" fillId="0" borderId="13" xfId="1" applyFont="1" applyFill="1" applyBorder="1" applyAlignment="1">
      <alignment horizontal="center"/>
    </xf>
    <xf numFmtId="164" fontId="10" fillId="0" borderId="13" xfId="1" applyNumberFormat="1" applyFont="1" applyFill="1" applyBorder="1"/>
    <xf numFmtId="43" fontId="10" fillId="0" borderId="13" xfId="1" applyFont="1" applyFill="1" applyBorder="1"/>
    <xf numFmtId="43" fontId="10" fillId="6" borderId="13" xfId="1" applyFont="1" applyFill="1" applyBorder="1"/>
    <xf numFmtId="164" fontId="10" fillId="0" borderId="24" xfId="1" applyNumberFormat="1" applyFont="1" applyFill="1" applyBorder="1"/>
    <xf numFmtId="43" fontId="10" fillId="9" borderId="22" xfId="1" applyFont="1" applyFill="1" applyBorder="1"/>
    <xf numFmtId="14" fontId="13" fillId="0" borderId="13" xfId="1" applyNumberFormat="1" applyFont="1" applyFill="1" applyBorder="1" applyAlignment="1"/>
    <xf numFmtId="164" fontId="10" fillId="0" borderId="1" xfId="0" applyNumberFormat="1" applyFont="1" applyFill="1" applyBorder="1"/>
    <xf numFmtId="14" fontId="13" fillId="0" borderId="10" xfId="1" applyNumberFormat="1" applyFont="1" applyFill="1" applyBorder="1" applyAlignment="1"/>
    <xf numFmtId="0" fontId="3" fillId="0" borderId="0" xfId="0" applyFont="1" applyFill="1" applyBorder="1"/>
    <xf numFmtId="43" fontId="10" fillId="10" borderId="1" xfId="1" applyFont="1" applyFill="1" applyBorder="1" applyAlignment="1">
      <alignment horizontal="center"/>
    </xf>
    <xf numFmtId="43" fontId="10" fillId="10" borderId="1" xfId="1" applyFont="1" applyFill="1" applyBorder="1"/>
    <xf numFmtId="43" fontId="10" fillId="10" borderId="4" xfId="1" applyFont="1" applyFill="1" applyBorder="1" applyAlignment="1">
      <alignment horizontal="center"/>
    </xf>
    <xf numFmtId="43" fontId="10" fillId="10" borderId="4" xfId="1" applyFont="1" applyFill="1" applyBorder="1"/>
    <xf numFmtId="164" fontId="10" fillId="10" borderId="10" xfId="0" applyNumberFormat="1" applyFont="1" applyFill="1" applyBorder="1"/>
    <xf numFmtId="0" fontId="9" fillId="10" borderId="4" xfId="0" applyFont="1" applyFill="1" applyBorder="1" applyAlignment="1">
      <alignment horizontal="center"/>
    </xf>
    <xf numFmtId="43" fontId="10" fillId="10" borderId="10" xfId="1" applyFont="1" applyFill="1" applyBorder="1"/>
    <xf numFmtId="0" fontId="9" fillId="9" borderId="4" xfId="0" applyFont="1" applyFill="1" applyBorder="1" applyAlignment="1">
      <alignment horizontal="center"/>
    </xf>
    <xf numFmtId="164" fontId="6" fillId="10" borderId="1" xfId="1" applyNumberFormat="1" applyFont="1" applyFill="1" applyBorder="1"/>
    <xf numFmtId="164" fontId="6" fillId="9" borderId="1" xfId="1" applyNumberFormat="1" applyFont="1" applyFill="1" applyBorder="1"/>
    <xf numFmtId="43" fontId="10" fillId="10" borderId="10" xfId="1" applyFont="1" applyFill="1" applyBorder="1" applyAlignment="1">
      <alignment horizontal="center"/>
    </xf>
    <xf numFmtId="164" fontId="10" fillId="9" borderId="10" xfId="0" applyNumberFormat="1" applyFont="1" applyFill="1" applyBorder="1"/>
    <xf numFmtId="164" fontId="10" fillId="9" borderId="4" xfId="0" applyNumberFormat="1" applyFont="1" applyFill="1" applyBorder="1"/>
    <xf numFmtId="164" fontId="17" fillId="0" borderId="0" xfId="0" applyNumberFormat="1" applyFont="1"/>
    <xf numFmtId="43" fontId="10" fillId="10" borderId="20" xfId="1" applyFont="1" applyFill="1" applyBorder="1" applyAlignment="1">
      <alignment horizontal="center"/>
    </xf>
    <xf numFmtId="43" fontId="10" fillId="10" borderId="20" xfId="1" applyFont="1" applyFill="1" applyBorder="1"/>
    <xf numFmtId="43" fontId="10" fillId="10" borderId="22" xfId="1" applyFont="1" applyFill="1" applyBorder="1" applyAlignment="1">
      <alignment horizontal="center"/>
    </xf>
    <xf numFmtId="43" fontId="10" fillId="10" borderId="22" xfId="1" applyFont="1" applyFill="1" applyBorder="1"/>
    <xf numFmtId="164" fontId="10" fillId="6" borderId="13" xfId="1" applyNumberFormat="1" applyFont="1" applyFill="1" applyBorder="1" applyAlignment="1">
      <alignment horizontal="center"/>
    </xf>
    <xf numFmtId="43" fontId="10" fillId="10" borderId="13" xfId="1" applyFont="1" applyFill="1" applyBorder="1" applyAlignment="1">
      <alignment horizontal="center"/>
    </xf>
    <xf numFmtId="43" fontId="10" fillId="10" borderId="13" xfId="1" applyFont="1" applyFill="1" applyBorder="1"/>
    <xf numFmtId="0" fontId="3" fillId="0" borderId="1" xfId="0" applyFont="1" applyFill="1" applyBorder="1"/>
    <xf numFmtId="0" fontId="3" fillId="0" borderId="13" xfId="0" applyFont="1" applyFill="1" applyBorder="1"/>
    <xf numFmtId="164" fontId="10" fillId="10" borderId="4" xfId="0" applyNumberFormat="1" applyFont="1" applyFill="1" applyBorder="1"/>
    <xf numFmtId="0" fontId="9" fillId="0" borderId="0" xfId="0" applyFont="1" applyFill="1"/>
    <xf numFmtId="0" fontId="10" fillId="0" borderId="0" xfId="0" applyFont="1" applyFill="1"/>
    <xf numFmtId="164" fontId="10" fillId="10" borderId="22" xfId="0" applyNumberFormat="1" applyFont="1" applyFill="1" applyBorder="1"/>
    <xf numFmtId="164" fontId="10" fillId="9" borderId="22" xfId="0" applyNumberFormat="1" applyFont="1" applyFill="1" applyBorder="1"/>
    <xf numFmtId="0" fontId="3" fillId="0" borderId="20" xfId="0" applyFont="1" applyFill="1" applyBorder="1" applyAlignment="1">
      <alignment horizontal="left" wrapText="1"/>
    </xf>
    <xf numFmtId="43" fontId="10" fillId="9" borderId="13" xfId="1" applyFont="1" applyFill="1" applyBorder="1" applyAlignment="1">
      <alignment horizontal="center"/>
    </xf>
    <xf numFmtId="164" fontId="10" fillId="0" borderId="13" xfId="1" applyNumberFormat="1" applyFont="1" applyFill="1" applyBorder="1" applyAlignment="1">
      <alignment horizontal="center"/>
    </xf>
    <xf numFmtId="43" fontId="10" fillId="9" borderId="13" xfId="1" applyFont="1" applyFill="1" applyBorder="1"/>
    <xf numFmtId="14" fontId="11" fillId="0" borderId="13" xfId="0" applyNumberFormat="1" applyFont="1" applyFill="1" applyBorder="1" applyAlignment="1">
      <alignment horizontal="center" vertical="center"/>
    </xf>
    <xf numFmtId="164" fontId="11" fillId="0" borderId="20" xfId="1" applyNumberFormat="1" applyFont="1" applyFill="1" applyBorder="1" applyAlignment="1">
      <alignment horizontal="center" vertical="center"/>
    </xf>
    <xf numFmtId="14" fontId="11" fillId="0" borderId="20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164" fontId="11" fillId="0" borderId="6" xfId="1" applyNumberFormat="1" applyFont="1" applyFill="1" applyBorder="1" applyAlignment="1">
      <alignment horizontal="center" vertical="center"/>
    </xf>
    <xf numFmtId="164" fontId="18" fillId="0" borderId="10" xfId="1" applyNumberFormat="1" applyFont="1" applyFill="1" applyBorder="1"/>
    <xf numFmtId="164" fontId="18" fillId="9" borderId="10" xfId="0" applyNumberFormat="1" applyFont="1" applyFill="1" applyBorder="1"/>
    <xf numFmtId="43" fontId="10" fillId="3" borderId="10" xfId="1" applyFont="1" applyFill="1" applyBorder="1" applyAlignment="1">
      <alignment horizontal="center"/>
    </xf>
    <xf numFmtId="43" fontId="18" fillId="9" borderId="10" xfId="1" applyFont="1" applyFill="1" applyBorder="1"/>
    <xf numFmtId="164" fontId="10" fillId="3" borderId="10" xfId="1" applyNumberFormat="1" applyFont="1" applyFill="1" applyBorder="1" applyAlignment="1">
      <alignment horizontal="center"/>
    </xf>
    <xf numFmtId="43" fontId="10" fillId="3" borderId="10" xfId="1" applyFont="1" applyFill="1" applyBorder="1"/>
    <xf numFmtId="164" fontId="10" fillId="3" borderId="16" xfId="1" applyNumberFormat="1" applyFont="1" applyFill="1" applyBorder="1"/>
    <xf numFmtId="43" fontId="10" fillId="3" borderId="22" xfId="1" applyFont="1" applyFill="1" applyBorder="1"/>
    <xf numFmtId="164" fontId="10" fillId="3" borderId="23" xfId="1" applyNumberFormat="1" applyFont="1" applyFill="1" applyBorder="1"/>
    <xf numFmtId="14" fontId="13" fillId="3" borderId="22" xfId="1" applyNumberFormat="1" applyFont="1" applyFill="1" applyBorder="1" applyAlignment="1"/>
    <xf numFmtId="0" fontId="11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43" fontId="11" fillId="0" borderId="1" xfId="1" applyFont="1" applyFill="1" applyBorder="1" applyAlignment="1">
      <alignment horizontal="left" vertical="center"/>
    </xf>
    <xf numFmtId="0" fontId="20" fillId="11" borderId="22" xfId="0" applyFont="1" applyFill="1" applyBorder="1" applyAlignment="1">
      <alignment horizontal="left" wrapText="1"/>
    </xf>
    <xf numFmtId="164" fontId="10" fillId="0" borderId="0" xfId="1" applyNumberFormat="1" applyFont="1" applyFill="1" applyBorder="1" applyAlignment="1">
      <alignment horizontal="center"/>
    </xf>
    <xf numFmtId="164" fontId="10" fillId="0" borderId="0" xfId="0" applyNumberFormat="1" applyFont="1"/>
    <xf numFmtId="0" fontId="21" fillId="0" borderId="0" xfId="0" applyFont="1" applyAlignment="1">
      <alignment horizontal="right"/>
    </xf>
    <xf numFmtId="0" fontId="10" fillId="11" borderId="0" xfId="0" applyFont="1" applyFill="1"/>
    <xf numFmtId="0" fontId="10" fillId="0" borderId="0" xfId="0" applyFont="1" applyAlignment="1">
      <alignment horizontal="left"/>
    </xf>
    <xf numFmtId="164" fontId="10" fillId="6" borderId="10" xfId="0" applyNumberFormat="1" applyFont="1" applyFill="1" applyBorder="1"/>
    <xf numFmtId="43" fontId="10" fillId="6" borderId="10" xfId="1" applyFont="1" applyFill="1" applyBorder="1" applyAlignment="1">
      <alignment horizontal="center"/>
    </xf>
    <xf numFmtId="43" fontId="10" fillId="6" borderId="1" xfId="1" applyFont="1" applyFill="1" applyBorder="1" applyAlignment="1">
      <alignment horizontal="center"/>
    </xf>
    <xf numFmtId="43" fontId="10" fillId="6" borderId="4" xfId="1" applyFont="1" applyFill="1" applyBorder="1" applyAlignment="1">
      <alignment horizontal="center"/>
    </xf>
    <xf numFmtId="164" fontId="10" fillId="6" borderId="0" xfId="0" applyNumberFormat="1" applyFont="1" applyFill="1" applyBorder="1"/>
    <xf numFmtId="43" fontId="11" fillId="0" borderId="10" xfId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wrapText="1"/>
    </xf>
    <xf numFmtId="43" fontId="10" fillId="0" borderId="0" xfId="1" applyFont="1" applyFill="1"/>
    <xf numFmtId="43" fontId="10" fillId="0" borderId="0" xfId="0" applyNumberFormat="1" applyFont="1" applyFill="1"/>
    <xf numFmtId="43" fontId="2" fillId="0" borderId="13" xfId="1" applyFont="1" applyBorder="1" applyAlignment="1">
      <alignment horizontal="center" wrapText="1"/>
    </xf>
    <xf numFmtId="164" fontId="2" fillId="5" borderId="13" xfId="1" applyNumberFormat="1" applyFont="1" applyFill="1" applyBorder="1" applyAlignment="1">
      <alignment horizontal="center" wrapText="1"/>
    </xf>
    <xf numFmtId="0" fontId="10" fillId="2" borderId="22" xfId="0" applyFont="1" applyFill="1" applyBorder="1" applyAlignment="1">
      <alignment horizontal="left" wrapText="1"/>
    </xf>
    <xf numFmtId="43" fontId="10" fillId="2" borderId="22" xfId="1" applyFont="1" applyFill="1" applyBorder="1" applyAlignment="1">
      <alignment horizontal="center"/>
    </xf>
    <xf numFmtId="164" fontId="10" fillId="2" borderId="22" xfId="1" applyNumberFormat="1" applyFont="1" applyFill="1" applyBorder="1" applyAlignment="1">
      <alignment horizontal="center"/>
    </xf>
    <xf numFmtId="164" fontId="10" fillId="2" borderId="22" xfId="1" applyNumberFormat="1" applyFont="1" applyFill="1" applyBorder="1"/>
    <xf numFmtId="43" fontId="10" fillId="2" borderId="22" xfId="1" applyFont="1" applyFill="1" applyBorder="1"/>
    <xf numFmtId="164" fontId="11" fillId="2" borderId="22" xfId="1" applyNumberFormat="1" applyFont="1" applyFill="1" applyBorder="1" applyAlignment="1">
      <alignment horizontal="center" vertical="center"/>
    </xf>
    <xf numFmtId="14" fontId="11" fillId="2" borderId="22" xfId="0" applyNumberFormat="1" applyFont="1" applyFill="1" applyBorder="1" applyAlignment="1">
      <alignment horizontal="center" vertical="center"/>
    </xf>
    <xf numFmtId="164" fontId="10" fillId="2" borderId="10" xfId="0" applyNumberFormat="1" applyFont="1" applyFill="1" applyBorder="1"/>
    <xf numFmtId="0" fontId="3" fillId="2" borderId="10" xfId="0" applyFont="1" applyFill="1" applyBorder="1"/>
    <xf numFmtId="164" fontId="11" fillId="0" borderId="18" xfId="1" applyNumberFormat="1" applyFont="1" applyFill="1" applyBorder="1" applyAlignment="1">
      <alignment horizontal="center" vertical="center"/>
    </xf>
    <xf numFmtId="14" fontId="11" fillId="0" borderId="18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wrapText="1"/>
    </xf>
    <xf numFmtId="0" fontId="10" fillId="0" borderId="18" xfId="0" applyFont="1" applyFill="1" applyBorder="1" applyAlignment="1">
      <alignment horizontal="left" wrapText="1"/>
    </xf>
    <xf numFmtId="43" fontId="10" fillId="0" borderId="18" xfId="1" applyFont="1" applyFill="1" applyBorder="1" applyAlignment="1">
      <alignment horizontal="center"/>
    </xf>
    <xf numFmtId="164" fontId="10" fillId="0" borderId="18" xfId="1" applyNumberFormat="1" applyFont="1" applyFill="1" applyBorder="1" applyAlignment="1">
      <alignment horizontal="center"/>
    </xf>
    <xf numFmtId="43" fontId="10" fillId="9" borderId="18" xfId="1" applyFont="1" applyFill="1" applyBorder="1" applyAlignment="1">
      <alignment horizontal="center"/>
    </xf>
    <xf numFmtId="43" fontId="10" fillId="10" borderId="18" xfId="1" applyFont="1" applyFill="1" applyBorder="1" applyAlignment="1">
      <alignment horizontal="center"/>
    </xf>
    <xf numFmtId="164" fontId="10" fillId="0" borderId="18" xfId="1" applyNumberFormat="1" applyFont="1" applyFill="1" applyBorder="1"/>
    <xf numFmtId="43" fontId="10" fillId="0" borderId="18" xfId="1" applyFont="1" applyFill="1" applyBorder="1"/>
    <xf numFmtId="43" fontId="10" fillId="9" borderId="18" xfId="1" applyFont="1" applyFill="1" applyBorder="1"/>
    <xf numFmtId="43" fontId="10" fillId="10" borderId="18" xfId="1" applyFont="1" applyFill="1" applyBorder="1"/>
    <xf numFmtId="164" fontId="10" fillId="0" borderId="27" xfId="1" applyNumberFormat="1" applyFont="1" applyFill="1" applyBorder="1"/>
    <xf numFmtId="14" fontId="13" fillId="0" borderId="18" xfId="1" applyNumberFormat="1" applyFont="1" applyFill="1" applyBorder="1" applyAlignment="1"/>
    <xf numFmtId="164" fontId="10" fillId="0" borderId="19" xfId="0" applyNumberFormat="1" applyFont="1" applyFill="1" applyBorder="1"/>
    <xf numFmtId="164" fontId="10" fillId="9" borderId="19" xfId="0" applyNumberFormat="1" applyFont="1" applyFill="1" applyBorder="1"/>
    <xf numFmtId="164" fontId="10" fillId="10" borderId="19" xfId="0" applyNumberFormat="1" applyFont="1" applyFill="1" applyBorder="1"/>
    <xf numFmtId="0" fontId="3" fillId="0" borderId="18" xfId="0" applyFont="1" applyFill="1" applyBorder="1"/>
    <xf numFmtId="164" fontId="10" fillId="0" borderId="13" xfId="0" applyNumberFormat="1" applyFont="1" applyFill="1" applyBorder="1"/>
    <xf numFmtId="164" fontId="10" fillId="9" borderId="13" xfId="0" applyNumberFormat="1" applyFont="1" applyFill="1" applyBorder="1"/>
    <xf numFmtId="164" fontId="10" fillId="10" borderId="13" xfId="0" applyNumberFormat="1" applyFont="1" applyFill="1" applyBorder="1"/>
    <xf numFmtId="164" fontId="10" fillId="9" borderId="1" xfId="0" applyNumberFormat="1" applyFont="1" applyFill="1" applyBorder="1"/>
    <xf numFmtId="164" fontId="10" fillId="10" borderId="1" xfId="0" applyNumberFormat="1" applyFont="1" applyFill="1" applyBorder="1"/>
    <xf numFmtId="0" fontId="10" fillId="0" borderId="20" xfId="0" applyFont="1" applyFill="1" applyBorder="1" applyAlignment="1">
      <alignment horizontal="left" wrapText="1"/>
    </xf>
    <xf numFmtId="164" fontId="10" fillId="0" borderId="20" xfId="1" applyNumberFormat="1" applyFont="1" applyFill="1" applyBorder="1" applyAlignment="1">
      <alignment horizontal="center"/>
    </xf>
    <xf numFmtId="43" fontId="10" fillId="9" borderId="20" xfId="1" applyFont="1" applyFill="1" applyBorder="1" applyAlignment="1">
      <alignment horizontal="center"/>
    </xf>
    <xf numFmtId="43" fontId="10" fillId="9" borderId="20" xfId="1" applyFont="1" applyFill="1" applyBorder="1"/>
    <xf numFmtId="164" fontId="10" fillId="0" borderId="20" xfId="0" applyNumberFormat="1" applyFont="1" applyFill="1" applyBorder="1"/>
    <xf numFmtId="164" fontId="10" fillId="9" borderId="20" xfId="0" applyNumberFormat="1" applyFont="1" applyFill="1" applyBorder="1"/>
    <xf numFmtId="164" fontId="10" fillId="10" borderId="20" xfId="0" applyNumberFormat="1" applyFont="1" applyFill="1" applyBorder="1"/>
    <xf numFmtId="0" fontId="3" fillId="0" borderId="20" xfId="0" applyFont="1" applyFill="1" applyBorder="1"/>
    <xf numFmtId="164" fontId="11" fillId="6" borderId="10" xfId="1" applyNumberFormat="1" applyFont="1" applyFill="1" applyBorder="1" applyAlignment="1">
      <alignment horizontal="center" vertical="center"/>
    </xf>
    <xf numFmtId="164" fontId="11" fillId="6" borderId="1" xfId="1" applyNumberFormat="1" applyFont="1" applyFill="1" applyBorder="1" applyAlignment="1">
      <alignment horizontal="center" vertical="center"/>
    </xf>
    <xf numFmtId="164" fontId="11" fillId="6" borderId="4" xfId="1" applyNumberFormat="1" applyFont="1" applyFill="1" applyBorder="1" applyAlignment="1">
      <alignment horizontal="center" vertical="center"/>
    </xf>
    <xf numFmtId="164" fontId="11" fillId="6" borderId="19" xfId="1" applyNumberFormat="1" applyFont="1" applyFill="1" applyBorder="1" applyAlignment="1">
      <alignment horizontal="center" vertical="center"/>
    </xf>
    <xf numFmtId="43" fontId="10" fillId="0" borderId="10" xfId="1" applyFont="1" applyFill="1" applyBorder="1" applyAlignment="1">
      <alignment horizontal="left" wrapText="1"/>
    </xf>
    <xf numFmtId="43" fontId="10" fillId="0" borderId="1" xfId="1" applyFont="1" applyFill="1" applyBorder="1" applyAlignment="1">
      <alignment horizontal="left" wrapText="1"/>
    </xf>
    <xf numFmtId="43" fontId="10" fillId="0" borderId="4" xfId="1" applyFont="1" applyFill="1" applyBorder="1" applyAlignment="1">
      <alignment horizontal="left" wrapText="1"/>
    </xf>
    <xf numFmtId="43" fontId="10" fillId="0" borderId="22" xfId="1" applyFont="1" applyFill="1" applyBorder="1" applyAlignment="1">
      <alignment horizontal="left" wrapText="1"/>
    </xf>
    <xf numFmtId="43" fontId="10" fillId="0" borderId="13" xfId="1" applyFont="1" applyFill="1" applyBorder="1" applyAlignment="1">
      <alignment horizontal="left" wrapText="1"/>
    </xf>
    <xf numFmtId="43" fontId="10" fillId="0" borderId="6" xfId="1" applyFont="1" applyFill="1" applyBorder="1" applyAlignment="1">
      <alignment horizontal="left" wrapText="1"/>
    </xf>
    <xf numFmtId="43" fontId="10" fillId="0" borderId="18" xfId="1" applyFont="1" applyFill="1" applyBorder="1" applyAlignment="1">
      <alignment horizontal="left" wrapText="1"/>
    </xf>
    <xf numFmtId="43" fontId="10" fillId="2" borderId="22" xfId="1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left" wrapText="1"/>
    </xf>
    <xf numFmtId="14" fontId="10" fillId="0" borderId="0" xfId="0" applyNumberFormat="1" applyFont="1" applyFill="1" applyBorder="1"/>
    <xf numFmtId="43" fontId="10" fillId="0" borderId="20" xfId="1" applyFont="1" applyFill="1" applyBorder="1" applyAlignment="1">
      <alignment horizontal="left" wrapText="1"/>
    </xf>
    <xf numFmtId="164" fontId="10" fillId="0" borderId="10" xfId="1" applyNumberFormat="1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left" wrapText="1"/>
    </xf>
    <xf numFmtId="164" fontId="10" fillId="0" borderId="4" xfId="1" applyNumberFormat="1" applyFont="1" applyFill="1" applyBorder="1" applyAlignment="1">
      <alignment horizontal="left" wrapText="1"/>
    </xf>
    <xf numFmtId="164" fontId="10" fillId="0" borderId="22" xfId="1" applyNumberFormat="1" applyFont="1" applyFill="1" applyBorder="1" applyAlignment="1">
      <alignment horizontal="left" wrapText="1"/>
    </xf>
    <xf numFmtId="164" fontId="10" fillId="0" borderId="13" xfId="1" applyNumberFormat="1" applyFont="1" applyFill="1" applyBorder="1" applyAlignment="1">
      <alignment horizontal="left" wrapText="1"/>
    </xf>
    <xf numFmtId="164" fontId="10" fillId="0" borderId="6" xfId="1" applyNumberFormat="1" applyFont="1" applyFill="1" applyBorder="1" applyAlignment="1">
      <alignment horizontal="left" wrapText="1"/>
    </xf>
    <xf numFmtId="164" fontId="10" fillId="6" borderId="10" xfId="1" applyNumberFormat="1" applyFont="1" applyFill="1" applyBorder="1" applyAlignment="1">
      <alignment horizontal="left" wrapText="1"/>
    </xf>
    <xf numFmtId="164" fontId="10" fillId="0" borderId="18" xfId="1" applyNumberFormat="1" applyFont="1" applyFill="1" applyBorder="1" applyAlignment="1">
      <alignment horizontal="left" wrapText="1"/>
    </xf>
    <xf numFmtId="164" fontId="10" fillId="0" borderId="20" xfId="1" applyNumberFormat="1" applyFont="1" applyFill="1" applyBorder="1" applyAlignment="1">
      <alignment horizontal="left" wrapText="1"/>
    </xf>
    <xf numFmtId="164" fontId="10" fillId="2" borderId="22" xfId="1" applyNumberFormat="1" applyFont="1" applyFill="1" applyBorder="1" applyAlignment="1">
      <alignment horizontal="left" wrapText="1"/>
    </xf>
    <xf numFmtId="164" fontId="11" fillId="0" borderId="10" xfId="1" applyNumberFormat="1" applyFont="1" applyFill="1" applyBorder="1" applyAlignment="1">
      <alignment horizontal="left" vertical="center"/>
    </xf>
    <xf numFmtId="164" fontId="10" fillId="0" borderId="0" xfId="1" applyNumberFormat="1" applyFont="1" applyFill="1" applyBorder="1" applyAlignment="1">
      <alignment horizontal="left" wrapText="1"/>
    </xf>
    <xf numFmtId="164" fontId="10" fillId="0" borderId="0" xfId="1" applyNumberFormat="1" applyFont="1" applyFill="1"/>
    <xf numFmtId="164" fontId="10" fillId="6" borderId="0" xfId="1" applyNumberFormat="1" applyFont="1" applyFill="1" applyBorder="1" applyAlignment="1">
      <alignment horizontal="left" wrapText="1"/>
    </xf>
    <xf numFmtId="0" fontId="6" fillId="2" borderId="25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13" xfId="1" applyFont="1" applyFill="1" applyBorder="1" applyAlignment="1">
      <alignment horizontal="center" wrapText="1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13" xfId="1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14" fontId="13" fillId="4" borderId="7" xfId="1" applyNumberFormat="1" applyFont="1" applyFill="1" applyBorder="1" applyAlignment="1">
      <alignment horizontal="center"/>
    </xf>
    <xf numFmtId="14" fontId="13" fillId="4" borderId="9" xfId="1" applyNumberFormat="1" applyFont="1" applyFill="1" applyBorder="1" applyAlignment="1">
      <alignment horizontal="center"/>
    </xf>
    <xf numFmtId="14" fontId="13" fillId="4" borderId="8" xfId="1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14" fontId="13" fillId="7" borderId="18" xfId="1" applyNumberFormat="1" applyFont="1" applyFill="1" applyBorder="1" applyAlignment="1">
      <alignment horizontal="center"/>
    </xf>
    <xf numFmtId="14" fontId="13" fillId="7" borderId="19" xfId="1" applyNumberFormat="1" applyFont="1" applyFill="1" applyBorder="1" applyAlignment="1">
      <alignment horizontal="center"/>
    </xf>
    <xf numFmtId="14" fontId="13" fillId="7" borderId="13" xfId="1" applyNumberFormat="1" applyFont="1" applyFill="1" applyBorder="1" applyAlignment="1">
      <alignment horizontal="center"/>
    </xf>
    <xf numFmtId="14" fontId="13" fillId="7" borderId="7" xfId="1" applyNumberFormat="1" applyFont="1" applyFill="1" applyBorder="1" applyAlignment="1">
      <alignment horizontal="center"/>
    </xf>
    <xf numFmtId="14" fontId="13" fillId="7" borderId="8" xfId="1" applyNumberFormat="1" applyFont="1" applyFill="1" applyBorder="1" applyAlignment="1">
      <alignment horizontal="center"/>
    </xf>
    <xf numFmtId="14" fontId="13" fillId="7" borderId="9" xfId="1" applyNumberFormat="1" applyFont="1" applyFill="1" applyBorder="1" applyAlignment="1">
      <alignment horizontal="center"/>
    </xf>
    <xf numFmtId="14" fontId="13" fillId="4" borderId="18" xfId="1" applyNumberFormat="1" applyFont="1" applyFill="1" applyBorder="1" applyAlignment="1">
      <alignment horizontal="center"/>
    </xf>
    <xf numFmtId="14" fontId="13" fillId="4" borderId="13" xfId="1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4" fontId="13" fillId="4" borderId="19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164" fontId="11" fillId="7" borderId="18" xfId="1" applyNumberFormat="1" applyFont="1" applyFill="1" applyBorder="1" applyAlignment="1">
      <alignment horizontal="center" vertical="center"/>
    </xf>
    <xf numFmtId="164" fontId="11" fillId="7" borderId="13" xfId="1" applyNumberFormat="1" applyFont="1" applyFill="1" applyBorder="1" applyAlignment="1">
      <alignment horizontal="center" vertical="center"/>
    </xf>
    <xf numFmtId="164" fontId="11" fillId="4" borderId="18" xfId="1" applyNumberFormat="1" applyFont="1" applyFill="1" applyBorder="1" applyAlignment="1">
      <alignment horizontal="center" vertical="center"/>
    </xf>
    <xf numFmtId="164" fontId="11" fillId="4" borderId="13" xfId="1" applyNumberFormat="1" applyFont="1" applyFill="1" applyBorder="1" applyAlignment="1">
      <alignment horizontal="center" vertical="center"/>
    </xf>
    <xf numFmtId="164" fontId="11" fillId="7" borderId="19" xfId="1" applyNumberFormat="1" applyFont="1" applyFill="1" applyBorder="1" applyAlignment="1">
      <alignment horizontal="center" vertical="center"/>
    </xf>
    <xf numFmtId="164" fontId="11" fillId="4" borderId="19" xfId="1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wrapText="1"/>
    </xf>
    <xf numFmtId="0" fontId="10" fillId="4" borderId="19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164" fontId="11" fillId="7" borderId="10" xfId="1" applyNumberFormat="1" applyFont="1" applyFill="1" applyBorder="1" applyAlignment="1">
      <alignment horizontal="center" vertical="center"/>
    </xf>
    <xf numFmtId="164" fontId="11" fillId="4" borderId="6" xfId="1" applyNumberFormat="1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wrapText="1"/>
    </xf>
    <xf numFmtId="0" fontId="10" fillId="7" borderId="13" xfId="0" applyFont="1" applyFill="1" applyBorder="1" applyAlignment="1">
      <alignment horizontal="center" wrapText="1"/>
    </xf>
    <xf numFmtId="0" fontId="10" fillId="7" borderId="19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wrapText="1"/>
    </xf>
    <xf numFmtId="0" fontId="10" fillId="0" borderId="1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wrapText="1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FF"/>
      <color rgb="FFCC66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43"/>
  <sheetViews>
    <sheetView tabSelected="1" zoomScaleNormal="100" workbookViewId="0">
      <pane ySplit="2" topLeftCell="A86" activePane="bottomLeft" state="frozen"/>
      <selection pane="bottomLeft" activeCell="A111" sqref="A111"/>
    </sheetView>
  </sheetViews>
  <sheetFormatPr defaultRowHeight="12.75"/>
  <cols>
    <col min="1" max="1" width="6.77734375" style="3" bestFit="1" customWidth="1"/>
    <col min="2" max="2" width="22.33203125" style="3" bestFit="1" customWidth="1"/>
    <col min="3" max="3" width="8.88671875" style="3" bestFit="1" customWidth="1"/>
    <col min="4" max="4" width="77.33203125" style="1" customWidth="1"/>
    <col min="5" max="5" width="44.44140625" style="3" customWidth="1"/>
    <col min="6" max="6" width="11.109375" style="3" customWidth="1"/>
    <col min="7" max="7" width="9.77734375" style="3" customWidth="1"/>
    <col min="8" max="8" width="9.44140625" style="3" customWidth="1"/>
    <col min="9" max="9" width="10.77734375" style="3" customWidth="1"/>
    <col min="10" max="10" width="9.44140625" style="159" customWidth="1"/>
    <col min="11" max="11" width="9.77734375" style="3" customWidth="1"/>
    <col min="12" max="12" width="10.5546875" style="9" customWidth="1"/>
    <col min="13" max="13" width="9" style="10" customWidth="1"/>
    <col min="14" max="14" width="8.44140625" style="9" customWidth="1"/>
    <col min="15" max="15" width="11" style="9" customWidth="1"/>
    <col min="16" max="16" width="8.44140625" style="9" customWidth="1"/>
    <col min="17" max="17" width="13.109375" style="3" customWidth="1"/>
    <col min="18" max="18" width="10.5546875" style="9" customWidth="1"/>
    <col min="19" max="19" width="8.21875" style="9" customWidth="1"/>
    <col min="20" max="20" width="8.44140625" style="9" customWidth="1"/>
    <col min="21" max="21" width="9.109375" style="3" customWidth="1"/>
    <col min="22" max="22" width="9" style="3" customWidth="1"/>
    <col min="23" max="23" width="9.21875" style="3" customWidth="1"/>
    <col min="24" max="24" width="6.21875" style="131" customWidth="1"/>
    <col min="25" max="25" width="8.109375" style="3" customWidth="1"/>
    <col min="26" max="26" width="10.109375" style="3" customWidth="1"/>
    <col min="27" max="27" width="10" style="3" customWidth="1"/>
    <col min="28" max="28" width="36.44140625" style="3" customWidth="1"/>
    <col min="29" max="29" width="30.88671875" style="3" customWidth="1"/>
    <col min="30" max="30" width="7.21875" style="170" bestFit="1" customWidth="1"/>
    <col min="31" max="31" width="10.5546875" style="131" customWidth="1"/>
    <col min="32" max="32" width="7.21875" style="170" bestFit="1" customWidth="1"/>
    <col min="33" max="33" width="8.44140625" style="241" customWidth="1"/>
    <col min="34" max="34" width="8.88671875" style="3"/>
    <col min="35" max="35" width="5.33203125" style="131" customWidth="1"/>
    <col min="36" max="36" width="7.5546875" style="131" customWidth="1"/>
    <col min="37" max="37" width="4.88671875" style="131" customWidth="1"/>
    <col min="38" max="38" width="8.44140625" style="131" customWidth="1"/>
    <col min="39" max="16384" width="8.88671875" style="3"/>
  </cols>
  <sheetData>
    <row r="1" spans="1:38" s="2" customFormat="1" ht="18" customHeight="1">
      <c r="A1" s="288" t="s">
        <v>0</v>
      </c>
      <c r="B1" s="288" t="s">
        <v>1</v>
      </c>
      <c r="C1" s="290" t="s">
        <v>24</v>
      </c>
      <c r="D1" s="292" t="s">
        <v>2</v>
      </c>
      <c r="E1" s="256" t="s">
        <v>3</v>
      </c>
      <c r="F1" s="256" t="s">
        <v>4</v>
      </c>
      <c r="G1" s="250" t="s">
        <v>177</v>
      </c>
      <c r="H1" s="248" t="s">
        <v>5</v>
      </c>
      <c r="I1" s="250" t="s">
        <v>174</v>
      </c>
      <c r="J1" s="248" t="s">
        <v>5</v>
      </c>
      <c r="K1" s="250" t="s">
        <v>175</v>
      </c>
      <c r="L1" s="248" t="s">
        <v>5</v>
      </c>
      <c r="M1" s="246" t="s">
        <v>178</v>
      </c>
      <c r="N1" s="248" t="s">
        <v>5</v>
      </c>
      <c r="O1" s="250" t="s">
        <v>179</v>
      </c>
      <c r="P1" s="248" t="s">
        <v>5</v>
      </c>
      <c r="Q1" s="250" t="s">
        <v>176</v>
      </c>
      <c r="R1" s="248" t="s">
        <v>5</v>
      </c>
      <c r="S1" s="250" t="s">
        <v>12</v>
      </c>
      <c r="T1" s="284" t="s">
        <v>5</v>
      </c>
      <c r="U1" s="250" t="s">
        <v>13</v>
      </c>
      <c r="V1" s="284" t="s">
        <v>5</v>
      </c>
      <c r="W1" s="286" t="s">
        <v>11</v>
      </c>
      <c r="X1" s="130"/>
      <c r="Y1" s="266" t="s">
        <v>18</v>
      </c>
      <c r="Z1" s="266"/>
      <c r="AA1" s="266"/>
      <c r="AB1" s="266"/>
      <c r="AD1" s="243" t="s">
        <v>245</v>
      </c>
      <c r="AE1" s="244"/>
      <c r="AF1" s="244"/>
      <c r="AG1" s="245"/>
      <c r="AI1" s="243" t="s">
        <v>231</v>
      </c>
      <c r="AJ1" s="244"/>
      <c r="AK1" s="244"/>
      <c r="AL1" s="245"/>
    </row>
    <row r="2" spans="1:38" s="2" customFormat="1" ht="24" thickBot="1">
      <c r="A2" s="289"/>
      <c r="B2" s="289"/>
      <c r="C2" s="291"/>
      <c r="D2" s="293"/>
      <c r="E2" s="257"/>
      <c r="F2" s="257"/>
      <c r="G2" s="251"/>
      <c r="H2" s="249"/>
      <c r="I2" s="251"/>
      <c r="J2" s="249"/>
      <c r="K2" s="251"/>
      <c r="L2" s="249"/>
      <c r="M2" s="247"/>
      <c r="N2" s="249"/>
      <c r="O2" s="251"/>
      <c r="P2" s="249"/>
      <c r="Q2" s="251"/>
      <c r="R2" s="249"/>
      <c r="S2" s="251"/>
      <c r="T2" s="285"/>
      <c r="U2" s="251"/>
      <c r="V2" s="285"/>
      <c r="W2" s="287"/>
      <c r="X2" s="130"/>
      <c r="Y2" s="30" t="s">
        <v>19</v>
      </c>
      <c r="Z2" s="113" t="s">
        <v>134</v>
      </c>
      <c r="AA2" s="111" t="s">
        <v>117</v>
      </c>
      <c r="AB2" s="30" t="s">
        <v>20</v>
      </c>
      <c r="AD2" s="172" t="s">
        <v>19</v>
      </c>
      <c r="AE2" s="172" t="s">
        <v>228</v>
      </c>
      <c r="AF2" s="172" t="s">
        <v>229</v>
      </c>
      <c r="AG2" s="173" t="s">
        <v>230</v>
      </c>
      <c r="AI2" s="172" t="s">
        <v>227</v>
      </c>
      <c r="AJ2" s="172" t="s">
        <v>228</v>
      </c>
      <c r="AK2" s="172" t="s">
        <v>229</v>
      </c>
      <c r="AL2" s="173" t="s">
        <v>230</v>
      </c>
    </row>
    <row r="3" spans="1:38" s="20" customFormat="1">
      <c r="A3" s="277" t="s">
        <v>23</v>
      </c>
      <c r="B3" s="214" t="s">
        <v>233</v>
      </c>
      <c r="C3" s="34">
        <v>32619</v>
      </c>
      <c r="D3" s="35" t="s">
        <v>33</v>
      </c>
      <c r="E3" s="281" t="s">
        <v>26</v>
      </c>
      <c r="F3" s="281" t="s">
        <v>16</v>
      </c>
      <c r="G3" s="36"/>
      <c r="H3" s="37"/>
      <c r="I3" s="69">
        <v>46.63</v>
      </c>
      <c r="J3" s="37">
        <v>22454</v>
      </c>
      <c r="K3" s="116">
        <v>85.37</v>
      </c>
      <c r="L3" s="37">
        <v>33965</v>
      </c>
      <c r="M3" s="38"/>
      <c r="N3" s="37"/>
      <c r="O3" s="71">
        <v>8.7899999999999991</v>
      </c>
      <c r="P3" s="37">
        <v>4233</v>
      </c>
      <c r="Q3" s="112">
        <v>14.69</v>
      </c>
      <c r="R3" s="37">
        <v>5844</v>
      </c>
      <c r="S3" s="39"/>
      <c r="T3" s="40"/>
      <c r="U3" s="36">
        <v>64.150000000000006</v>
      </c>
      <c r="V3" s="42">
        <v>25523</v>
      </c>
      <c r="W3" s="253">
        <v>45949</v>
      </c>
      <c r="Y3" s="103">
        <f t="shared" ref="Y3:Y117" si="0">H3+N3</f>
        <v>0</v>
      </c>
      <c r="Z3" s="117">
        <f>J3+P3</f>
        <v>26687</v>
      </c>
      <c r="AA3" s="110">
        <f t="shared" ref="AA3:AA67" si="1">L3+R3</f>
        <v>39809</v>
      </c>
      <c r="AB3" s="32" t="s">
        <v>27</v>
      </c>
      <c r="AD3" s="218"/>
      <c r="AE3" s="58"/>
      <c r="AF3" s="218"/>
      <c r="AG3" s="229"/>
      <c r="AI3" s="58"/>
      <c r="AJ3" s="58"/>
      <c r="AK3" s="58"/>
      <c r="AL3" s="58"/>
    </row>
    <row r="4" spans="1:38" s="20" customFormat="1" ht="15" customHeight="1">
      <c r="A4" s="280"/>
      <c r="B4" s="214" t="s">
        <v>233</v>
      </c>
      <c r="C4" s="34">
        <v>32619</v>
      </c>
      <c r="D4" s="35" t="s">
        <v>33</v>
      </c>
      <c r="E4" s="282"/>
      <c r="F4" s="282"/>
      <c r="G4" s="36"/>
      <c r="H4" s="37"/>
      <c r="I4" s="69">
        <v>33.909999999999997</v>
      </c>
      <c r="J4" s="37">
        <v>16329</v>
      </c>
      <c r="K4" s="116">
        <v>56.92</v>
      </c>
      <c r="L4" s="37">
        <v>22644</v>
      </c>
      <c r="M4" s="38"/>
      <c r="N4" s="37"/>
      <c r="O4" s="71">
        <v>7.1</v>
      </c>
      <c r="P4" s="37">
        <v>3419</v>
      </c>
      <c r="Q4" s="112">
        <v>11.87</v>
      </c>
      <c r="R4" s="37">
        <v>4722</v>
      </c>
      <c r="S4" s="39"/>
      <c r="T4" s="40"/>
      <c r="U4" s="36">
        <v>47.11</v>
      </c>
      <c r="V4" s="42">
        <v>18746</v>
      </c>
      <c r="W4" s="255"/>
      <c r="Y4" s="103">
        <f t="shared" si="0"/>
        <v>0</v>
      </c>
      <c r="Z4" s="117">
        <f t="shared" ref="Z4:Z68" si="2">J4+P4</f>
        <v>19748</v>
      </c>
      <c r="AA4" s="110">
        <f t="shared" si="1"/>
        <v>27366</v>
      </c>
      <c r="AB4" s="32" t="s">
        <v>27</v>
      </c>
      <c r="AD4" s="218"/>
      <c r="AE4" s="58"/>
      <c r="AF4" s="218"/>
      <c r="AG4" s="229"/>
      <c r="AI4" s="58"/>
      <c r="AJ4" s="58"/>
      <c r="AK4" s="58"/>
      <c r="AL4" s="58"/>
    </row>
    <row r="5" spans="1:38" s="20" customFormat="1" ht="15" customHeight="1">
      <c r="A5" s="280"/>
      <c r="B5" s="6" t="s">
        <v>160</v>
      </c>
      <c r="C5" s="13" t="s">
        <v>97</v>
      </c>
      <c r="D5" s="35" t="s">
        <v>64</v>
      </c>
      <c r="E5" s="282"/>
      <c r="F5" s="282"/>
      <c r="G5" s="36"/>
      <c r="H5" s="37"/>
      <c r="I5" s="5"/>
      <c r="J5" s="22"/>
      <c r="K5" s="116">
        <v>2652.45</v>
      </c>
      <c r="L5" s="37">
        <v>145684</v>
      </c>
      <c r="M5" s="38"/>
      <c r="N5" s="37"/>
      <c r="O5" s="5"/>
      <c r="P5" s="22"/>
      <c r="Q5" s="112">
        <v>384.32</v>
      </c>
      <c r="R5" s="37">
        <v>3542</v>
      </c>
      <c r="S5" s="39"/>
      <c r="T5" s="40"/>
      <c r="U5" s="36">
        <v>1065.01</v>
      </c>
      <c r="V5" s="42">
        <v>137548</v>
      </c>
      <c r="W5" s="255"/>
      <c r="Y5" s="103">
        <f t="shared" si="0"/>
        <v>0</v>
      </c>
      <c r="Z5" s="117">
        <f t="shared" si="2"/>
        <v>0</v>
      </c>
      <c r="AA5" s="110">
        <f t="shared" si="1"/>
        <v>149226</v>
      </c>
      <c r="AB5" s="32" t="s">
        <v>27</v>
      </c>
      <c r="AD5" s="218">
        <v>29.56</v>
      </c>
      <c r="AE5" s="58" t="s">
        <v>246</v>
      </c>
      <c r="AF5" s="218"/>
      <c r="AG5" s="229">
        <v>380</v>
      </c>
      <c r="AH5" s="227"/>
      <c r="AI5" s="58"/>
      <c r="AJ5" s="58"/>
      <c r="AK5" s="58"/>
      <c r="AL5" s="58"/>
    </row>
    <row r="6" spans="1:38" s="20" customFormat="1" ht="15" customHeight="1">
      <c r="A6" s="280"/>
      <c r="B6" s="33" t="s">
        <v>96</v>
      </c>
      <c r="C6" s="13" t="s">
        <v>97</v>
      </c>
      <c r="D6" s="35" t="s">
        <v>25</v>
      </c>
      <c r="E6" s="282"/>
      <c r="F6" s="282"/>
      <c r="G6" s="36">
        <v>209.67</v>
      </c>
      <c r="H6" s="42">
        <v>3586</v>
      </c>
      <c r="I6" s="69">
        <v>852.67</v>
      </c>
      <c r="J6" s="42">
        <v>94157</v>
      </c>
      <c r="K6" s="36"/>
      <c r="L6" s="37"/>
      <c r="M6" s="38">
        <v>13.85</v>
      </c>
      <c r="N6" s="37">
        <v>171</v>
      </c>
      <c r="O6" s="71">
        <v>129.9</v>
      </c>
      <c r="P6" s="37">
        <v>14344</v>
      </c>
      <c r="Q6" s="38"/>
      <c r="R6" s="37"/>
      <c r="S6" s="39"/>
      <c r="T6" s="40"/>
      <c r="U6" s="36">
        <v>448.28</v>
      </c>
      <c r="V6" s="42">
        <v>4565</v>
      </c>
      <c r="W6" s="255"/>
      <c r="X6" s="105"/>
      <c r="Y6" s="103">
        <f t="shared" si="0"/>
        <v>3757</v>
      </c>
      <c r="Z6" s="117">
        <f t="shared" si="2"/>
        <v>108501</v>
      </c>
      <c r="AA6" s="31">
        <f t="shared" si="1"/>
        <v>0</v>
      </c>
      <c r="AB6" s="32" t="s">
        <v>27</v>
      </c>
      <c r="AD6" s="219">
        <v>24</v>
      </c>
      <c r="AE6" s="58" t="s">
        <v>246</v>
      </c>
      <c r="AF6" s="219"/>
      <c r="AG6" s="230">
        <v>296</v>
      </c>
      <c r="AH6" s="227"/>
      <c r="AI6" s="58"/>
      <c r="AJ6" s="58"/>
      <c r="AK6" s="58"/>
      <c r="AL6" s="58"/>
    </row>
    <row r="7" spans="1:38" s="20" customFormat="1" ht="15" customHeight="1">
      <c r="A7" s="280"/>
      <c r="B7" s="6" t="s">
        <v>96</v>
      </c>
      <c r="C7" s="13" t="s">
        <v>97</v>
      </c>
      <c r="D7" s="12" t="s">
        <v>25</v>
      </c>
      <c r="E7" s="282"/>
      <c r="F7" s="282"/>
      <c r="G7" s="7">
        <v>457.81</v>
      </c>
      <c r="H7" s="25">
        <v>5642</v>
      </c>
      <c r="I7" s="70">
        <v>1926.74</v>
      </c>
      <c r="J7" s="25">
        <v>218783</v>
      </c>
      <c r="K7" s="7"/>
      <c r="L7" s="22"/>
      <c r="M7" s="5"/>
      <c r="N7" s="22"/>
      <c r="O7" s="72">
        <v>63.39</v>
      </c>
      <c r="P7" s="22">
        <v>781</v>
      </c>
      <c r="Q7" s="107">
        <v>278.62</v>
      </c>
      <c r="R7" s="22">
        <f>2837-N7</f>
        <v>2837</v>
      </c>
      <c r="S7" s="27"/>
      <c r="T7" s="26"/>
      <c r="U7" s="7">
        <v>844.86</v>
      </c>
      <c r="V7" s="25">
        <v>8603</v>
      </c>
      <c r="W7" s="255"/>
      <c r="X7" s="105"/>
      <c r="Y7" s="103">
        <f t="shared" si="0"/>
        <v>5642</v>
      </c>
      <c r="Z7" s="117">
        <f t="shared" si="2"/>
        <v>219564</v>
      </c>
      <c r="AA7" s="110">
        <f t="shared" si="1"/>
        <v>2837</v>
      </c>
      <c r="AB7" s="32" t="s">
        <v>27</v>
      </c>
      <c r="AD7" s="219">
        <v>24</v>
      </c>
      <c r="AE7" s="58" t="s">
        <v>246</v>
      </c>
      <c r="AF7" s="219"/>
      <c r="AG7" s="230">
        <v>296</v>
      </c>
      <c r="AI7" s="4"/>
      <c r="AJ7" s="4"/>
      <c r="AK7" s="4"/>
      <c r="AL7" s="4"/>
    </row>
    <row r="8" spans="1:38" s="20" customFormat="1" ht="15" customHeight="1">
      <c r="A8" s="280"/>
      <c r="B8" s="6" t="s">
        <v>96</v>
      </c>
      <c r="C8" s="13" t="s">
        <v>97</v>
      </c>
      <c r="D8" s="12" t="s">
        <v>125</v>
      </c>
      <c r="E8" s="282"/>
      <c r="F8" s="282"/>
      <c r="G8" s="7"/>
      <c r="H8" s="25"/>
      <c r="I8" s="25"/>
      <c r="J8" s="25"/>
      <c r="K8" s="106">
        <v>8.67</v>
      </c>
      <c r="L8" s="25">
        <v>88</v>
      </c>
      <c r="M8" s="7"/>
      <c r="N8" s="22"/>
      <c r="O8" s="7"/>
      <c r="P8" s="22"/>
      <c r="Q8" s="107">
        <v>11.81</v>
      </c>
      <c r="R8" s="22">
        <v>3526</v>
      </c>
      <c r="S8" s="27"/>
      <c r="T8" s="26"/>
      <c r="U8" s="7">
        <v>16.18</v>
      </c>
      <c r="V8" s="25">
        <v>165</v>
      </c>
      <c r="W8" s="255"/>
      <c r="Y8" s="103">
        <f t="shared" si="0"/>
        <v>0</v>
      </c>
      <c r="Z8" s="31">
        <f t="shared" si="2"/>
        <v>0</v>
      </c>
      <c r="AA8" s="110">
        <f t="shared" si="1"/>
        <v>3614</v>
      </c>
      <c r="AB8" s="32" t="s">
        <v>27</v>
      </c>
      <c r="AD8" s="219">
        <v>24</v>
      </c>
      <c r="AE8" s="58" t="s">
        <v>246</v>
      </c>
      <c r="AF8" s="219"/>
      <c r="AG8" s="230">
        <v>296</v>
      </c>
      <c r="AI8" s="4"/>
      <c r="AJ8" s="4"/>
      <c r="AK8" s="4"/>
      <c r="AL8" s="4"/>
    </row>
    <row r="9" spans="1:38" s="20" customFormat="1" ht="15" customHeight="1">
      <c r="A9" s="280"/>
      <c r="B9" s="6" t="s">
        <v>96</v>
      </c>
      <c r="C9" s="13" t="s">
        <v>97</v>
      </c>
      <c r="D9" s="12" t="s">
        <v>124</v>
      </c>
      <c r="E9" s="282"/>
      <c r="F9" s="282"/>
      <c r="G9" s="7"/>
      <c r="H9" s="22"/>
      <c r="I9" s="22"/>
      <c r="J9" s="22"/>
      <c r="K9" s="106">
        <v>5.78</v>
      </c>
      <c r="L9" s="22">
        <v>59</v>
      </c>
      <c r="M9" s="7"/>
      <c r="N9" s="22"/>
      <c r="O9" s="7"/>
      <c r="P9" s="22"/>
      <c r="Q9" s="107">
        <v>9.7200000000000006</v>
      </c>
      <c r="R9" s="22">
        <v>13605</v>
      </c>
      <c r="S9" s="27"/>
      <c r="T9" s="26"/>
      <c r="U9" s="5">
        <v>13.1</v>
      </c>
      <c r="V9" s="22">
        <v>133</v>
      </c>
      <c r="W9" s="255"/>
      <c r="Y9" s="103">
        <f t="shared" si="0"/>
        <v>0</v>
      </c>
      <c r="Z9" s="31">
        <f t="shared" si="2"/>
        <v>0</v>
      </c>
      <c r="AA9" s="110">
        <f t="shared" si="1"/>
        <v>13664</v>
      </c>
      <c r="AB9" s="32" t="s">
        <v>27</v>
      </c>
      <c r="AD9" s="219">
        <v>24</v>
      </c>
      <c r="AE9" s="58" t="s">
        <v>246</v>
      </c>
      <c r="AF9" s="219"/>
      <c r="AG9" s="230">
        <v>296</v>
      </c>
      <c r="AI9" s="4"/>
      <c r="AJ9" s="4"/>
      <c r="AK9" s="4"/>
      <c r="AL9" s="4"/>
    </row>
    <row r="10" spans="1:38" s="20" customFormat="1" ht="15.75" customHeight="1" thickBot="1">
      <c r="A10" s="278"/>
      <c r="B10" s="93" t="s">
        <v>96</v>
      </c>
      <c r="C10" s="138" t="s">
        <v>97</v>
      </c>
      <c r="D10" s="47" t="s">
        <v>25</v>
      </c>
      <c r="E10" s="283"/>
      <c r="F10" s="283"/>
      <c r="G10" s="49">
        <v>82.72</v>
      </c>
      <c r="H10" s="67">
        <v>1019</v>
      </c>
      <c r="I10" s="65">
        <f>353.23-E10</f>
        <v>353.23</v>
      </c>
      <c r="J10" s="67">
        <v>39006</v>
      </c>
      <c r="K10" s="49"/>
      <c r="L10" s="50"/>
      <c r="M10" s="51"/>
      <c r="N10" s="50"/>
      <c r="O10" s="78">
        <v>11.45</v>
      </c>
      <c r="P10" s="50">
        <v>141</v>
      </c>
      <c r="Q10" s="109">
        <v>60.75</v>
      </c>
      <c r="R10" s="50">
        <f>618-N10</f>
        <v>618</v>
      </c>
      <c r="S10" s="52"/>
      <c r="T10" s="53"/>
      <c r="U10" s="51">
        <v>263.87</v>
      </c>
      <c r="V10" s="54">
        <v>2687</v>
      </c>
      <c r="W10" s="254"/>
      <c r="X10" s="105"/>
      <c r="Y10" s="55">
        <f t="shared" si="0"/>
        <v>1019</v>
      </c>
      <c r="Z10" s="118">
        <f t="shared" si="2"/>
        <v>39147</v>
      </c>
      <c r="AA10" s="129">
        <f t="shared" si="1"/>
        <v>618</v>
      </c>
      <c r="AB10" s="56" t="s">
        <v>27</v>
      </c>
      <c r="AD10" s="220">
        <v>24</v>
      </c>
      <c r="AE10" s="59" t="s">
        <v>246</v>
      </c>
      <c r="AF10" s="220"/>
      <c r="AG10" s="231">
        <v>296</v>
      </c>
      <c r="AI10" s="59"/>
      <c r="AJ10" s="59"/>
      <c r="AK10" s="59"/>
      <c r="AL10" s="59"/>
    </row>
    <row r="11" spans="1:38" s="20" customFormat="1">
      <c r="A11" s="275" t="s">
        <v>28</v>
      </c>
      <c r="B11" s="214" t="s">
        <v>30</v>
      </c>
      <c r="C11" s="34">
        <v>30265</v>
      </c>
      <c r="D11" s="35" t="s">
        <v>31</v>
      </c>
      <c r="E11" s="299" t="s">
        <v>29</v>
      </c>
      <c r="F11" s="296" t="s">
        <v>15</v>
      </c>
      <c r="G11" s="36"/>
      <c r="H11" s="37"/>
      <c r="I11" s="37"/>
      <c r="J11" s="37"/>
      <c r="K11" s="164">
        <v>4752.1099999999997</v>
      </c>
      <c r="L11" s="37">
        <v>8404036</v>
      </c>
      <c r="M11" s="38"/>
      <c r="N11" s="37"/>
      <c r="O11" s="38"/>
      <c r="P11" s="37"/>
      <c r="Q11" s="39">
        <v>565.12</v>
      </c>
      <c r="R11" s="37">
        <v>999404</v>
      </c>
      <c r="S11" s="39"/>
      <c r="T11" s="40"/>
      <c r="U11" s="38">
        <v>1114.97</v>
      </c>
      <c r="V11" s="37">
        <v>1971808</v>
      </c>
      <c r="W11" s="261">
        <v>46139</v>
      </c>
      <c r="Y11" s="31">
        <f t="shared" si="0"/>
        <v>0</v>
      </c>
      <c r="Z11" s="31">
        <f t="shared" si="2"/>
        <v>0</v>
      </c>
      <c r="AA11" s="163">
        <f t="shared" si="1"/>
        <v>9403440</v>
      </c>
      <c r="AB11" s="32" t="s">
        <v>27</v>
      </c>
      <c r="AD11" s="218"/>
      <c r="AE11" s="58"/>
      <c r="AF11" s="218"/>
      <c r="AG11" s="229"/>
      <c r="AI11" s="58"/>
      <c r="AJ11" s="58"/>
      <c r="AK11" s="58"/>
      <c r="AL11" s="58"/>
    </row>
    <row r="12" spans="1:38" s="20" customFormat="1" ht="15" customHeight="1">
      <c r="A12" s="279"/>
      <c r="B12" s="214" t="s">
        <v>32</v>
      </c>
      <c r="C12" s="13">
        <v>34065</v>
      </c>
      <c r="D12" s="12" t="s">
        <v>31</v>
      </c>
      <c r="E12" s="301"/>
      <c r="F12" s="298"/>
      <c r="G12" s="7"/>
      <c r="H12" s="22"/>
      <c r="I12" s="22"/>
      <c r="J12" s="22"/>
      <c r="K12" s="165">
        <v>1696.49</v>
      </c>
      <c r="L12" s="22">
        <v>2750930</v>
      </c>
      <c r="M12" s="5"/>
      <c r="N12" s="22"/>
      <c r="O12" s="5"/>
      <c r="P12" s="22"/>
      <c r="Q12" s="27">
        <v>229.15</v>
      </c>
      <c r="R12" s="22">
        <v>371583</v>
      </c>
      <c r="S12" s="27"/>
      <c r="T12" s="26"/>
      <c r="U12" s="5">
        <v>461.86</v>
      </c>
      <c r="V12" s="22">
        <v>748926</v>
      </c>
      <c r="W12" s="262"/>
      <c r="Y12" s="103">
        <f t="shared" si="0"/>
        <v>0</v>
      </c>
      <c r="Z12" s="31">
        <f t="shared" si="2"/>
        <v>0</v>
      </c>
      <c r="AA12" s="163">
        <f t="shared" si="1"/>
        <v>3122513</v>
      </c>
      <c r="AB12" s="32" t="s">
        <v>27</v>
      </c>
      <c r="AC12" s="28"/>
      <c r="AD12" s="219"/>
      <c r="AE12" s="4"/>
      <c r="AF12" s="219"/>
      <c r="AG12" s="230"/>
      <c r="AI12" s="4"/>
      <c r="AJ12" s="4"/>
      <c r="AK12" s="4"/>
      <c r="AL12" s="4"/>
    </row>
    <row r="13" spans="1:38" s="20" customFormat="1" ht="15" customHeight="1">
      <c r="A13" s="279"/>
      <c r="B13" s="215" t="s">
        <v>35</v>
      </c>
      <c r="C13" s="13">
        <v>33401</v>
      </c>
      <c r="D13" s="35" t="s">
        <v>25</v>
      </c>
      <c r="E13" s="302" t="s">
        <v>34</v>
      </c>
      <c r="F13" s="298"/>
      <c r="G13" s="5"/>
      <c r="H13" s="22"/>
      <c r="I13" s="22"/>
      <c r="J13" s="22"/>
      <c r="K13" s="27">
        <v>127.17</v>
      </c>
      <c r="L13" s="22">
        <v>34251</v>
      </c>
      <c r="M13" s="5"/>
      <c r="N13" s="22"/>
      <c r="O13" s="5"/>
      <c r="P13" s="22"/>
      <c r="Q13" s="27">
        <v>24.81</v>
      </c>
      <c r="R13" s="22">
        <v>6682</v>
      </c>
      <c r="S13" s="27"/>
      <c r="T13" s="27"/>
      <c r="U13" s="5">
        <v>55.86</v>
      </c>
      <c r="V13" s="22">
        <v>15043</v>
      </c>
      <c r="W13" s="262"/>
      <c r="Y13" s="103">
        <f t="shared" si="0"/>
        <v>0</v>
      </c>
      <c r="Z13" s="31">
        <f t="shared" si="2"/>
        <v>0</v>
      </c>
      <c r="AA13" s="163">
        <f t="shared" si="1"/>
        <v>40933</v>
      </c>
      <c r="AB13" s="32" t="s">
        <v>27</v>
      </c>
      <c r="AD13" s="219"/>
      <c r="AE13" s="4"/>
      <c r="AF13" s="219"/>
      <c r="AG13" s="230"/>
      <c r="AI13" s="4"/>
      <c r="AJ13" s="4"/>
      <c r="AK13" s="4"/>
      <c r="AL13" s="4"/>
    </row>
    <row r="14" spans="1:38" s="20" customFormat="1" ht="15" customHeight="1">
      <c r="A14" s="279"/>
      <c r="B14" s="215" t="s">
        <v>36</v>
      </c>
      <c r="C14" s="13">
        <v>33675</v>
      </c>
      <c r="D14" s="12" t="s">
        <v>31</v>
      </c>
      <c r="E14" s="300"/>
      <c r="F14" s="298"/>
      <c r="G14" s="5"/>
      <c r="H14" s="57"/>
      <c r="I14" s="57"/>
      <c r="J14" s="57"/>
      <c r="K14" s="27">
        <v>10211.790000000001</v>
      </c>
      <c r="L14" s="57">
        <v>2139492</v>
      </c>
      <c r="M14" s="5"/>
      <c r="N14" s="22"/>
      <c r="O14" s="5"/>
      <c r="P14" s="22"/>
      <c r="Q14" s="27">
        <v>1369.85</v>
      </c>
      <c r="R14" s="22">
        <v>287001</v>
      </c>
      <c r="S14" s="27"/>
      <c r="T14" s="27"/>
      <c r="U14" s="5">
        <v>2740.43</v>
      </c>
      <c r="V14" s="22">
        <v>574154</v>
      </c>
      <c r="W14" s="262"/>
      <c r="Y14" s="103">
        <f t="shared" si="0"/>
        <v>0</v>
      </c>
      <c r="Z14" s="31">
        <f t="shared" si="2"/>
        <v>0</v>
      </c>
      <c r="AA14" s="163">
        <f t="shared" si="1"/>
        <v>2426493</v>
      </c>
      <c r="AB14" s="32" t="s">
        <v>27</v>
      </c>
      <c r="AD14" s="219"/>
      <c r="AE14" s="4"/>
      <c r="AF14" s="219"/>
      <c r="AG14" s="230"/>
      <c r="AI14" s="4"/>
      <c r="AJ14" s="4"/>
      <c r="AK14" s="4"/>
      <c r="AL14" s="4"/>
    </row>
    <row r="15" spans="1:38" s="20" customFormat="1" ht="15.75" customHeight="1" thickBot="1">
      <c r="A15" s="276"/>
      <c r="B15" s="216" t="s">
        <v>37</v>
      </c>
      <c r="C15" s="46">
        <v>34890</v>
      </c>
      <c r="D15" s="47" t="s">
        <v>31</v>
      </c>
      <c r="E15" s="303"/>
      <c r="F15" s="297"/>
      <c r="G15" s="49"/>
      <c r="H15" s="50"/>
      <c r="I15" s="50"/>
      <c r="J15" s="50"/>
      <c r="K15" s="166">
        <v>4391.62</v>
      </c>
      <c r="L15" s="50">
        <v>292299</v>
      </c>
      <c r="M15" s="51"/>
      <c r="N15" s="50"/>
      <c r="O15" s="51"/>
      <c r="P15" s="50"/>
      <c r="Q15" s="52">
        <v>630.59</v>
      </c>
      <c r="R15" s="50">
        <v>41971</v>
      </c>
      <c r="S15" s="52"/>
      <c r="T15" s="53"/>
      <c r="U15" s="51">
        <v>1252.17</v>
      </c>
      <c r="V15" s="54">
        <v>83342</v>
      </c>
      <c r="W15" s="263"/>
      <c r="Y15" s="55">
        <f t="shared" si="0"/>
        <v>0</v>
      </c>
      <c r="Z15" s="55">
        <f t="shared" si="2"/>
        <v>0</v>
      </c>
      <c r="AA15" s="163">
        <f t="shared" si="1"/>
        <v>334270</v>
      </c>
      <c r="AB15" s="56" t="s">
        <v>27</v>
      </c>
      <c r="AD15" s="220"/>
      <c r="AE15" s="59"/>
      <c r="AF15" s="220"/>
      <c r="AG15" s="231"/>
      <c r="AI15" s="59"/>
      <c r="AJ15" s="59"/>
      <c r="AK15" s="59"/>
      <c r="AL15" s="59"/>
    </row>
    <row r="16" spans="1:38" s="20" customFormat="1">
      <c r="A16" s="33" t="s">
        <v>38</v>
      </c>
      <c r="B16" s="214" t="s">
        <v>234</v>
      </c>
      <c r="C16" s="34">
        <v>34024</v>
      </c>
      <c r="D16" s="35" t="s">
        <v>31</v>
      </c>
      <c r="E16" s="58" t="s">
        <v>39</v>
      </c>
      <c r="F16" s="58" t="s">
        <v>14</v>
      </c>
      <c r="G16" s="36"/>
      <c r="H16" s="37"/>
      <c r="I16" s="37"/>
      <c r="J16" s="37"/>
      <c r="K16" s="164">
        <v>9088.4500000000007</v>
      </c>
      <c r="L16" s="37">
        <v>1385478</v>
      </c>
      <c r="M16" s="38"/>
      <c r="N16" s="37"/>
      <c r="O16" s="38"/>
      <c r="P16" s="37"/>
      <c r="Q16" s="39">
        <v>1244.22</v>
      </c>
      <c r="R16" s="37">
        <v>189673</v>
      </c>
      <c r="S16" s="39"/>
      <c r="T16" s="40"/>
      <c r="U16" s="38">
        <v>2558.5100000000002</v>
      </c>
      <c r="V16" s="37">
        <v>390028</v>
      </c>
      <c r="W16" s="62">
        <v>46182</v>
      </c>
      <c r="Y16" s="31">
        <f t="shared" si="0"/>
        <v>0</v>
      </c>
      <c r="Z16" s="31">
        <f t="shared" si="2"/>
        <v>0</v>
      </c>
      <c r="AA16" s="163">
        <f t="shared" si="1"/>
        <v>1575151</v>
      </c>
      <c r="AB16" s="32" t="s">
        <v>27</v>
      </c>
      <c r="AD16" s="218"/>
      <c r="AE16" s="58"/>
      <c r="AF16" s="218"/>
      <c r="AG16" s="229"/>
      <c r="AI16" s="58"/>
      <c r="AJ16" s="58"/>
      <c r="AK16" s="58"/>
      <c r="AL16" s="58"/>
    </row>
    <row r="17" spans="1:38" s="20" customFormat="1" ht="13.5" thickBot="1">
      <c r="A17" s="45" t="s">
        <v>40</v>
      </c>
      <c r="B17" s="45" t="s">
        <v>161</v>
      </c>
      <c r="C17" s="46" t="s">
        <v>97</v>
      </c>
      <c r="D17" s="47" t="s">
        <v>41</v>
      </c>
      <c r="E17" s="59" t="s">
        <v>42</v>
      </c>
      <c r="F17" s="59" t="s">
        <v>15</v>
      </c>
      <c r="G17" s="49">
        <v>304.27999999999997</v>
      </c>
      <c r="H17" s="67">
        <v>4614</v>
      </c>
      <c r="I17" s="67"/>
      <c r="J17" s="67"/>
      <c r="K17" s="108">
        <v>33.450000000000003</v>
      </c>
      <c r="L17" s="50">
        <v>504</v>
      </c>
      <c r="M17" s="49">
        <v>53.37</v>
      </c>
      <c r="N17" s="67">
        <v>809</v>
      </c>
      <c r="O17" s="49"/>
      <c r="P17" s="67"/>
      <c r="Q17" s="109">
        <v>7.32</v>
      </c>
      <c r="R17" s="50">
        <v>111</v>
      </c>
      <c r="S17" s="52"/>
      <c r="T17" s="53"/>
      <c r="U17" s="51">
        <v>141.1</v>
      </c>
      <c r="V17" s="54">
        <v>2097</v>
      </c>
      <c r="W17" s="43">
        <v>46250</v>
      </c>
      <c r="Y17" s="55">
        <f t="shared" si="0"/>
        <v>5423</v>
      </c>
      <c r="Z17" s="55">
        <f t="shared" si="2"/>
        <v>0</v>
      </c>
      <c r="AA17" s="129">
        <f t="shared" si="1"/>
        <v>615</v>
      </c>
      <c r="AB17" s="56" t="s">
        <v>27</v>
      </c>
      <c r="AD17" s="220"/>
      <c r="AE17" s="59"/>
      <c r="AF17" s="220"/>
      <c r="AG17" s="231"/>
      <c r="AI17" s="59"/>
      <c r="AJ17" s="59"/>
      <c r="AK17" s="59"/>
      <c r="AL17" s="59"/>
    </row>
    <row r="18" spans="1:38" s="20" customFormat="1">
      <c r="A18" s="277" t="s">
        <v>45</v>
      </c>
      <c r="B18" s="214" t="s">
        <v>233</v>
      </c>
      <c r="C18" s="34">
        <v>31442</v>
      </c>
      <c r="D18" s="35" t="s">
        <v>54</v>
      </c>
      <c r="E18" s="281" t="s">
        <v>44</v>
      </c>
      <c r="F18" s="281" t="s">
        <v>15</v>
      </c>
      <c r="G18" s="36"/>
      <c r="H18" s="37"/>
      <c r="I18" s="69">
        <v>95.38</v>
      </c>
      <c r="J18" s="37">
        <v>90349</v>
      </c>
      <c r="K18" s="116">
        <v>262.29000000000002</v>
      </c>
      <c r="L18" s="37">
        <v>248532</v>
      </c>
      <c r="M18" s="38"/>
      <c r="N18" s="37"/>
      <c r="O18" s="71">
        <v>11.98</v>
      </c>
      <c r="P18" s="37">
        <v>10584</v>
      </c>
      <c r="Q18" s="112">
        <f>40.38-M18</f>
        <v>40.380000000000003</v>
      </c>
      <c r="R18" s="37">
        <v>38155</v>
      </c>
      <c r="S18" s="39"/>
      <c r="T18" s="40"/>
      <c r="U18" s="38">
        <v>65.39</v>
      </c>
      <c r="V18" s="37">
        <v>51470</v>
      </c>
      <c r="W18" s="253">
        <v>45973</v>
      </c>
      <c r="Y18" s="31">
        <f t="shared" si="0"/>
        <v>0</v>
      </c>
      <c r="Z18" s="117">
        <f t="shared" si="2"/>
        <v>100933</v>
      </c>
      <c r="AA18" s="110">
        <f t="shared" si="1"/>
        <v>286687</v>
      </c>
      <c r="AB18" s="32" t="s">
        <v>27</v>
      </c>
      <c r="AD18" s="218"/>
      <c r="AE18" s="58"/>
      <c r="AF18" s="218"/>
      <c r="AG18" s="229"/>
      <c r="AI18" s="58"/>
      <c r="AJ18" s="58"/>
      <c r="AK18" s="58"/>
      <c r="AL18" s="58"/>
    </row>
    <row r="19" spans="1:38" s="20" customFormat="1" ht="15.75" customHeight="1" thickBot="1">
      <c r="A19" s="278"/>
      <c r="B19" s="45" t="s">
        <v>96</v>
      </c>
      <c r="C19" s="46" t="s">
        <v>97</v>
      </c>
      <c r="D19" s="47" t="s">
        <v>123</v>
      </c>
      <c r="E19" s="283"/>
      <c r="F19" s="283"/>
      <c r="G19" s="49"/>
      <c r="H19" s="67"/>
      <c r="I19" s="67"/>
      <c r="J19" s="67"/>
      <c r="K19" s="108">
        <v>2.89</v>
      </c>
      <c r="L19" s="50">
        <v>29</v>
      </c>
      <c r="M19" s="49"/>
      <c r="N19" s="67"/>
      <c r="O19" s="49"/>
      <c r="P19" s="67"/>
      <c r="Q19" s="109">
        <v>10.27</v>
      </c>
      <c r="R19" s="50">
        <v>105</v>
      </c>
      <c r="S19" s="60"/>
      <c r="T19" s="61"/>
      <c r="U19" s="51">
        <v>79.62</v>
      </c>
      <c r="V19" s="54">
        <v>810</v>
      </c>
      <c r="W19" s="254"/>
      <c r="Y19" s="55">
        <f t="shared" si="0"/>
        <v>0</v>
      </c>
      <c r="Z19" s="55">
        <f t="shared" si="2"/>
        <v>0</v>
      </c>
      <c r="AA19" s="129">
        <f t="shared" si="1"/>
        <v>134</v>
      </c>
      <c r="AB19" s="56" t="s">
        <v>27</v>
      </c>
      <c r="AD19" s="220"/>
      <c r="AE19" s="59"/>
      <c r="AF19" s="220"/>
      <c r="AG19" s="231"/>
      <c r="AI19" s="59"/>
      <c r="AJ19" s="59"/>
      <c r="AK19" s="59"/>
      <c r="AL19" s="59"/>
    </row>
    <row r="20" spans="1:38" s="20" customFormat="1">
      <c r="A20" s="275" t="s">
        <v>46</v>
      </c>
      <c r="B20" s="214" t="s">
        <v>233</v>
      </c>
      <c r="C20" s="34">
        <v>32221</v>
      </c>
      <c r="D20" s="35" t="s">
        <v>43</v>
      </c>
      <c r="E20" s="296" t="s">
        <v>47</v>
      </c>
      <c r="F20" s="296" t="s">
        <v>15</v>
      </c>
      <c r="G20" s="36"/>
      <c r="H20" s="37"/>
      <c r="I20" s="69">
        <v>215.71</v>
      </c>
      <c r="J20" s="37">
        <v>130149</v>
      </c>
      <c r="K20" s="116">
        <f>589.52-G20</f>
        <v>589.52</v>
      </c>
      <c r="L20" s="37">
        <f>293871-H20</f>
        <v>293871</v>
      </c>
      <c r="M20" s="38"/>
      <c r="N20" s="37"/>
      <c r="O20" s="71">
        <v>30.03</v>
      </c>
      <c r="P20" s="37">
        <v>18119</v>
      </c>
      <c r="Q20" s="112">
        <f>93.97-M20</f>
        <v>93.97</v>
      </c>
      <c r="R20" s="37">
        <f>45844-N20</f>
        <v>45844</v>
      </c>
      <c r="S20" s="27"/>
      <c r="T20" s="27"/>
      <c r="U20" s="38">
        <v>170.02</v>
      </c>
      <c r="V20" s="66">
        <v>84754</v>
      </c>
      <c r="W20" s="261">
        <v>45982</v>
      </c>
      <c r="Y20" s="31">
        <f t="shared" si="0"/>
        <v>0</v>
      </c>
      <c r="Z20" s="117">
        <f t="shared" si="2"/>
        <v>148268</v>
      </c>
      <c r="AA20" s="110">
        <f t="shared" si="1"/>
        <v>339715</v>
      </c>
      <c r="AB20" s="32" t="s">
        <v>27</v>
      </c>
      <c r="AD20" s="218"/>
      <c r="AE20" s="58"/>
      <c r="AF20" s="218"/>
      <c r="AG20" s="229"/>
      <c r="AI20" s="58"/>
      <c r="AJ20" s="58"/>
      <c r="AK20" s="58"/>
      <c r="AL20" s="58"/>
    </row>
    <row r="21" spans="1:38" s="20" customFormat="1" ht="15.75" customHeight="1" thickBot="1">
      <c r="A21" s="276"/>
      <c r="B21" s="45" t="s">
        <v>96</v>
      </c>
      <c r="C21" s="46" t="s">
        <v>97</v>
      </c>
      <c r="D21" s="47" t="s">
        <v>25</v>
      </c>
      <c r="E21" s="297"/>
      <c r="F21" s="297"/>
      <c r="G21" s="49">
        <v>45.75</v>
      </c>
      <c r="H21" s="67">
        <v>711</v>
      </c>
      <c r="I21" s="65">
        <v>1.44</v>
      </c>
      <c r="J21" s="67">
        <v>22</v>
      </c>
      <c r="K21" s="49"/>
      <c r="L21" s="50"/>
      <c r="M21" s="51">
        <v>6.33</v>
      </c>
      <c r="N21" s="50">
        <v>98</v>
      </c>
      <c r="O21" s="78">
        <f>13.18-K21</f>
        <v>13.18</v>
      </c>
      <c r="P21" s="50">
        <v>205</v>
      </c>
      <c r="Q21" s="51"/>
      <c r="R21" s="50"/>
      <c r="S21" s="52"/>
      <c r="T21" s="52"/>
      <c r="U21" s="51">
        <v>37.380000000000003</v>
      </c>
      <c r="V21" s="68">
        <v>482</v>
      </c>
      <c r="W21" s="263"/>
      <c r="Y21" s="55">
        <f t="shared" si="0"/>
        <v>809</v>
      </c>
      <c r="Z21" s="118">
        <f t="shared" si="2"/>
        <v>227</v>
      </c>
      <c r="AA21" s="55">
        <f t="shared" si="1"/>
        <v>0</v>
      </c>
      <c r="AB21" s="56" t="s">
        <v>27</v>
      </c>
      <c r="AD21" s="220"/>
      <c r="AE21" s="59"/>
      <c r="AF21" s="220"/>
      <c r="AG21" s="231"/>
      <c r="AI21" s="59"/>
      <c r="AJ21" s="59"/>
      <c r="AK21" s="59"/>
      <c r="AL21" s="59"/>
    </row>
    <row r="22" spans="1:38" s="20" customFormat="1">
      <c r="A22" s="277" t="s">
        <v>48</v>
      </c>
      <c r="B22" s="214" t="s">
        <v>233</v>
      </c>
      <c r="C22" s="34">
        <v>32700</v>
      </c>
      <c r="D22" s="35" t="s">
        <v>43</v>
      </c>
      <c r="E22" s="281" t="s">
        <v>49</v>
      </c>
      <c r="F22" s="281" t="s">
        <v>14</v>
      </c>
      <c r="G22" s="36"/>
      <c r="H22" s="37"/>
      <c r="I22" s="69">
        <v>49.6</v>
      </c>
      <c r="J22" s="37">
        <v>22673</v>
      </c>
      <c r="K22" s="116">
        <v>90.55</v>
      </c>
      <c r="L22" s="37">
        <v>34397</v>
      </c>
      <c r="M22" s="38"/>
      <c r="N22" s="37"/>
      <c r="O22" s="71">
        <v>7.73</v>
      </c>
      <c r="P22" s="37">
        <v>3533</v>
      </c>
      <c r="Q22" s="112">
        <f>24.29-M22</f>
        <v>24.29</v>
      </c>
      <c r="R22" s="37">
        <v>6289</v>
      </c>
      <c r="S22" s="39"/>
      <c r="T22" s="39"/>
      <c r="U22" s="38">
        <v>51.79</v>
      </c>
      <c r="V22" s="66">
        <v>19675</v>
      </c>
      <c r="W22" s="264">
        <v>45973</v>
      </c>
      <c r="Y22" s="31">
        <f t="shared" si="0"/>
        <v>0</v>
      </c>
      <c r="Z22" s="117">
        <f t="shared" si="2"/>
        <v>26206</v>
      </c>
      <c r="AA22" s="110">
        <f t="shared" si="1"/>
        <v>40686</v>
      </c>
      <c r="AB22" s="32" t="s">
        <v>27</v>
      </c>
      <c r="AD22" s="218"/>
      <c r="AE22" s="58"/>
      <c r="AF22" s="218"/>
      <c r="AG22" s="229"/>
      <c r="AI22" s="58"/>
      <c r="AJ22" s="58"/>
      <c r="AK22" s="58"/>
      <c r="AL22" s="58"/>
    </row>
    <row r="23" spans="1:38" s="20" customFormat="1" ht="15.75" customHeight="1" thickBot="1">
      <c r="A23" s="278"/>
      <c r="B23" s="45" t="s">
        <v>96</v>
      </c>
      <c r="C23" s="46" t="s">
        <v>97</v>
      </c>
      <c r="D23" s="47" t="s">
        <v>25</v>
      </c>
      <c r="E23" s="283"/>
      <c r="F23" s="283"/>
      <c r="G23" s="49">
        <v>63.69</v>
      </c>
      <c r="H23" s="67">
        <v>805</v>
      </c>
      <c r="I23" s="67"/>
      <c r="J23" s="67"/>
      <c r="K23" s="108">
        <v>0.43</v>
      </c>
      <c r="L23" s="50"/>
      <c r="M23" s="51">
        <v>8.85</v>
      </c>
      <c r="N23" s="50">
        <v>112</v>
      </c>
      <c r="O23" s="51"/>
      <c r="P23" s="50"/>
      <c r="Q23" s="109">
        <v>9.92</v>
      </c>
      <c r="R23" s="50"/>
      <c r="S23" s="52"/>
      <c r="T23" s="52"/>
      <c r="U23" s="51">
        <v>84.79</v>
      </c>
      <c r="V23" s="68">
        <v>890</v>
      </c>
      <c r="W23" s="265"/>
      <c r="Y23" s="55">
        <f t="shared" si="0"/>
        <v>917</v>
      </c>
      <c r="Z23" s="118">
        <f t="shared" si="2"/>
        <v>0</v>
      </c>
      <c r="AA23" s="55">
        <f t="shared" si="1"/>
        <v>0</v>
      </c>
      <c r="AB23" s="56" t="s">
        <v>27</v>
      </c>
      <c r="AD23" s="220"/>
      <c r="AE23" s="59"/>
      <c r="AF23" s="220"/>
      <c r="AG23" s="231"/>
      <c r="AI23" s="59"/>
      <c r="AJ23" s="59"/>
      <c r="AK23" s="59"/>
      <c r="AL23" s="59"/>
    </row>
    <row r="24" spans="1:38" s="20" customFormat="1">
      <c r="A24" s="275" t="s">
        <v>50</v>
      </c>
      <c r="B24" s="214" t="s">
        <v>233</v>
      </c>
      <c r="C24" s="34">
        <v>32779</v>
      </c>
      <c r="D24" s="35" t="s">
        <v>43</v>
      </c>
      <c r="E24" s="296" t="s">
        <v>51</v>
      </c>
      <c r="F24" s="296" t="s">
        <v>15</v>
      </c>
      <c r="G24" s="36"/>
      <c r="H24" s="37"/>
      <c r="I24" s="69">
        <v>250.33</v>
      </c>
      <c r="J24" s="37">
        <v>110526</v>
      </c>
      <c r="K24" s="116">
        <f>660.65-G24</f>
        <v>660.65</v>
      </c>
      <c r="L24" s="37">
        <f>255205-H24</f>
        <v>255205</v>
      </c>
      <c r="M24" s="38"/>
      <c r="N24" s="37"/>
      <c r="O24" s="71">
        <v>34.36</v>
      </c>
      <c r="P24" s="37">
        <v>15171</v>
      </c>
      <c r="Q24" s="112">
        <f>104.13-M24</f>
        <v>104.13</v>
      </c>
      <c r="R24" s="37">
        <f>39558-N24</f>
        <v>39558</v>
      </c>
      <c r="S24" s="39"/>
      <c r="T24" s="39"/>
      <c r="U24" s="38">
        <v>197.59</v>
      </c>
      <c r="V24" s="66">
        <v>75058</v>
      </c>
      <c r="W24" s="261">
        <v>45948</v>
      </c>
      <c r="Y24" s="31">
        <f t="shared" si="0"/>
        <v>0</v>
      </c>
      <c r="Z24" s="117">
        <f t="shared" si="2"/>
        <v>125697</v>
      </c>
      <c r="AA24" s="110">
        <f t="shared" si="1"/>
        <v>294763</v>
      </c>
      <c r="AB24" s="32" t="s">
        <v>27</v>
      </c>
      <c r="AD24" s="218"/>
      <c r="AE24" s="58"/>
      <c r="AF24" s="218"/>
      <c r="AG24" s="229"/>
      <c r="AI24" s="58"/>
      <c r="AJ24" s="58"/>
      <c r="AK24" s="58"/>
      <c r="AL24" s="58"/>
    </row>
    <row r="25" spans="1:38" s="20" customFormat="1" ht="15" customHeight="1">
      <c r="A25" s="279"/>
      <c r="B25" s="214" t="s">
        <v>233</v>
      </c>
      <c r="C25" s="13">
        <v>33110</v>
      </c>
      <c r="D25" s="35" t="s">
        <v>54</v>
      </c>
      <c r="E25" s="298"/>
      <c r="F25" s="298"/>
      <c r="G25" s="7"/>
      <c r="H25" s="22"/>
      <c r="I25" s="70">
        <v>114.45</v>
      </c>
      <c r="J25" s="22">
        <v>41899</v>
      </c>
      <c r="K25" s="106">
        <f>446.79-G25</f>
        <v>446.79</v>
      </c>
      <c r="L25" s="22">
        <f>135453-H25</f>
        <v>135453</v>
      </c>
      <c r="M25" s="5"/>
      <c r="N25" s="22"/>
      <c r="O25" s="72">
        <v>16.329999999999998</v>
      </c>
      <c r="P25" s="22">
        <v>5957</v>
      </c>
      <c r="Q25" s="107">
        <f>75.75-M25</f>
        <v>75.75</v>
      </c>
      <c r="R25" s="22">
        <f>22963-N25</f>
        <v>22963</v>
      </c>
      <c r="S25" s="27"/>
      <c r="T25" s="27"/>
      <c r="U25" s="5">
        <v>130.38</v>
      </c>
      <c r="V25" s="63">
        <v>39528</v>
      </c>
      <c r="W25" s="262"/>
      <c r="Y25" s="103">
        <f t="shared" si="0"/>
        <v>0</v>
      </c>
      <c r="Z25" s="117">
        <f t="shared" si="2"/>
        <v>47856</v>
      </c>
      <c r="AA25" s="110">
        <f t="shared" si="1"/>
        <v>158416</v>
      </c>
      <c r="AB25" s="32" t="s">
        <v>27</v>
      </c>
      <c r="AD25" s="219"/>
      <c r="AE25" s="4"/>
      <c r="AF25" s="219"/>
      <c r="AG25" s="230"/>
      <c r="AI25" s="4"/>
      <c r="AJ25" s="4"/>
      <c r="AK25" s="4"/>
      <c r="AL25" s="4"/>
    </row>
    <row r="26" spans="1:38" s="20" customFormat="1" ht="15" customHeight="1">
      <c r="A26" s="279"/>
      <c r="B26" s="6" t="s">
        <v>96</v>
      </c>
      <c r="C26" s="13" t="s">
        <v>97</v>
      </c>
      <c r="D26" s="12" t="s">
        <v>122</v>
      </c>
      <c r="E26" s="298"/>
      <c r="F26" s="298"/>
      <c r="G26" s="7"/>
      <c r="H26" s="25"/>
      <c r="I26" s="7"/>
      <c r="J26" s="25"/>
      <c r="K26" s="106">
        <v>4.33</v>
      </c>
      <c r="L26" s="22">
        <v>39</v>
      </c>
      <c r="M26" s="5"/>
      <c r="N26" s="22"/>
      <c r="O26" s="5"/>
      <c r="P26" s="22"/>
      <c r="Q26" s="107">
        <v>10.28</v>
      </c>
      <c r="R26" s="22">
        <v>93</v>
      </c>
      <c r="S26" s="27"/>
      <c r="T26" s="27"/>
      <c r="U26" s="5">
        <v>152.19999999999999</v>
      </c>
      <c r="V26" s="63">
        <v>1378</v>
      </c>
      <c r="W26" s="262"/>
      <c r="X26" s="105"/>
      <c r="Y26" s="103">
        <f t="shared" si="0"/>
        <v>0</v>
      </c>
      <c r="Z26" s="31">
        <f t="shared" si="2"/>
        <v>0</v>
      </c>
      <c r="AA26" s="110">
        <f t="shared" si="1"/>
        <v>132</v>
      </c>
      <c r="AB26" s="32" t="s">
        <v>27</v>
      </c>
      <c r="AD26" s="219"/>
      <c r="AE26" s="4"/>
      <c r="AF26" s="219"/>
      <c r="AG26" s="230"/>
      <c r="AI26" s="4"/>
      <c r="AJ26" s="4"/>
      <c r="AK26" s="4"/>
      <c r="AL26" s="4"/>
    </row>
    <row r="27" spans="1:38" s="20" customFormat="1" ht="15.75" customHeight="1" thickBot="1">
      <c r="A27" s="276"/>
      <c r="B27" s="93" t="s">
        <v>96</v>
      </c>
      <c r="C27" s="138" t="s">
        <v>97</v>
      </c>
      <c r="D27" s="47" t="s">
        <v>121</v>
      </c>
      <c r="E27" s="297"/>
      <c r="F27" s="297"/>
      <c r="G27" s="49"/>
      <c r="H27" s="67"/>
      <c r="I27" s="49"/>
      <c r="J27" s="67"/>
      <c r="K27" s="108">
        <v>8.67</v>
      </c>
      <c r="L27" s="50">
        <v>78</v>
      </c>
      <c r="M27" s="51"/>
      <c r="N27" s="50"/>
      <c r="O27" s="51"/>
      <c r="P27" s="50"/>
      <c r="Q27" s="109">
        <v>10.88</v>
      </c>
      <c r="R27" s="50">
        <v>98</v>
      </c>
      <c r="S27" s="52"/>
      <c r="T27" s="52"/>
      <c r="U27" s="51">
        <v>153.80000000000001</v>
      </c>
      <c r="V27" s="68">
        <v>1392</v>
      </c>
      <c r="W27" s="263"/>
      <c r="X27" s="105"/>
      <c r="Y27" s="55">
        <f t="shared" si="0"/>
        <v>0</v>
      </c>
      <c r="Z27" s="55">
        <f t="shared" si="2"/>
        <v>0</v>
      </c>
      <c r="AA27" s="129">
        <f t="shared" si="1"/>
        <v>176</v>
      </c>
      <c r="AB27" s="56" t="s">
        <v>27</v>
      </c>
      <c r="AD27" s="220"/>
      <c r="AE27" s="59"/>
      <c r="AF27" s="220"/>
      <c r="AG27" s="231"/>
      <c r="AI27" s="59"/>
      <c r="AJ27" s="59"/>
      <c r="AK27" s="59"/>
      <c r="AL27" s="59"/>
    </row>
    <row r="28" spans="1:38" s="20" customFormat="1">
      <c r="A28" s="277" t="s">
        <v>52</v>
      </c>
      <c r="B28" s="139" t="s">
        <v>160</v>
      </c>
      <c r="C28" s="140" t="s">
        <v>97</v>
      </c>
      <c r="D28" s="12" t="s">
        <v>25</v>
      </c>
      <c r="E28" s="58" t="s">
        <v>56</v>
      </c>
      <c r="F28" s="281" t="s">
        <v>14</v>
      </c>
      <c r="G28" s="36"/>
      <c r="H28" s="37"/>
      <c r="I28" s="69">
        <v>30.52</v>
      </c>
      <c r="J28" s="37">
        <v>14444</v>
      </c>
      <c r="K28" s="116">
        <f>117.26-G28</f>
        <v>117.26</v>
      </c>
      <c r="L28" s="37">
        <f>46163-H28</f>
        <v>46163</v>
      </c>
      <c r="M28" s="38"/>
      <c r="N28" s="37"/>
      <c r="O28" s="71">
        <v>8.0299999999999994</v>
      </c>
      <c r="P28" s="37">
        <v>3800</v>
      </c>
      <c r="Q28" s="112">
        <f>29.46-M28</f>
        <v>29.46</v>
      </c>
      <c r="R28" s="37">
        <f>309-N28</f>
        <v>309</v>
      </c>
      <c r="S28" s="39"/>
      <c r="T28" s="39"/>
      <c r="U28" s="38">
        <v>279.54000000000002</v>
      </c>
      <c r="V28" s="66">
        <v>2935</v>
      </c>
      <c r="W28" s="264">
        <v>45968</v>
      </c>
      <c r="X28" s="105"/>
      <c r="Y28" s="31">
        <f t="shared" si="0"/>
        <v>0</v>
      </c>
      <c r="Z28" s="117">
        <f t="shared" si="2"/>
        <v>18244</v>
      </c>
      <c r="AA28" s="110">
        <f t="shared" si="1"/>
        <v>46472</v>
      </c>
      <c r="AB28" s="32" t="s">
        <v>27</v>
      </c>
      <c r="AD28" s="218"/>
      <c r="AE28" s="58"/>
      <c r="AF28" s="218"/>
      <c r="AG28" s="229"/>
      <c r="AI28" s="58"/>
      <c r="AJ28" s="58"/>
      <c r="AK28" s="58"/>
      <c r="AL28" s="58"/>
    </row>
    <row r="29" spans="1:38" s="20" customFormat="1" ht="15" customHeight="1">
      <c r="A29" s="280"/>
      <c r="B29" s="33" t="s">
        <v>160</v>
      </c>
      <c r="C29" s="13" t="s">
        <v>97</v>
      </c>
      <c r="D29" s="12" t="s">
        <v>25</v>
      </c>
      <c r="E29" s="4" t="s">
        <v>57</v>
      </c>
      <c r="F29" s="282"/>
      <c r="G29" s="7"/>
      <c r="H29" s="22"/>
      <c r="I29" s="70">
        <v>536.1</v>
      </c>
      <c r="J29" s="22">
        <v>253709</v>
      </c>
      <c r="K29" s="106">
        <f>1902.82-G29</f>
        <v>1902.82</v>
      </c>
      <c r="L29" s="22">
        <v>747166</v>
      </c>
      <c r="M29" s="5"/>
      <c r="N29" s="22"/>
      <c r="O29" s="72">
        <v>78.03</v>
      </c>
      <c r="P29" s="22">
        <v>36928</v>
      </c>
      <c r="Q29" s="107">
        <f>273.17-M29</f>
        <v>273.17</v>
      </c>
      <c r="R29" s="22">
        <f>2868-N29</f>
        <v>2868</v>
      </c>
      <c r="S29" s="27"/>
      <c r="T29" s="27"/>
      <c r="U29" s="5">
        <v>898.46</v>
      </c>
      <c r="V29" s="63">
        <v>9434</v>
      </c>
      <c r="W29" s="271"/>
      <c r="X29" s="105"/>
      <c r="Y29" s="103">
        <f t="shared" si="0"/>
        <v>0</v>
      </c>
      <c r="Z29" s="117">
        <f t="shared" si="2"/>
        <v>290637</v>
      </c>
      <c r="AA29" s="110">
        <f t="shared" si="1"/>
        <v>750034</v>
      </c>
      <c r="AB29" s="32" t="s">
        <v>27</v>
      </c>
      <c r="AD29" s="219"/>
      <c r="AE29" s="4"/>
      <c r="AF29" s="219"/>
      <c r="AG29" s="230"/>
      <c r="AI29" s="4"/>
      <c r="AJ29" s="4"/>
      <c r="AK29" s="4"/>
      <c r="AL29" s="4"/>
    </row>
    <row r="30" spans="1:38" s="20" customFormat="1" ht="15.75" customHeight="1" thickBot="1">
      <c r="A30" s="278"/>
      <c r="B30" s="45" t="s">
        <v>160</v>
      </c>
      <c r="C30" s="138" t="s">
        <v>97</v>
      </c>
      <c r="D30" s="47" t="s">
        <v>25</v>
      </c>
      <c r="E30" s="59" t="s">
        <v>56</v>
      </c>
      <c r="F30" s="283"/>
      <c r="G30" s="49">
        <v>49.59</v>
      </c>
      <c r="H30" s="67">
        <v>627</v>
      </c>
      <c r="I30" s="67"/>
      <c r="J30" s="67"/>
      <c r="K30" s="108">
        <f>232.88-G30</f>
        <v>183.29</v>
      </c>
      <c r="L30" s="50">
        <f>91554-H30</f>
        <v>90927</v>
      </c>
      <c r="M30" s="51">
        <v>6.87</v>
      </c>
      <c r="N30" s="50">
        <v>87</v>
      </c>
      <c r="O30" s="51"/>
      <c r="P30" s="50"/>
      <c r="Q30" s="109">
        <f>45.46-M30</f>
        <v>38.590000000000003</v>
      </c>
      <c r="R30" s="50">
        <f>477-N30</f>
        <v>390</v>
      </c>
      <c r="S30" s="52"/>
      <c r="T30" s="52"/>
      <c r="U30" s="51">
        <v>328.63</v>
      </c>
      <c r="V30" s="50">
        <v>3450</v>
      </c>
      <c r="W30" s="265"/>
      <c r="X30" s="105"/>
      <c r="Y30" s="55">
        <f t="shared" si="0"/>
        <v>714</v>
      </c>
      <c r="Z30" s="55">
        <f t="shared" si="2"/>
        <v>0</v>
      </c>
      <c r="AA30" s="129">
        <f t="shared" si="1"/>
        <v>91317</v>
      </c>
      <c r="AB30" s="56" t="s">
        <v>27</v>
      </c>
      <c r="AD30" s="220"/>
      <c r="AE30" s="59"/>
      <c r="AF30" s="220"/>
      <c r="AG30" s="231"/>
      <c r="AI30" s="59"/>
      <c r="AJ30" s="59"/>
      <c r="AK30" s="59"/>
      <c r="AL30" s="59"/>
    </row>
    <row r="31" spans="1:38" s="20" customFormat="1">
      <c r="A31" s="275" t="s">
        <v>53</v>
      </c>
      <c r="B31" s="214" t="s">
        <v>233</v>
      </c>
      <c r="C31" s="34">
        <v>32276</v>
      </c>
      <c r="D31" s="35" t="s">
        <v>54</v>
      </c>
      <c r="E31" s="296" t="s">
        <v>55</v>
      </c>
      <c r="F31" s="296" t="s">
        <v>15</v>
      </c>
      <c r="G31" s="73"/>
      <c r="H31" s="74"/>
      <c r="I31" s="74"/>
      <c r="J31" s="74"/>
      <c r="K31" s="120">
        <f>136.61-41.94</f>
        <v>94.670000000000016</v>
      </c>
      <c r="L31" s="74">
        <f>65776-H32</f>
        <v>65776</v>
      </c>
      <c r="M31" s="76"/>
      <c r="N31" s="74"/>
      <c r="O31" s="76"/>
      <c r="P31" s="74"/>
      <c r="Q31" s="121">
        <f>23.2-M32</f>
        <v>23.2</v>
      </c>
      <c r="R31" s="74">
        <f>11176-N32</f>
        <v>11176</v>
      </c>
      <c r="S31" s="75"/>
      <c r="T31" s="75"/>
      <c r="U31" s="76">
        <v>52.03</v>
      </c>
      <c r="V31" s="77">
        <v>25052</v>
      </c>
      <c r="W31" s="258">
        <v>45974</v>
      </c>
      <c r="Y31" s="31">
        <f t="shared" si="0"/>
        <v>0</v>
      </c>
      <c r="Z31" s="31">
        <f t="shared" si="2"/>
        <v>0</v>
      </c>
      <c r="AA31" s="110">
        <f t="shared" si="1"/>
        <v>76952</v>
      </c>
      <c r="AB31" s="32" t="s">
        <v>27</v>
      </c>
      <c r="AD31" s="218"/>
      <c r="AE31" s="58"/>
      <c r="AF31" s="218"/>
      <c r="AG31" s="229"/>
      <c r="AI31" s="58"/>
      <c r="AJ31" s="58"/>
      <c r="AK31" s="58"/>
      <c r="AL31" s="58"/>
    </row>
    <row r="32" spans="1:38" s="20" customFormat="1" ht="15.75" customHeight="1" thickBot="1">
      <c r="A32" s="276"/>
      <c r="B32" s="45" t="s">
        <v>96</v>
      </c>
      <c r="C32" s="46" t="s">
        <v>97</v>
      </c>
      <c r="D32" s="47" t="s">
        <v>118</v>
      </c>
      <c r="E32" s="297"/>
      <c r="F32" s="297"/>
      <c r="G32" s="49"/>
      <c r="H32" s="67"/>
      <c r="I32" s="65">
        <v>41.97</v>
      </c>
      <c r="J32" s="67">
        <v>24459</v>
      </c>
      <c r="K32" s="108">
        <v>4.24</v>
      </c>
      <c r="L32" s="50">
        <v>91</v>
      </c>
      <c r="M32" s="51"/>
      <c r="N32" s="50"/>
      <c r="O32" s="78">
        <v>6.98</v>
      </c>
      <c r="P32" s="50">
        <v>4068</v>
      </c>
      <c r="Q32" s="109">
        <v>8.1</v>
      </c>
      <c r="R32" s="50">
        <v>189</v>
      </c>
      <c r="S32" s="52"/>
      <c r="T32" s="52"/>
      <c r="U32" s="51">
        <v>47.99</v>
      </c>
      <c r="V32" s="68">
        <v>1030</v>
      </c>
      <c r="W32" s="260"/>
      <c r="X32" s="105"/>
      <c r="Y32" s="55">
        <f t="shared" si="0"/>
        <v>0</v>
      </c>
      <c r="Z32" s="118">
        <f t="shared" si="2"/>
        <v>28527</v>
      </c>
      <c r="AA32" s="129">
        <f t="shared" si="1"/>
        <v>280</v>
      </c>
      <c r="AB32" s="56" t="s">
        <v>27</v>
      </c>
      <c r="AD32" s="220"/>
      <c r="AE32" s="59"/>
      <c r="AF32" s="220"/>
      <c r="AG32" s="231"/>
      <c r="AI32" s="59"/>
      <c r="AJ32" s="59"/>
      <c r="AK32" s="59"/>
      <c r="AL32" s="59"/>
    </row>
    <row r="33" spans="1:38" s="20" customFormat="1">
      <c r="A33" s="277" t="s">
        <v>58</v>
      </c>
      <c r="B33" s="139" t="s">
        <v>161</v>
      </c>
      <c r="C33" s="140" t="s">
        <v>97</v>
      </c>
      <c r="D33" s="35" t="s">
        <v>181</v>
      </c>
      <c r="E33" s="58" t="s">
        <v>59</v>
      </c>
      <c r="F33" s="44" t="s">
        <v>14</v>
      </c>
      <c r="G33" s="36"/>
      <c r="H33" s="42"/>
      <c r="I33" s="69">
        <v>41.95</v>
      </c>
      <c r="J33" s="42">
        <v>1232</v>
      </c>
      <c r="K33" s="36"/>
      <c r="L33" s="37"/>
      <c r="M33" s="38"/>
      <c r="N33" s="37"/>
      <c r="O33" s="71">
        <v>7.29</v>
      </c>
      <c r="P33" s="37">
        <v>214</v>
      </c>
      <c r="Q33" s="38"/>
      <c r="R33" s="37"/>
      <c r="S33" s="39"/>
      <c r="T33" s="39"/>
      <c r="U33" s="38">
        <v>15.62</v>
      </c>
      <c r="V33" s="66">
        <v>374</v>
      </c>
      <c r="W33" s="264">
        <v>45846</v>
      </c>
      <c r="Y33" s="31">
        <f t="shared" si="0"/>
        <v>0</v>
      </c>
      <c r="Z33" s="117">
        <f t="shared" si="2"/>
        <v>1446</v>
      </c>
      <c r="AA33" s="31">
        <f t="shared" si="1"/>
        <v>0</v>
      </c>
      <c r="AB33" s="32" t="s">
        <v>27</v>
      </c>
      <c r="AD33" s="218"/>
      <c r="AE33" s="58"/>
      <c r="AF33" s="218"/>
      <c r="AG33" s="229"/>
      <c r="AI33" s="58"/>
      <c r="AJ33" s="58"/>
      <c r="AK33" s="58"/>
      <c r="AL33" s="58"/>
    </row>
    <row r="34" spans="1:38" s="20" customFormat="1" ht="15.75" customHeight="1" thickBot="1">
      <c r="A34" s="278"/>
      <c r="B34" s="93" t="s">
        <v>161</v>
      </c>
      <c r="C34" s="138" t="s">
        <v>97</v>
      </c>
      <c r="D34" s="47" t="s">
        <v>180</v>
      </c>
      <c r="E34" s="59" t="s">
        <v>60</v>
      </c>
      <c r="F34" s="48"/>
      <c r="G34" s="49"/>
      <c r="H34" s="67"/>
      <c r="I34" s="65">
        <v>659.97</v>
      </c>
      <c r="J34" s="67">
        <v>21728</v>
      </c>
      <c r="K34" s="49"/>
      <c r="L34" s="50"/>
      <c r="M34" s="51"/>
      <c r="N34" s="50"/>
      <c r="O34" s="78">
        <v>92.4</v>
      </c>
      <c r="P34" s="50">
        <v>3042</v>
      </c>
      <c r="Q34" s="51"/>
      <c r="R34" s="50"/>
      <c r="S34" s="52"/>
      <c r="T34" s="52"/>
      <c r="U34" s="51">
        <v>198.39</v>
      </c>
      <c r="V34" s="68">
        <v>4280</v>
      </c>
      <c r="W34" s="265"/>
      <c r="Y34" s="55">
        <f t="shared" si="0"/>
        <v>0</v>
      </c>
      <c r="Z34" s="118">
        <f t="shared" si="2"/>
        <v>24770</v>
      </c>
      <c r="AA34" s="55">
        <f t="shared" si="1"/>
        <v>0</v>
      </c>
      <c r="AB34" s="56" t="s">
        <v>27</v>
      </c>
      <c r="AD34" s="220"/>
      <c r="AE34" s="59"/>
      <c r="AF34" s="220"/>
      <c r="AG34" s="231"/>
      <c r="AI34" s="59"/>
      <c r="AJ34" s="59"/>
      <c r="AK34" s="59"/>
      <c r="AL34" s="59"/>
    </row>
    <row r="35" spans="1:38" s="20" customFormat="1">
      <c r="A35" s="275" t="s">
        <v>61</v>
      </c>
      <c r="B35" s="214" t="s">
        <v>235</v>
      </c>
      <c r="C35" s="34">
        <v>30772</v>
      </c>
      <c r="D35" s="35" t="s">
        <v>31</v>
      </c>
      <c r="E35" s="296" t="s">
        <v>62</v>
      </c>
      <c r="F35" s="296" t="s">
        <v>63</v>
      </c>
      <c r="G35" s="36"/>
      <c r="H35" s="37"/>
      <c r="I35" s="37"/>
      <c r="J35" s="37"/>
      <c r="K35" s="116">
        <v>100.6</v>
      </c>
      <c r="L35" s="37">
        <v>115994</v>
      </c>
      <c r="M35" s="38"/>
      <c r="N35" s="37"/>
      <c r="O35" s="38"/>
      <c r="P35" s="37"/>
      <c r="Q35" s="112">
        <v>13.05</v>
      </c>
      <c r="R35" s="37">
        <v>15046</v>
      </c>
      <c r="S35" s="39"/>
      <c r="T35" s="39"/>
      <c r="U35" s="38">
        <v>29.98</v>
      </c>
      <c r="V35" s="66">
        <v>34556</v>
      </c>
      <c r="W35" s="258">
        <v>45943</v>
      </c>
      <c r="Y35" s="31">
        <f t="shared" si="0"/>
        <v>0</v>
      </c>
      <c r="Z35" s="31">
        <f t="shared" si="2"/>
        <v>0</v>
      </c>
      <c r="AA35" s="110">
        <f t="shared" si="1"/>
        <v>131040</v>
      </c>
      <c r="AB35" s="32" t="s">
        <v>27</v>
      </c>
      <c r="AD35" s="218"/>
      <c r="AE35" s="58"/>
      <c r="AF35" s="218"/>
      <c r="AG35" s="229"/>
      <c r="AI35" s="58"/>
      <c r="AJ35" s="58"/>
      <c r="AK35" s="58"/>
      <c r="AL35" s="58"/>
    </row>
    <row r="36" spans="1:38" s="20" customFormat="1" ht="15.75" customHeight="1" thickBot="1">
      <c r="A36" s="276"/>
      <c r="B36" s="45" t="s">
        <v>161</v>
      </c>
      <c r="C36" s="46" t="s">
        <v>97</v>
      </c>
      <c r="D36" s="47" t="s">
        <v>25</v>
      </c>
      <c r="E36" s="297"/>
      <c r="F36" s="297"/>
      <c r="G36" s="49"/>
      <c r="H36" s="67"/>
      <c r="I36" s="67"/>
      <c r="J36" s="67"/>
      <c r="K36" s="108">
        <v>0.25</v>
      </c>
      <c r="L36" s="50">
        <v>6</v>
      </c>
      <c r="M36" s="51"/>
      <c r="N36" s="50"/>
      <c r="O36" s="51"/>
      <c r="P36" s="50"/>
      <c r="Q36" s="109">
        <f>7.31+M36</f>
        <v>7.31</v>
      </c>
      <c r="R36" s="50">
        <v>169</v>
      </c>
      <c r="S36" s="52"/>
      <c r="T36" s="52"/>
      <c r="U36" s="51">
        <v>49.32</v>
      </c>
      <c r="V36" s="50">
        <v>1140</v>
      </c>
      <c r="W36" s="260"/>
      <c r="Y36" s="55">
        <f t="shared" si="0"/>
        <v>0</v>
      </c>
      <c r="Z36" s="55">
        <f t="shared" si="2"/>
        <v>0</v>
      </c>
      <c r="AA36" s="129">
        <f t="shared" si="1"/>
        <v>175</v>
      </c>
      <c r="AB36" s="56" t="s">
        <v>27</v>
      </c>
      <c r="AD36" s="220"/>
      <c r="AE36" s="59"/>
      <c r="AF36" s="220"/>
      <c r="AG36" s="231"/>
      <c r="AI36" s="59"/>
      <c r="AJ36" s="59"/>
      <c r="AK36" s="59"/>
      <c r="AL36" s="59"/>
    </row>
    <row r="37" spans="1:38" s="20" customFormat="1">
      <c r="A37" s="277" t="s">
        <v>66</v>
      </c>
      <c r="B37" s="33" t="s">
        <v>139</v>
      </c>
      <c r="C37" s="141" t="s">
        <v>97</v>
      </c>
      <c r="D37" s="35" t="s">
        <v>64</v>
      </c>
      <c r="E37" s="281" t="s">
        <v>65</v>
      </c>
      <c r="F37" s="281" t="s">
        <v>16</v>
      </c>
      <c r="G37" s="36"/>
      <c r="H37" s="42"/>
      <c r="I37" s="42"/>
      <c r="J37" s="42"/>
      <c r="K37" s="36"/>
      <c r="L37" s="37"/>
      <c r="M37" s="38"/>
      <c r="N37" s="37"/>
      <c r="O37" s="71">
        <v>9.6</v>
      </c>
      <c r="P37" s="37">
        <v>149</v>
      </c>
      <c r="Q37" s="38"/>
      <c r="R37" s="37"/>
      <c r="S37" s="39"/>
      <c r="T37" s="39"/>
      <c r="U37" s="38">
        <v>10.62</v>
      </c>
      <c r="V37" s="66">
        <v>137</v>
      </c>
      <c r="W37" s="264">
        <v>45968</v>
      </c>
      <c r="Y37" s="31">
        <f t="shared" si="0"/>
        <v>0</v>
      </c>
      <c r="Z37" s="117">
        <f t="shared" si="2"/>
        <v>149</v>
      </c>
      <c r="AA37" s="31">
        <f t="shared" si="1"/>
        <v>0</v>
      </c>
      <c r="AB37" s="32" t="s">
        <v>27</v>
      </c>
      <c r="AD37" s="218"/>
      <c r="AE37" s="58"/>
      <c r="AF37" s="218"/>
      <c r="AG37" s="229"/>
      <c r="AI37" s="58"/>
      <c r="AJ37" s="58"/>
      <c r="AK37" s="58"/>
      <c r="AL37" s="58"/>
    </row>
    <row r="38" spans="1:38" s="20" customFormat="1" ht="15" customHeight="1">
      <c r="A38" s="280"/>
      <c r="B38" s="33" t="s">
        <v>162</v>
      </c>
      <c r="C38" s="13" t="s">
        <v>97</v>
      </c>
      <c r="D38" s="12" t="s">
        <v>25</v>
      </c>
      <c r="E38" s="282"/>
      <c r="F38" s="282"/>
      <c r="G38" s="7">
        <v>19.079999999999998</v>
      </c>
      <c r="H38" s="25">
        <v>297</v>
      </c>
      <c r="I38" s="70">
        <v>575.67999999999995</v>
      </c>
      <c r="J38" s="25">
        <v>272440</v>
      </c>
      <c r="K38" s="7"/>
      <c r="L38" s="22"/>
      <c r="M38" s="5">
        <v>2.64</v>
      </c>
      <c r="N38" s="22">
        <v>41</v>
      </c>
      <c r="O38" s="72">
        <v>94.96</v>
      </c>
      <c r="P38" s="22">
        <v>44940</v>
      </c>
      <c r="Q38" s="5"/>
      <c r="R38" s="22"/>
      <c r="S38" s="27"/>
      <c r="T38" s="27"/>
      <c r="U38" s="5">
        <v>249.76</v>
      </c>
      <c r="V38" s="63">
        <v>3213</v>
      </c>
      <c r="W38" s="271"/>
      <c r="X38" s="105"/>
      <c r="Y38" s="103">
        <f t="shared" si="0"/>
        <v>338</v>
      </c>
      <c r="Z38" s="117">
        <f t="shared" si="2"/>
        <v>317380</v>
      </c>
      <c r="AA38" s="31">
        <f t="shared" si="1"/>
        <v>0</v>
      </c>
      <c r="AB38" s="127" t="s">
        <v>27</v>
      </c>
      <c r="AD38" s="219"/>
      <c r="AE38" s="4"/>
      <c r="AF38" s="219"/>
      <c r="AG38" s="230"/>
      <c r="AI38" s="4"/>
      <c r="AJ38" s="4"/>
      <c r="AK38" s="4"/>
      <c r="AL38" s="4"/>
    </row>
    <row r="39" spans="1:38" s="20" customFormat="1" ht="15.75" customHeight="1" thickBot="1">
      <c r="A39" s="278"/>
      <c r="B39" s="45" t="s">
        <v>162</v>
      </c>
      <c r="C39" s="138" t="s">
        <v>97</v>
      </c>
      <c r="D39" s="47" t="s">
        <v>25</v>
      </c>
      <c r="E39" s="283"/>
      <c r="F39" s="283"/>
      <c r="G39" s="49">
        <v>19.079999999999998</v>
      </c>
      <c r="H39" s="67">
        <v>297</v>
      </c>
      <c r="I39" s="65">
        <v>1348.84</v>
      </c>
      <c r="J39" s="67">
        <v>638338</v>
      </c>
      <c r="K39" s="49"/>
      <c r="L39" s="50"/>
      <c r="M39" s="51">
        <v>2.64</v>
      </c>
      <c r="N39" s="50">
        <v>41</v>
      </c>
      <c r="O39" s="78">
        <v>202.72</v>
      </c>
      <c r="P39" s="50">
        <v>95937</v>
      </c>
      <c r="Q39" s="51"/>
      <c r="R39" s="50"/>
      <c r="S39" s="52"/>
      <c r="T39" s="52"/>
      <c r="U39" s="51">
        <v>540.27</v>
      </c>
      <c r="V39" s="68">
        <v>6980</v>
      </c>
      <c r="W39" s="265"/>
      <c r="X39" s="105"/>
      <c r="Y39" s="55">
        <f t="shared" si="0"/>
        <v>338</v>
      </c>
      <c r="Z39" s="118">
        <f t="shared" si="2"/>
        <v>734275</v>
      </c>
      <c r="AA39" s="55">
        <f t="shared" si="1"/>
        <v>0</v>
      </c>
      <c r="AB39" s="56" t="s">
        <v>27</v>
      </c>
      <c r="AD39" s="220"/>
      <c r="AE39" s="59"/>
      <c r="AF39" s="220"/>
      <c r="AG39" s="231"/>
      <c r="AI39" s="59"/>
      <c r="AJ39" s="59"/>
      <c r="AK39" s="59"/>
      <c r="AL39" s="59"/>
    </row>
    <row r="40" spans="1:38" s="20" customFormat="1" ht="13.5" thickBot="1">
      <c r="A40" s="79" t="s">
        <v>67</v>
      </c>
      <c r="B40" s="45" t="s">
        <v>161</v>
      </c>
      <c r="C40" s="46" t="s">
        <v>97</v>
      </c>
      <c r="D40" s="81" t="s">
        <v>68</v>
      </c>
      <c r="E40" s="82" t="s">
        <v>69</v>
      </c>
      <c r="F40" s="82" t="s">
        <v>70</v>
      </c>
      <c r="G40" s="85"/>
      <c r="H40" s="84"/>
      <c r="I40" s="84"/>
      <c r="J40" s="84"/>
      <c r="K40" s="122">
        <v>7.66</v>
      </c>
      <c r="L40" s="86">
        <v>175</v>
      </c>
      <c r="M40" s="85"/>
      <c r="N40" s="86"/>
      <c r="O40" s="85"/>
      <c r="P40" s="86"/>
      <c r="Q40" s="123">
        <v>3.27</v>
      </c>
      <c r="R40" s="86">
        <v>72</v>
      </c>
      <c r="S40" s="88"/>
      <c r="T40" s="88"/>
      <c r="U40" s="87">
        <v>13.79</v>
      </c>
      <c r="V40" s="89">
        <v>308</v>
      </c>
      <c r="W40" s="90">
        <v>45981</v>
      </c>
      <c r="Y40" s="91">
        <f t="shared" si="0"/>
        <v>0</v>
      </c>
      <c r="Z40" s="91">
        <f t="shared" si="2"/>
        <v>0</v>
      </c>
      <c r="AA40" s="132">
        <f t="shared" si="1"/>
        <v>247</v>
      </c>
      <c r="AB40" s="128" t="s">
        <v>27</v>
      </c>
      <c r="AD40" s="221"/>
      <c r="AE40" s="82"/>
      <c r="AF40" s="221"/>
      <c r="AG40" s="232"/>
      <c r="AI40" s="82"/>
      <c r="AJ40" s="82"/>
      <c r="AK40" s="82"/>
      <c r="AL40" s="82"/>
    </row>
    <row r="41" spans="1:38" s="20" customFormat="1">
      <c r="A41" s="277" t="s">
        <v>73</v>
      </c>
      <c r="B41" s="214" t="s">
        <v>236</v>
      </c>
      <c r="C41" s="34">
        <v>32835</v>
      </c>
      <c r="D41" s="35" t="s">
        <v>31</v>
      </c>
      <c r="E41" s="281" t="s">
        <v>71</v>
      </c>
      <c r="F41" s="281" t="s">
        <v>14</v>
      </c>
      <c r="G41" s="5"/>
      <c r="H41" s="22"/>
      <c r="I41" s="37"/>
      <c r="J41" s="37"/>
      <c r="K41" s="116">
        <v>145.08000000000001</v>
      </c>
      <c r="L41" s="37">
        <v>61872</v>
      </c>
      <c r="M41" s="5"/>
      <c r="N41" s="22"/>
      <c r="O41" s="5"/>
      <c r="P41" s="37"/>
      <c r="Q41" s="112">
        <v>24.71</v>
      </c>
      <c r="R41" s="37">
        <v>8759</v>
      </c>
      <c r="S41" s="39"/>
      <c r="T41" s="39"/>
      <c r="U41" s="38">
        <v>69.23</v>
      </c>
      <c r="V41" s="66">
        <v>24354</v>
      </c>
      <c r="W41" s="253">
        <v>45945</v>
      </c>
      <c r="Y41" s="31">
        <f t="shared" si="0"/>
        <v>0</v>
      </c>
      <c r="Z41" s="31">
        <f t="shared" si="2"/>
        <v>0</v>
      </c>
      <c r="AA41" s="110">
        <f t="shared" si="1"/>
        <v>70631</v>
      </c>
      <c r="AB41" s="32" t="s">
        <v>27</v>
      </c>
      <c r="AD41" s="218"/>
      <c r="AE41" s="58"/>
      <c r="AF41" s="218"/>
      <c r="AG41" s="229"/>
      <c r="AI41" s="58"/>
      <c r="AJ41" s="58"/>
      <c r="AK41" s="58"/>
      <c r="AL41" s="58"/>
    </row>
    <row r="42" spans="1:38" s="20" customFormat="1" ht="15.75" customHeight="1" thickBot="1">
      <c r="A42" s="278"/>
      <c r="B42" s="45" t="s">
        <v>160</v>
      </c>
      <c r="C42" s="46" t="s">
        <v>97</v>
      </c>
      <c r="D42" s="47" t="s">
        <v>119</v>
      </c>
      <c r="E42" s="283"/>
      <c r="F42" s="283"/>
      <c r="G42" s="49"/>
      <c r="H42" s="67"/>
      <c r="I42" s="67"/>
      <c r="J42" s="67"/>
      <c r="K42" s="108">
        <v>12.72</v>
      </c>
      <c r="L42" s="50">
        <v>381</v>
      </c>
      <c r="M42" s="51"/>
      <c r="N42" s="50"/>
      <c r="O42" s="51"/>
      <c r="P42" s="50"/>
      <c r="Q42" s="109">
        <v>17.440000000000001</v>
      </c>
      <c r="R42" s="50">
        <v>7438</v>
      </c>
      <c r="S42" s="52"/>
      <c r="T42" s="52"/>
      <c r="U42" s="51">
        <v>36.89</v>
      </c>
      <c r="V42" s="68">
        <v>956</v>
      </c>
      <c r="W42" s="254"/>
      <c r="Y42" s="55">
        <f t="shared" si="0"/>
        <v>0</v>
      </c>
      <c r="Z42" s="55">
        <f t="shared" si="2"/>
        <v>0</v>
      </c>
      <c r="AA42" s="129">
        <f t="shared" si="1"/>
        <v>7819</v>
      </c>
      <c r="AB42" s="56" t="s">
        <v>27</v>
      </c>
      <c r="AD42" s="220"/>
      <c r="AE42" s="59"/>
      <c r="AF42" s="220"/>
      <c r="AG42" s="231"/>
      <c r="AI42" s="59"/>
      <c r="AJ42" s="59"/>
      <c r="AK42" s="59"/>
      <c r="AL42" s="59"/>
    </row>
    <row r="43" spans="1:38" s="20" customFormat="1">
      <c r="A43" s="275" t="s">
        <v>72</v>
      </c>
      <c r="B43" s="142" t="s">
        <v>161</v>
      </c>
      <c r="C43" s="141" t="s">
        <v>97</v>
      </c>
      <c r="D43" s="35" t="s">
        <v>31</v>
      </c>
      <c r="E43" s="296" t="s">
        <v>74</v>
      </c>
      <c r="F43" s="296" t="s">
        <v>15</v>
      </c>
      <c r="G43" s="36"/>
      <c r="H43" s="42"/>
      <c r="I43" s="42"/>
      <c r="J43" s="42"/>
      <c r="K43" s="116">
        <v>1598.32</v>
      </c>
      <c r="L43" s="37">
        <v>38346</v>
      </c>
      <c r="M43" s="38"/>
      <c r="N43" s="37"/>
      <c r="O43" s="38"/>
      <c r="P43" s="37"/>
      <c r="Q43" s="112">
        <v>231.75</v>
      </c>
      <c r="R43" s="37">
        <v>5560</v>
      </c>
      <c r="S43" s="39"/>
      <c r="T43" s="39"/>
      <c r="U43" s="38">
        <v>478.41</v>
      </c>
      <c r="V43" s="66">
        <v>11478</v>
      </c>
      <c r="W43" s="258">
        <v>45851</v>
      </c>
      <c r="Y43" s="31">
        <f t="shared" si="0"/>
        <v>0</v>
      </c>
      <c r="Z43" s="31">
        <f t="shared" si="2"/>
        <v>0</v>
      </c>
      <c r="AA43" s="110">
        <f t="shared" si="1"/>
        <v>43906</v>
      </c>
      <c r="AB43" s="32" t="s">
        <v>27</v>
      </c>
      <c r="AD43" s="218"/>
      <c r="AE43" s="58"/>
      <c r="AF43" s="218"/>
      <c r="AG43" s="229"/>
      <c r="AI43" s="58"/>
      <c r="AJ43" s="58"/>
      <c r="AK43" s="58"/>
      <c r="AL43" s="58"/>
    </row>
    <row r="44" spans="1:38" s="20" customFormat="1" ht="15" customHeight="1">
      <c r="A44" s="279"/>
      <c r="B44" s="6" t="s">
        <v>161</v>
      </c>
      <c r="C44" s="13" t="s">
        <v>97</v>
      </c>
      <c r="D44" s="12" t="s">
        <v>25</v>
      </c>
      <c r="E44" s="298"/>
      <c r="F44" s="298"/>
      <c r="G44" s="7"/>
      <c r="H44" s="25"/>
      <c r="I44" s="25"/>
      <c r="J44" s="25"/>
      <c r="K44" s="106">
        <v>30.49</v>
      </c>
      <c r="L44" s="22">
        <v>440</v>
      </c>
      <c r="M44" s="5"/>
      <c r="N44" s="22"/>
      <c r="O44" s="5"/>
      <c r="P44" s="22"/>
      <c r="Q44" s="107">
        <v>15.61</v>
      </c>
      <c r="R44" s="22">
        <v>225</v>
      </c>
      <c r="S44" s="27"/>
      <c r="T44" s="27"/>
      <c r="U44" s="5">
        <v>45.29</v>
      </c>
      <c r="V44" s="63">
        <v>654</v>
      </c>
      <c r="W44" s="259"/>
      <c r="Y44" s="103">
        <f t="shared" si="0"/>
        <v>0</v>
      </c>
      <c r="Z44" s="31">
        <f t="shared" si="2"/>
        <v>0</v>
      </c>
      <c r="AA44" s="110">
        <f t="shared" si="1"/>
        <v>665</v>
      </c>
      <c r="AB44" s="127" t="s">
        <v>27</v>
      </c>
      <c r="AD44" s="219"/>
      <c r="AE44" s="4"/>
      <c r="AF44" s="219"/>
      <c r="AG44" s="230"/>
      <c r="AI44" s="4"/>
      <c r="AJ44" s="4"/>
      <c r="AK44" s="4"/>
      <c r="AL44" s="4"/>
    </row>
    <row r="45" spans="1:38" s="20" customFormat="1" ht="15.75" customHeight="1" thickBot="1">
      <c r="A45" s="276"/>
      <c r="B45" s="93" t="s">
        <v>149</v>
      </c>
      <c r="C45" s="138" t="s">
        <v>97</v>
      </c>
      <c r="D45" s="47" t="s">
        <v>25</v>
      </c>
      <c r="E45" s="297"/>
      <c r="F45" s="297"/>
      <c r="G45" s="49"/>
      <c r="H45" s="67"/>
      <c r="I45" s="67"/>
      <c r="J45" s="67"/>
      <c r="K45" s="108">
        <v>18367.8</v>
      </c>
      <c r="L45" s="50">
        <v>218229</v>
      </c>
      <c r="M45" s="51"/>
      <c r="N45" s="50"/>
      <c r="O45" s="51"/>
      <c r="P45" s="50"/>
      <c r="Q45" s="109">
        <v>2560.3000000000002</v>
      </c>
      <c r="R45" s="50">
        <v>30419</v>
      </c>
      <c r="S45" s="52"/>
      <c r="T45" s="52"/>
      <c r="U45" s="51">
        <v>6843.9</v>
      </c>
      <c r="V45" s="68">
        <v>81313</v>
      </c>
      <c r="W45" s="260"/>
      <c r="Y45" s="55">
        <f t="shared" si="0"/>
        <v>0</v>
      </c>
      <c r="Z45" s="55">
        <f t="shared" si="2"/>
        <v>0</v>
      </c>
      <c r="AA45" s="129">
        <f t="shared" si="1"/>
        <v>248648</v>
      </c>
      <c r="AB45" s="56" t="s">
        <v>27</v>
      </c>
      <c r="AD45" s="220"/>
      <c r="AE45" s="59"/>
      <c r="AF45" s="220"/>
      <c r="AG45" s="231"/>
      <c r="AI45" s="59"/>
      <c r="AJ45" s="59"/>
      <c r="AK45" s="59"/>
      <c r="AL45" s="59"/>
    </row>
    <row r="46" spans="1:38" s="20" customFormat="1">
      <c r="A46" s="277" t="s">
        <v>75</v>
      </c>
      <c r="B46" s="142" t="s">
        <v>161</v>
      </c>
      <c r="C46" s="141" t="s">
        <v>97</v>
      </c>
      <c r="D46" s="35" t="s">
        <v>76</v>
      </c>
      <c r="E46" s="58" t="s">
        <v>77</v>
      </c>
      <c r="F46" s="281" t="s">
        <v>15</v>
      </c>
      <c r="G46" s="36"/>
      <c r="H46" s="42"/>
      <c r="I46" s="42"/>
      <c r="J46" s="42"/>
      <c r="K46" s="116">
        <v>3314.63</v>
      </c>
      <c r="L46" s="37">
        <v>47876</v>
      </c>
      <c r="M46" s="38"/>
      <c r="N46" s="37"/>
      <c r="O46" s="38"/>
      <c r="P46" s="37"/>
      <c r="Q46" s="112">
        <v>479.25</v>
      </c>
      <c r="R46" s="37">
        <v>6719</v>
      </c>
      <c r="S46" s="39"/>
      <c r="T46" s="39"/>
      <c r="U46" s="38">
        <v>1261.82</v>
      </c>
      <c r="V46" s="66">
        <v>17692</v>
      </c>
      <c r="W46" s="253">
        <v>45859</v>
      </c>
      <c r="Y46" s="31">
        <f t="shared" si="0"/>
        <v>0</v>
      </c>
      <c r="Z46" s="31">
        <f t="shared" si="2"/>
        <v>0</v>
      </c>
      <c r="AA46" s="110">
        <f t="shared" si="1"/>
        <v>54595</v>
      </c>
      <c r="AB46" s="32" t="s">
        <v>27</v>
      </c>
      <c r="AD46" s="218"/>
      <c r="AE46" s="58"/>
      <c r="AF46" s="218"/>
      <c r="AG46" s="229"/>
      <c r="AI46" s="58"/>
      <c r="AJ46" s="58"/>
      <c r="AK46" s="58"/>
      <c r="AL46" s="58"/>
    </row>
    <row r="47" spans="1:38" s="20" customFormat="1" ht="15" customHeight="1">
      <c r="A47" s="280"/>
      <c r="B47" s="6" t="s">
        <v>161</v>
      </c>
      <c r="C47" s="13" t="s">
        <v>97</v>
      </c>
      <c r="D47" s="35" t="s">
        <v>76</v>
      </c>
      <c r="E47" s="58" t="s">
        <v>77</v>
      </c>
      <c r="F47" s="282"/>
      <c r="G47" s="7"/>
      <c r="H47" s="25"/>
      <c r="I47" s="25"/>
      <c r="J47" s="25"/>
      <c r="K47" s="106">
        <v>3118.22</v>
      </c>
      <c r="L47" s="22">
        <v>41370</v>
      </c>
      <c r="M47" s="5"/>
      <c r="N47" s="22"/>
      <c r="O47" s="5"/>
      <c r="P47" s="22"/>
      <c r="Q47" s="107">
        <v>452.06</v>
      </c>
      <c r="R47" s="22">
        <v>5997</v>
      </c>
      <c r="S47" s="27"/>
      <c r="T47" s="27"/>
      <c r="U47" s="5">
        <v>1189.5</v>
      </c>
      <c r="V47" s="63">
        <v>14781</v>
      </c>
      <c r="W47" s="255"/>
      <c r="Y47" s="103">
        <f t="shared" si="0"/>
        <v>0</v>
      </c>
      <c r="Z47" s="31">
        <f t="shared" si="2"/>
        <v>0</v>
      </c>
      <c r="AA47" s="110">
        <f t="shared" si="1"/>
        <v>47367</v>
      </c>
      <c r="AB47" s="127" t="s">
        <v>27</v>
      </c>
      <c r="AD47" s="219"/>
      <c r="AE47" s="4"/>
      <c r="AF47" s="219"/>
      <c r="AG47" s="230"/>
      <c r="AI47" s="4"/>
      <c r="AJ47" s="4"/>
      <c r="AK47" s="4"/>
      <c r="AL47" s="4"/>
    </row>
    <row r="48" spans="1:38" s="20" customFormat="1" ht="15.75" customHeight="1" thickBot="1">
      <c r="A48" s="278"/>
      <c r="B48" s="93" t="s">
        <v>161</v>
      </c>
      <c r="C48" s="138" t="s">
        <v>97</v>
      </c>
      <c r="D48" s="47" t="s">
        <v>76</v>
      </c>
      <c r="E48" s="59" t="s">
        <v>78</v>
      </c>
      <c r="F48" s="283"/>
      <c r="G48" s="49"/>
      <c r="H48" s="67"/>
      <c r="I48" s="67"/>
      <c r="J48" s="67"/>
      <c r="K48" s="108">
        <v>9028.86</v>
      </c>
      <c r="L48" s="50">
        <v>81463</v>
      </c>
      <c r="M48" s="51"/>
      <c r="N48" s="50"/>
      <c r="O48" s="51"/>
      <c r="P48" s="50"/>
      <c r="Q48" s="109">
        <v>1256.3900000000001</v>
      </c>
      <c r="R48" s="50">
        <v>11336</v>
      </c>
      <c r="S48" s="52"/>
      <c r="T48" s="52"/>
      <c r="U48" s="51">
        <v>3395.52</v>
      </c>
      <c r="V48" s="68">
        <v>30636</v>
      </c>
      <c r="W48" s="254"/>
      <c r="Y48" s="55">
        <f t="shared" si="0"/>
        <v>0</v>
      </c>
      <c r="Z48" s="55">
        <f t="shared" si="2"/>
        <v>0</v>
      </c>
      <c r="AA48" s="129">
        <f t="shared" si="1"/>
        <v>92799</v>
      </c>
      <c r="AB48" s="56" t="s">
        <v>27</v>
      </c>
      <c r="AD48" s="220"/>
      <c r="AE48" s="59"/>
      <c r="AF48" s="220"/>
      <c r="AG48" s="231"/>
      <c r="AI48" s="59"/>
      <c r="AJ48" s="59"/>
      <c r="AK48" s="59"/>
      <c r="AL48" s="59"/>
    </row>
    <row r="49" spans="1:38" s="20" customFormat="1" ht="13.5" thickBot="1">
      <c r="A49" s="93" t="s">
        <v>79</v>
      </c>
      <c r="B49" s="79" t="s">
        <v>160</v>
      </c>
      <c r="C49" s="46" t="s">
        <v>97</v>
      </c>
      <c r="D49" s="94" t="s">
        <v>25</v>
      </c>
      <c r="E49" s="95" t="s">
        <v>80</v>
      </c>
      <c r="F49" s="95" t="s">
        <v>63</v>
      </c>
      <c r="G49" s="96">
        <v>910</v>
      </c>
      <c r="H49" s="124"/>
      <c r="I49" s="124"/>
      <c r="J49" s="124"/>
      <c r="K49" s="125">
        <v>1913.35</v>
      </c>
      <c r="L49" s="97">
        <v>13439</v>
      </c>
      <c r="M49" s="98">
        <v>126.01</v>
      </c>
      <c r="N49" s="124"/>
      <c r="O49" s="98"/>
      <c r="P49" s="124"/>
      <c r="Q49" s="126">
        <v>408.09</v>
      </c>
      <c r="R49" s="97">
        <v>2866</v>
      </c>
      <c r="S49" s="99"/>
      <c r="T49" s="99"/>
      <c r="U49" s="98">
        <v>749.13</v>
      </c>
      <c r="V49" s="100">
        <v>5262</v>
      </c>
      <c r="W49" s="102">
        <v>45861</v>
      </c>
      <c r="Y49" s="91">
        <f t="shared" si="0"/>
        <v>0</v>
      </c>
      <c r="Z49" s="91">
        <f t="shared" si="2"/>
        <v>0</v>
      </c>
      <c r="AA49" s="132">
        <f t="shared" si="1"/>
        <v>16305</v>
      </c>
      <c r="AB49" s="92" t="s">
        <v>27</v>
      </c>
      <c r="AD49" s="222"/>
      <c r="AE49" s="95"/>
      <c r="AF49" s="222"/>
      <c r="AG49" s="233"/>
      <c r="AI49" s="95"/>
      <c r="AJ49" s="95"/>
      <c r="AK49" s="95"/>
      <c r="AL49" s="95"/>
    </row>
    <row r="50" spans="1:38" s="20" customFormat="1" ht="13.5" thickBot="1">
      <c r="A50" s="79" t="s">
        <v>81</v>
      </c>
      <c r="B50" s="79" t="s">
        <v>160</v>
      </c>
      <c r="C50" s="46" t="s">
        <v>97</v>
      </c>
      <c r="D50" s="81" t="s">
        <v>83</v>
      </c>
      <c r="E50" s="82" t="s">
        <v>82</v>
      </c>
      <c r="F50" s="82" t="s">
        <v>14</v>
      </c>
      <c r="G50" s="85"/>
      <c r="H50" s="84"/>
      <c r="I50" s="83">
        <v>585</v>
      </c>
      <c r="J50" s="84">
        <v>4362</v>
      </c>
      <c r="K50" s="122">
        <v>650</v>
      </c>
      <c r="L50" s="86">
        <v>3958</v>
      </c>
      <c r="M50" s="87"/>
      <c r="N50" s="86"/>
      <c r="O50" s="101">
        <v>71.5</v>
      </c>
      <c r="P50" s="86">
        <v>533</v>
      </c>
      <c r="Q50" s="123">
        <f>158.3-M50</f>
        <v>158.30000000000001</v>
      </c>
      <c r="R50" s="86">
        <f>963-N50</f>
        <v>963</v>
      </c>
      <c r="S50" s="88"/>
      <c r="T50" s="88"/>
      <c r="U50" s="87">
        <v>485.6</v>
      </c>
      <c r="V50" s="89">
        <v>2956</v>
      </c>
      <c r="W50" s="90">
        <v>45861</v>
      </c>
      <c r="Y50" s="91">
        <f t="shared" si="0"/>
        <v>0</v>
      </c>
      <c r="Z50" s="133">
        <f t="shared" si="2"/>
        <v>4895</v>
      </c>
      <c r="AA50" s="132">
        <f t="shared" si="1"/>
        <v>4921</v>
      </c>
      <c r="AB50" s="92" t="s">
        <v>135</v>
      </c>
      <c r="AD50" s="221"/>
      <c r="AE50" s="82"/>
      <c r="AF50" s="221"/>
      <c r="AG50" s="232"/>
      <c r="AI50" s="82"/>
      <c r="AJ50" s="82"/>
      <c r="AK50" s="82"/>
      <c r="AL50" s="82"/>
    </row>
    <row r="51" spans="1:38" s="20" customFormat="1">
      <c r="A51" s="275" t="s">
        <v>84</v>
      </c>
      <c r="B51" s="214" t="s">
        <v>155</v>
      </c>
      <c r="C51" s="34">
        <v>31623</v>
      </c>
      <c r="D51" s="35" t="s">
        <v>31</v>
      </c>
      <c r="E51" s="299" t="s">
        <v>86</v>
      </c>
      <c r="F51" s="296" t="s">
        <v>88</v>
      </c>
      <c r="G51" s="36"/>
      <c r="H51" s="42"/>
      <c r="I51" s="36"/>
      <c r="J51" s="42"/>
      <c r="K51" s="116">
        <v>62.95</v>
      </c>
      <c r="L51" s="37">
        <v>53422</v>
      </c>
      <c r="M51" s="38"/>
      <c r="N51" s="37"/>
      <c r="O51" s="38"/>
      <c r="P51" s="37"/>
      <c r="Q51" s="112">
        <v>8.94</v>
      </c>
      <c r="R51" s="37">
        <v>7586</v>
      </c>
      <c r="S51" s="39"/>
      <c r="T51" s="39"/>
      <c r="U51" s="38">
        <v>17.149999999999999</v>
      </c>
      <c r="V51" s="66">
        <v>14558</v>
      </c>
      <c r="W51" s="261">
        <v>46234</v>
      </c>
      <c r="Y51" s="31">
        <f t="shared" si="0"/>
        <v>0</v>
      </c>
      <c r="Z51" s="31">
        <f t="shared" si="2"/>
        <v>0</v>
      </c>
      <c r="AA51" s="110">
        <f t="shared" si="1"/>
        <v>61008</v>
      </c>
      <c r="AB51" s="32" t="s">
        <v>27</v>
      </c>
      <c r="AD51" s="218"/>
      <c r="AE51" s="58"/>
      <c r="AF51" s="218"/>
      <c r="AG51" s="229"/>
      <c r="AI51" s="58"/>
      <c r="AJ51" s="58"/>
      <c r="AK51" s="58"/>
      <c r="AL51" s="58"/>
    </row>
    <row r="52" spans="1:38" s="20" customFormat="1" ht="15" customHeight="1">
      <c r="A52" s="279"/>
      <c r="B52" s="214" t="s">
        <v>156</v>
      </c>
      <c r="C52" s="13">
        <v>31644</v>
      </c>
      <c r="D52" s="12" t="s">
        <v>33</v>
      </c>
      <c r="E52" s="300"/>
      <c r="F52" s="298"/>
      <c r="G52" s="7"/>
      <c r="H52" s="25"/>
      <c r="I52" s="7"/>
      <c r="J52" s="25"/>
      <c r="K52" s="106">
        <v>109.07</v>
      </c>
      <c r="L52" s="22">
        <v>90958</v>
      </c>
      <c r="M52" s="5"/>
      <c r="N52" s="22"/>
      <c r="O52" s="5"/>
      <c r="P52" s="22"/>
      <c r="Q52" s="107">
        <v>17.68</v>
      </c>
      <c r="R52" s="22">
        <v>14748</v>
      </c>
      <c r="S52" s="27"/>
      <c r="T52" s="27"/>
      <c r="U52" s="5">
        <v>27.59</v>
      </c>
      <c r="V52" s="63">
        <v>23012</v>
      </c>
      <c r="W52" s="262"/>
      <c r="Y52" s="103">
        <f t="shared" si="0"/>
        <v>0</v>
      </c>
      <c r="Z52" s="31">
        <f t="shared" si="2"/>
        <v>0</v>
      </c>
      <c r="AA52" s="110">
        <f t="shared" si="1"/>
        <v>105706</v>
      </c>
      <c r="AB52" s="127" t="s">
        <v>27</v>
      </c>
      <c r="AD52" s="219"/>
      <c r="AE52" s="4"/>
      <c r="AF52" s="219"/>
      <c r="AG52" s="230"/>
      <c r="AI52" s="4"/>
      <c r="AJ52" s="4"/>
      <c r="AK52" s="4"/>
      <c r="AL52" s="4"/>
    </row>
    <row r="53" spans="1:38" s="20" customFormat="1" ht="15" customHeight="1">
      <c r="A53" s="279"/>
      <c r="B53" s="214" t="s">
        <v>157</v>
      </c>
      <c r="C53" s="13">
        <v>32234</v>
      </c>
      <c r="D53" s="12" t="s">
        <v>31</v>
      </c>
      <c r="E53" s="300"/>
      <c r="F53" s="298"/>
      <c r="G53" s="7"/>
      <c r="H53" s="25"/>
      <c r="I53" s="7"/>
      <c r="J53" s="25"/>
      <c r="K53" s="106">
        <v>46.16</v>
      </c>
      <c r="L53" s="22">
        <v>27215</v>
      </c>
      <c r="M53" s="5"/>
      <c r="N53" s="22"/>
      <c r="O53" s="5"/>
      <c r="P53" s="22"/>
      <c r="Q53" s="107">
        <v>8.39</v>
      </c>
      <c r="R53" s="22">
        <v>4944</v>
      </c>
      <c r="S53" s="27"/>
      <c r="T53" s="27"/>
      <c r="U53" s="5">
        <v>16.690000000000001</v>
      </c>
      <c r="V53" s="63">
        <v>9840</v>
      </c>
      <c r="W53" s="262"/>
      <c r="Y53" s="103">
        <f t="shared" si="0"/>
        <v>0</v>
      </c>
      <c r="Z53" s="31">
        <f t="shared" si="2"/>
        <v>0</v>
      </c>
      <c r="AA53" s="110">
        <f t="shared" si="1"/>
        <v>32159</v>
      </c>
      <c r="AB53" s="127" t="s">
        <v>27</v>
      </c>
      <c r="AD53" s="219"/>
      <c r="AE53" s="4"/>
      <c r="AF53" s="219"/>
      <c r="AG53" s="230"/>
      <c r="AI53" s="4"/>
      <c r="AJ53" s="4"/>
      <c r="AK53" s="4"/>
      <c r="AL53" s="4"/>
    </row>
    <row r="54" spans="1:38" s="20" customFormat="1" ht="15" customHeight="1">
      <c r="A54" s="279"/>
      <c r="B54" s="214" t="s">
        <v>158</v>
      </c>
      <c r="C54" s="13">
        <v>32238</v>
      </c>
      <c r="D54" s="12" t="s">
        <v>33</v>
      </c>
      <c r="E54" s="301"/>
      <c r="F54" s="298"/>
      <c r="G54" s="7"/>
      <c r="H54" s="25"/>
      <c r="I54" s="7"/>
      <c r="J54" s="25"/>
      <c r="K54" s="106">
        <v>84.78</v>
      </c>
      <c r="L54" s="22">
        <v>49981</v>
      </c>
      <c r="M54" s="5"/>
      <c r="N54" s="22"/>
      <c r="O54" s="5"/>
      <c r="P54" s="22"/>
      <c r="Q54" s="107">
        <v>16.71</v>
      </c>
      <c r="R54" s="22">
        <v>9849</v>
      </c>
      <c r="S54" s="27"/>
      <c r="T54" s="27"/>
      <c r="U54" s="5">
        <v>28.65</v>
      </c>
      <c r="V54" s="63">
        <v>16891</v>
      </c>
      <c r="W54" s="262"/>
      <c r="Y54" s="103">
        <f t="shared" si="0"/>
        <v>0</v>
      </c>
      <c r="Z54" s="31">
        <f t="shared" si="2"/>
        <v>0</v>
      </c>
      <c r="AA54" s="110">
        <f t="shared" si="1"/>
        <v>59830</v>
      </c>
      <c r="AB54" s="127" t="s">
        <v>27</v>
      </c>
      <c r="AD54" s="219"/>
      <c r="AE54" s="4"/>
      <c r="AF54" s="219"/>
      <c r="AG54" s="230"/>
      <c r="AI54" s="4"/>
      <c r="AJ54" s="4"/>
      <c r="AK54" s="4"/>
      <c r="AL54" s="4"/>
    </row>
    <row r="55" spans="1:38" s="20" customFormat="1" ht="15" customHeight="1">
      <c r="A55" s="279"/>
      <c r="B55" s="214" t="s">
        <v>159</v>
      </c>
      <c r="C55" s="13">
        <v>34668</v>
      </c>
      <c r="D55" s="35" t="s">
        <v>85</v>
      </c>
      <c r="E55" s="4" t="s">
        <v>87</v>
      </c>
      <c r="F55" s="298"/>
      <c r="G55" s="7"/>
      <c r="H55" s="25"/>
      <c r="I55" s="7"/>
      <c r="J55" s="25"/>
      <c r="K55" s="106">
        <v>629.66999999999996</v>
      </c>
      <c r="L55" s="22">
        <v>53125</v>
      </c>
      <c r="M55" s="5"/>
      <c r="N55" s="22"/>
      <c r="O55" s="5"/>
      <c r="P55" s="22"/>
      <c r="Q55" s="107">
        <v>87.12</v>
      </c>
      <c r="R55" s="22">
        <v>7723</v>
      </c>
      <c r="S55" s="27"/>
      <c r="T55" s="27"/>
      <c r="U55" s="5">
        <v>187.31</v>
      </c>
      <c r="V55" s="63">
        <v>16375</v>
      </c>
      <c r="W55" s="262"/>
      <c r="Y55" s="103">
        <f t="shared" si="0"/>
        <v>0</v>
      </c>
      <c r="Z55" s="31">
        <f t="shared" si="2"/>
        <v>0</v>
      </c>
      <c r="AA55" s="110">
        <f t="shared" si="1"/>
        <v>60848</v>
      </c>
      <c r="AB55" s="127" t="s">
        <v>27</v>
      </c>
      <c r="AD55" s="219"/>
      <c r="AE55" s="4"/>
      <c r="AF55" s="219"/>
      <c r="AG55" s="230"/>
      <c r="AI55" s="4"/>
      <c r="AJ55" s="4"/>
      <c r="AK55" s="4"/>
      <c r="AL55" s="4"/>
    </row>
    <row r="56" spans="1:38" s="20" customFormat="1" ht="15.75" customHeight="1" thickBot="1">
      <c r="A56" s="276"/>
      <c r="B56" s="45" t="s">
        <v>96</v>
      </c>
      <c r="C56" s="46" t="s">
        <v>97</v>
      </c>
      <c r="D56" s="47" t="s">
        <v>120</v>
      </c>
      <c r="E56" s="59" t="s">
        <v>86</v>
      </c>
      <c r="F56" s="297"/>
      <c r="G56" s="49"/>
      <c r="H56" s="67"/>
      <c r="I56" s="65">
        <v>62.95</v>
      </c>
      <c r="J56" s="67">
        <v>53735</v>
      </c>
      <c r="K56" s="108">
        <v>14.44</v>
      </c>
      <c r="L56" s="50">
        <f>216+H56</f>
        <v>216</v>
      </c>
      <c r="M56" s="51"/>
      <c r="N56" s="50"/>
      <c r="O56" s="78">
        <v>8.94</v>
      </c>
      <c r="P56" s="50">
        <v>7631</v>
      </c>
      <c r="Q56" s="109">
        <v>19.87</v>
      </c>
      <c r="R56" s="50">
        <f>297+N56</f>
        <v>297</v>
      </c>
      <c r="S56" s="52"/>
      <c r="T56" s="52"/>
      <c r="U56" s="51">
        <v>43.97</v>
      </c>
      <c r="V56" s="68">
        <v>657</v>
      </c>
      <c r="W56" s="263"/>
      <c r="X56" s="105"/>
      <c r="Y56" s="55">
        <f t="shared" si="0"/>
        <v>0</v>
      </c>
      <c r="Z56" s="118">
        <f t="shared" si="2"/>
        <v>61366</v>
      </c>
      <c r="AA56" s="129">
        <f t="shared" si="1"/>
        <v>513</v>
      </c>
      <c r="AB56" s="56" t="s">
        <v>27</v>
      </c>
      <c r="AD56" s="220"/>
      <c r="AE56" s="59"/>
      <c r="AF56" s="220"/>
      <c r="AG56" s="231"/>
      <c r="AI56" s="59"/>
      <c r="AJ56" s="59"/>
      <c r="AK56" s="59"/>
      <c r="AL56" s="59"/>
    </row>
    <row r="57" spans="1:38" s="20" customFormat="1">
      <c r="A57" s="277" t="s">
        <v>89</v>
      </c>
      <c r="B57" s="214" t="s">
        <v>233</v>
      </c>
      <c r="C57" s="34">
        <v>32119</v>
      </c>
      <c r="D57" s="35" t="s">
        <v>54</v>
      </c>
      <c r="E57" s="281" t="s">
        <v>90</v>
      </c>
      <c r="F57" s="281" t="s">
        <v>70</v>
      </c>
      <c r="G57" s="5"/>
      <c r="H57" s="5"/>
      <c r="I57" s="5"/>
      <c r="J57" s="37"/>
      <c r="K57" s="116">
        <v>470.17</v>
      </c>
      <c r="L57" s="37">
        <f>248341-H59</f>
        <v>248341</v>
      </c>
      <c r="M57" s="5"/>
      <c r="N57" s="5"/>
      <c r="O57" s="5"/>
      <c r="P57" s="38"/>
      <c r="Q57" s="112">
        <f>75.58-M59</f>
        <v>75.58</v>
      </c>
      <c r="R57" s="37">
        <f>39919-N59</f>
        <v>39919</v>
      </c>
      <c r="S57" s="39"/>
      <c r="T57" s="39"/>
      <c r="U57" s="38">
        <v>140.16</v>
      </c>
      <c r="V57" s="66">
        <v>74031</v>
      </c>
      <c r="W57" s="253">
        <v>45974</v>
      </c>
      <c r="Y57" s="31">
        <f t="shared" si="0"/>
        <v>0</v>
      </c>
      <c r="Z57" s="31">
        <f t="shared" si="2"/>
        <v>0</v>
      </c>
      <c r="AA57" s="110">
        <f t="shared" si="1"/>
        <v>288260</v>
      </c>
      <c r="AB57" s="32" t="s">
        <v>27</v>
      </c>
      <c r="AD57" s="218"/>
      <c r="AE57" s="58"/>
      <c r="AF57" s="218"/>
      <c r="AG57" s="229"/>
      <c r="AI57" s="58"/>
      <c r="AJ57" s="58"/>
      <c r="AK57" s="58"/>
      <c r="AL57" s="58"/>
    </row>
    <row r="58" spans="1:38" s="20" customFormat="1" ht="15" customHeight="1">
      <c r="A58" s="280"/>
      <c r="B58" s="214" t="s">
        <v>233</v>
      </c>
      <c r="C58" s="13">
        <v>32470</v>
      </c>
      <c r="D58" s="35" t="s">
        <v>54</v>
      </c>
      <c r="E58" s="282"/>
      <c r="F58" s="282"/>
      <c r="G58" s="5"/>
      <c r="H58" s="5"/>
      <c r="I58" s="5"/>
      <c r="J58" s="22"/>
      <c r="K58" s="106">
        <v>67.66</v>
      </c>
      <c r="L58" s="22">
        <f>29530-H60</f>
        <v>29530</v>
      </c>
      <c r="M58" s="5"/>
      <c r="N58" s="5"/>
      <c r="O58" s="5"/>
      <c r="P58" s="5"/>
      <c r="Q58" s="107">
        <f>17.79-M60</f>
        <v>17.79</v>
      </c>
      <c r="R58" s="22">
        <f>7765-N60</f>
        <v>7765</v>
      </c>
      <c r="S58" s="27"/>
      <c r="T58" s="27"/>
      <c r="U58" s="5">
        <v>34.43</v>
      </c>
      <c r="V58" s="63">
        <v>15027</v>
      </c>
      <c r="W58" s="255"/>
      <c r="Y58" s="103">
        <f t="shared" si="0"/>
        <v>0</v>
      </c>
      <c r="Z58" s="31">
        <f t="shared" si="2"/>
        <v>0</v>
      </c>
      <c r="AA58" s="110">
        <f t="shared" si="1"/>
        <v>37295</v>
      </c>
      <c r="AB58" s="127" t="s">
        <v>27</v>
      </c>
      <c r="AD58" s="219"/>
      <c r="AE58" s="4"/>
      <c r="AF58" s="219"/>
      <c r="AG58" s="230"/>
      <c r="AI58" s="4"/>
      <c r="AJ58" s="4"/>
      <c r="AK58" s="4"/>
      <c r="AL58" s="4"/>
    </row>
    <row r="59" spans="1:38" s="20" customFormat="1" ht="15" customHeight="1">
      <c r="A59" s="280"/>
      <c r="B59" s="6" t="s">
        <v>96</v>
      </c>
      <c r="C59" s="13" t="s">
        <v>97</v>
      </c>
      <c r="D59" s="12" t="s">
        <v>126</v>
      </c>
      <c r="E59" s="282"/>
      <c r="F59" s="282"/>
      <c r="G59" s="7"/>
      <c r="H59" s="25"/>
      <c r="I59" s="70">
        <v>190.76</v>
      </c>
      <c r="J59" s="25">
        <v>121245</v>
      </c>
      <c r="K59" s="106">
        <v>1.44</v>
      </c>
      <c r="L59" s="22">
        <f>16+H59</f>
        <v>16</v>
      </c>
      <c r="M59" s="5"/>
      <c r="N59" s="22"/>
      <c r="O59" s="72">
        <v>26.72</v>
      </c>
      <c r="P59" s="22">
        <v>16983</v>
      </c>
      <c r="Q59" s="107">
        <v>9.9600000000000009</v>
      </c>
      <c r="R59" s="22">
        <f>109+N59</f>
        <v>109</v>
      </c>
      <c r="S59" s="27"/>
      <c r="T59" s="27"/>
      <c r="U59" s="5">
        <v>54.81</v>
      </c>
      <c r="V59" s="63">
        <v>599</v>
      </c>
      <c r="W59" s="255"/>
      <c r="X59" s="105"/>
      <c r="Y59" s="103">
        <f t="shared" si="0"/>
        <v>0</v>
      </c>
      <c r="Z59" s="117">
        <f t="shared" si="2"/>
        <v>138228</v>
      </c>
      <c r="AA59" s="110">
        <f t="shared" si="1"/>
        <v>125</v>
      </c>
      <c r="AB59" s="127" t="s">
        <v>27</v>
      </c>
      <c r="AD59" s="219"/>
      <c r="AE59" s="4"/>
      <c r="AF59" s="219"/>
      <c r="AG59" s="230"/>
      <c r="AI59" s="4"/>
      <c r="AJ59" s="4"/>
      <c r="AK59" s="4"/>
      <c r="AL59" s="4"/>
    </row>
    <row r="60" spans="1:38" s="20" customFormat="1" ht="15.75" customHeight="1" thickBot="1">
      <c r="A60" s="278"/>
      <c r="B60" s="93" t="s">
        <v>96</v>
      </c>
      <c r="C60" s="138" t="s">
        <v>97</v>
      </c>
      <c r="D60" s="47" t="s">
        <v>127</v>
      </c>
      <c r="E60" s="283"/>
      <c r="F60" s="283"/>
      <c r="G60" s="49"/>
      <c r="H60" s="67"/>
      <c r="I60" s="65">
        <v>26.71</v>
      </c>
      <c r="J60" s="67">
        <v>16977</v>
      </c>
      <c r="K60" s="108">
        <v>0.28999999999999998</v>
      </c>
      <c r="L60" s="50">
        <f>3+H60</f>
        <v>3</v>
      </c>
      <c r="M60" s="51"/>
      <c r="N60" s="50"/>
      <c r="O60" s="78">
        <v>6.74</v>
      </c>
      <c r="P60" s="50">
        <v>4284</v>
      </c>
      <c r="Q60" s="109">
        <v>9.8000000000000007</v>
      </c>
      <c r="R60" s="50">
        <f>108+N60</f>
        <v>108</v>
      </c>
      <c r="S60" s="52"/>
      <c r="T60" s="52"/>
      <c r="U60" s="51">
        <v>49.62</v>
      </c>
      <c r="V60" s="68">
        <v>543</v>
      </c>
      <c r="W60" s="254"/>
      <c r="X60" s="105"/>
      <c r="Y60" s="55">
        <f t="shared" si="0"/>
        <v>0</v>
      </c>
      <c r="Z60" s="118">
        <f t="shared" si="2"/>
        <v>21261</v>
      </c>
      <c r="AA60" s="129">
        <f t="shared" si="1"/>
        <v>111</v>
      </c>
      <c r="AB60" s="56" t="s">
        <v>27</v>
      </c>
      <c r="AD60" s="220"/>
      <c r="AE60" s="59"/>
      <c r="AF60" s="220"/>
      <c r="AG60" s="231"/>
      <c r="AI60" s="59"/>
      <c r="AJ60" s="59"/>
      <c r="AK60" s="59"/>
      <c r="AL60" s="59"/>
    </row>
    <row r="61" spans="1:38" s="20" customFormat="1">
      <c r="A61" s="275" t="s">
        <v>91</v>
      </c>
      <c r="B61" s="214" t="s">
        <v>154</v>
      </c>
      <c r="C61" s="34">
        <v>27158</v>
      </c>
      <c r="D61" s="35" t="s">
        <v>31</v>
      </c>
      <c r="E61" s="296" t="s">
        <v>92</v>
      </c>
      <c r="F61" s="296" t="s">
        <v>15</v>
      </c>
      <c r="G61" s="5"/>
      <c r="H61" s="5"/>
      <c r="I61" s="38"/>
      <c r="J61" s="37"/>
      <c r="K61" s="116">
        <v>124.09</v>
      </c>
      <c r="L61" s="37">
        <v>700527</v>
      </c>
      <c r="M61" s="5"/>
      <c r="N61" s="5"/>
      <c r="O61" s="5"/>
      <c r="P61" s="38"/>
      <c r="Q61" s="112">
        <v>17.989999999999998</v>
      </c>
      <c r="R61" s="37">
        <v>101551</v>
      </c>
      <c r="S61" s="39"/>
      <c r="T61" s="39"/>
      <c r="U61" s="38">
        <v>40.01</v>
      </c>
      <c r="V61" s="66">
        <v>225858</v>
      </c>
      <c r="W61" s="261">
        <v>45940</v>
      </c>
      <c r="Y61" s="31">
        <f t="shared" si="0"/>
        <v>0</v>
      </c>
      <c r="Z61" s="31">
        <f t="shared" si="2"/>
        <v>0</v>
      </c>
      <c r="AA61" s="110">
        <f t="shared" si="1"/>
        <v>802078</v>
      </c>
      <c r="AB61" s="32" t="s">
        <v>27</v>
      </c>
      <c r="AD61" s="218"/>
      <c r="AE61" s="58"/>
      <c r="AF61" s="218"/>
      <c r="AG61" s="229"/>
      <c r="AI61" s="58"/>
      <c r="AJ61" s="58"/>
      <c r="AK61" s="58"/>
      <c r="AL61" s="58"/>
    </row>
    <row r="62" spans="1:38" s="20" customFormat="1" ht="15.75" customHeight="1" thickBot="1">
      <c r="A62" s="276"/>
      <c r="B62" s="216" t="s">
        <v>153</v>
      </c>
      <c r="C62" s="46">
        <v>28292</v>
      </c>
      <c r="D62" s="47" t="s">
        <v>25</v>
      </c>
      <c r="E62" s="297"/>
      <c r="F62" s="297"/>
      <c r="G62" s="51"/>
      <c r="H62" s="51"/>
      <c r="I62" s="51"/>
      <c r="J62" s="50"/>
      <c r="K62" s="108">
        <v>0.85</v>
      </c>
      <c r="L62" s="50">
        <v>3312</v>
      </c>
      <c r="M62" s="51"/>
      <c r="N62" s="51"/>
      <c r="O62" s="51"/>
      <c r="P62" s="51"/>
      <c r="Q62" s="109">
        <v>2.4</v>
      </c>
      <c r="R62" s="50">
        <v>9372</v>
      </c>
      <c r="S62" s="52"/>
      <c r="T62" s="52"/>
      <c r="U62" s="51">
        <v>5.24</v>
      </c>
      <c r="V62" s="68">
        <v>20455</v>
      </c>
      <c r="W62" s="263"/>
      <c r="Y62" s="55">
        <f t="shared" si="0"/>
        <v>0</v>
      </c>
      <c r="Z62" s="55">
        <f t="shared" si="2"/>
        <v>0</v>
      </c>
      <c r="AA62" s="129">
        <f t="shared" si="1"/>
        <v>12684</v>
      </c>
      <c r="AB62" s="56" t="s">
        <v>27</v>
      </c>
      <c r="AD62" s="220"/>
      <c r="AE62" s="59"/>
      <c r="AF62" s="220"/>
      <c r="AG62" s="231"/>
      <c r="AI62" s="59"/>
      <c r="AJ62" s="59"/>
      <c r="AK62" s="59"/>
      <c r="AL62" s="59"/>
    </row>
    <row r="63" spans="1:38" s="20" customFormat="1">
      <c r="A63" s="277" t="s">
        <v>95</v>
      </c>
      <c r="B63" s="214" t="s">
        <v>233</v>
      </c>
      <c r="C63" s="34">
        <v>31885</v>
      </c>
      <c r="D63" s="35" t="s">
        <v>54</v>
      </c>
      <c r="E63" s="58" t="s">
        <v>94</v>
      </c>
      <c r="F63" s="281" t="s">
        <v>98</v>
      </c>
      <c r="G63" s="5"/>
      <c r="H63" s="5"/>
      <c r="I63" s="38"/>
      <c r="J63" s="37"/>
      <c r="K63" s="116">
        <v>218.14</v>
      </c>
      <c r="L63" s="37">
        <v>130094</v>
      </c>
      <c r="M63" s="5"/>
      <c r="N63" s="5"/>
      <c r="O63" s="5"/>
      <c r="P63" s="38"/>
      <c r="Q63" s="112">
        <f>53.92-M65</f>
        <v>53.92</v>
      </c>
      <c r="R63" s="37">
        <f>32158-N65</f>
        <v>32158</v>
      </c>
      <c r="S63" s="39"/>
      <c r="T63" s="39"/>
      <c r="U63" s="38">
        <v>104.23</v>
      </c>
      <c r="V63" s="66">
        <v>62161</v>
      </c>
      <c r="W63" s="253">
        <v>45974</v>
      </c>
      <c r="Y63" s="31">
        <f t="shared" si="0"/>
        <v>0</v>
      </c>
      <c r="Z63" s="31">
        <f t="shared" si="2"/>
        <v>0</v>
      </c>
      <c r="AA63" s="110">
        <f t="shared" si="1"/>
        <v>162252</v>
      </c>
      <c r="AB63" s="32" t="s">
        <v>27</v>
      </c>
      <c r="AD63" s="218"/>
      <c r="AE63" s="58"/>
      <c r="AF63" s="218"/>
      <c r="AG63" s="229"/>
      <c r="AI63" s="58"/>
      <c r="AJ63" s="58"/>
      <c r="AK63" s="58"/>
      <c r="AL63" s="58"/>
    </row>
    <row r="64" spans="1:38" s="20" customFormat="1" ht="15" customHeight="1">
      <c r="A64" s="280"/>
      <c r="B64" s="214" t="s">
        <v>233</v>
      </c>
      <c r="C64" s="13">
        <v>31885</v>
      </c>
      <c r="D64" s="35" t="s">
        <v>54</v>
      </c>
      <c r="E64" s="4" t="s">
        <v>93</v>
      </c>
      <c r="F64" s="282"/>
      <c r="G64" s="5"/>
      <c r="H64" s="5"/>
      <c r="I64" s="5"/>
      <c r="J64" s="22"/>
      <c r="K64" s="106">
        <v>218.14</v>
      </c>
      <c r="L64" s="22">
        <v>130094</v>
      </c>
      <c r="M64" s="5"/>
      <c r="N64" s="5"/>
      <c r="O64" s="5"/>
      <c r="P64" s="5"/>
      <c r="Q64" s="107">
        <v>35.92</v>
      </c>
      <c r="R64" s="22">
        <f>32158-N66</f>
        <v>32158</v>
      </c>
      <c r="S64" s="27"/>
      <c r="T64" s="27"/>
      <c r="U64" s="5">
        <v>102.91</v>
      </c>
      <c r="V64" s="63">
        <v>61374</v>
      </c>
      <c r="W64" s="255"/>
      <c r="Y64" s="103">
        <f t="shared" si="0"/>
        <v>0</v>
      </c>
      <c r="Z64" s="31">
        <f t="shared" si="2"/>
        <v>0</v>
      </c>
      <c r="AA64" s="110">
        <f t="shared" si="1"/>
        <v>162252</v>
      </c>
      <c r="AB64" s="127" t="s">
        <v>27</v>
      </c>
      <c r="AD64" s="219"/>
      <c r="AE64" s="4"/>
      <c r="AF64" s="219"/>
      <c r="AG64" s="230"/>
      <c r="AI64" s="4"/>
      <c r="AJ64" s="4"/>
      <c r="AK64" s="4"/>
      <c r="AL64" s="4"/>
    </row>
    <row r="65" spans="1:38" s="20" customFormat="1" ht="15" customHeight="1">
      <c r="A65" s="280"/>
      <c r="B65" s="6" t="s">
        <v>96</v>
      </c>
      <c r="C65" s="13" t="s">
        <v>97</v>
      </c>
      <c r="D65" s="12" t="s">
        <v>128</v>
      </c>
      <c r="E65" s="58" t="s">
        <v>94</v>
      </c>
      <c r="F65" s="282"/>
      <c r="G65" s="7"/>
      <c r="H65" s="25"/>
      <c r="I65" s="70">
        <v>125.9</v>
      </c>
      <c r="J65" s="25">
        <v>91934</v>
      </c>
      <c r="K65" s="106">
        <v>4.33</v>
      </c>
      <c r="L65" s="22">
        <f>41+H65</f>
        <v>41</v>
      </c>
      <c r="M65" s="5"/>
      <c r="N65" s="22"/>
      <c r="O65" s="72">
        <v>18</v>
      </c>
      <c r="P65" s="22">
        <v>13144</v>
      </c>
      <c r="Q65" s="107">
        <v>8.9600000000000009</v>
      </c>
      <c r="R65" s="22">
        <f>84+N65</f>
        <v>84</v>
      </c>
      <c r="S65" s="27"/>
      <c r="T65" s="27"/>
      <c r="U65" s="5">
        <v>52.94</v>
      </c>
      <c r="V65" s="63">
        <v>501</v>
      </c>
      <c r="W65" s="255"/>
      <c r="X65" s="105"/>
      <c r="Y65" s="103">
        <f t="shared" si="0"/>
        <v>0</v>
      </c>
      <c r="Z65" s="117">
        <f t="shared" si="2"/>
        <v>105078</v>
      </c>
      <c r="AA65" s="110">
        <f t="shared" si="1"/>
        <v>125</v>
      </c>
      <c r="AB65" s="127" t="s">
        <v>27</v>
      </c>
      <c r="AD65" s="219"/>
      <c r="AE65" s="4"/>
      <c r="AF65" s="219"/>
      <c r="AG65" s="230"/>
      <c r="AI65" s="4"/>
      <c r="AJ65" s="4"/>
      <c r="AK65" s="4"/>
      <c r="AL65" s="4"/>
    </row>
    <row r="66" spans="1:38" s="20" customFormat="1" ht="15.75" customHeight="1" thickBot="1">
      <c r="A66" s="278"/>
      <c r="B66" s="93" t="s">
        <v>96</v>
      </c>
      <c r="C66" s="138" t="s">
        <v>97</v>
      </c>
      <c r="D66" s="47" t="s">
        <v>25</v>
      </c>
      <c r="E66" s="59" t="s">
        <v>93</v>
      </c>
      <c r="F66" s="283"/>
      <c r="G66" s="7"/>
      <c r="H66" s="67"/>
      <c r="I66" s="70">
        <v>125.9</v>
      </c>
      <c r="J66" s="67">
        <v>91934</v>
      </c>
      <c r="K66" s="108">
        <v>4.33</v>
      </c>
      <c r="L66" s="50">
        <v>41</v>
      </c>
      <c r="M66" s="51"/>
      <c r="N66" s="50"/>
      <c r="O66" s="78">
        <v>18</v>
      </c>
      <c r="P66" s="50">
        <v>13144</v>
      </c>
      <c r="Q66" s="109">
        <v>8.9600000000000009</v>
      </c>
      <c r="R66" s="50">
        <v>84</v>
      </c>
      <c r="S66" s="52"/>
      <c r="T66" s="52"/>
      <c r="U66" s="51">
        <v>47.02</v>
      </c>
      <c r="V66" s="68">
        <v>445</v>
      </c>
      <c r="W66" s="254"/>
      <c r="Y66" s="55">
        <f t="shared" si="0"/>
        <v>0</v>
      </c>
      <c r="Z66" s="118">
        <f t="shared" si="2"/>
        <v>105078</v>
      </c>
      <c r="AA66" s="129">
        <f t="shared" si="1"/>
        <v>125</v>
      </c>
      <c r="AB66" s="56" t="s">
        <v>27</v>
      </c>
      <c r="AD66" s="223"/>
      <c r="AE66" s="169"/>
      <c r="AF66" s="223"/>
      <c r="AG66" s="234"/>
      <c r="AI66" s="169"/>
      <c r="AJ66" s="169"/>
      <c r="AK66" s="169"/>
      <c r="AL66" s="169"/>
    </row>
    <row r="67" spans="1:38" s="20" customFormat="1" ht="13.5" thickBot="1">
      <c r="A67" s="79" t="s">
        <v>99</v>
      </c>
      <c r="B67" s="79" t="s">
        <v>138</v>
      </c>
      <c r="C67" s="46" t="s">
        <v>97</v>
      </c>
      <c r="D67" s="81" t="s">
        <v>76</v>
      </c>
      <c r="E67" s="82" t="s">
        <v>100</v>
      </c>
      <c r="F67" s="82" t="s">
        <v>15</v>
      </c>
      <c r="G67" s="85">
        <v>534.12</v>
      </c>
      <c r="H67" s="88"/>
      <c r="I67" s="83">
        <v>534.12</v>
      </c>
      <c r="J67" s="86">
        <v>15396</v>
      </c>
      <c r="K67" s="122">
        <v>836.09</v>
      </c>
      <c r="L67" s="86">
        <v>20028</v>
      </c>
      <c r="M67" s="87">
        <v>34.369999999999997</v>
      </c>
      <c r="N67" s="88"/>
      <c r="O67" s="101">
        <v>34.369999999999997</v>
      </c>
      <c r="P67" s="98">
        <v>991</v>
      </c>
      <c r="Q67" s="126">
        <v>89.79</v>
      </c>
      <c r="R67" s="97">
        <v>2150</v>
      </c>
      <c r="S67" s="99"/>
      <c r="T67" s="99"/>
      <c r="U67" s="98">
        <v>535.23</v>
      </c>
      <c r="V67" s="100">
        <v>12821</v>
      </c>
      <c r="W67" s="102">
        <v>45861</v>
      </c>
      <c r="Y67" s="91">
        <f t="shared" si="0"/>
        <v>0</v>
      </c>
      <c r="Z67" s="133">
        <f t="shared" si="2"/>
        <v>16387</v>
      </c>
      <c r="AA67" s="132">
        <f t="shared" si="1"/>
        <v>22178</v>
      </c>
      <c r="AB67" s="92" t="s">
        <v>27</v>
      </c>
      <c r="AC67" s="105" t="s">
        <v>136</v>
      </c>
      <c r="AD67" s="221"/>
      <c r="AE67" s="82"/>
      <c r="AF67" s="221"/>
      <c r="AG67" s="232"/>
      <c r="AI67" s="82"/>
      <c r="AJ67" s="82"/>
      <c r="AK67" s="82"/>
      <c r="AL67" s="82"/>
    </row>
    <row r="68" spans="1:38" s="20" customFormat="1">
      <c r="A68" s="277" t="s">
        <v>101</v>
      </c>
      <c r="B68" s="214" t="s">
        <v>237</v>
      </c>
      <c r="C68" s="34">
        <v>33711</v>
      </c>
      <c r="D68" s="35" t="s">
        <v>54</v>
      </c>
      <c r="E68" s="281" t="s">
        <v>102</v>
      </c>
      <c r="F68" s="281" t="s">
        <v>88</v>
      </c>
      <c r="G68" s="5"/>
      <c r="H68" s="5"/>
      <c r="I68" s="38"/>
      <c r="J68" s="37"/>
      <c r="K68" s="116">
        <f>1492.8-G71</f>
        <v>1149.44</v>
      </c>
      <c r="L68" s="37">
        <f>295854-H71</f>
        <v>292657</v>
      </c>
      <c r="M68" s="5"/>
      <c r="N68" s="5"/>
      <c r="O68" s="5"/>
      <c r="P68" s="38"/>
      <c r="Q68" s="112">
        <f>212.37-M71</f>
        <v>164.83</v>
      </c>
      <c r="R68" s="37">
        <f>42850-N71</f>
        <v>42407</v>
      </c>
      <c r="S68" s="39"/>
      <c r="T68" s="39"/>
      <c r="U68" s="38">
        <v>474.12</v>
      </c>
      <c r="V68" s="66">
        <v>97846</v>
      </c>
      <c r="W68" s="253">
        <v>45956</v>
      </c>
      <c r="Y68" s="31">
        <f t="shared" si="0"/>
        <v>0</v>
      </c>
      <c r="Z68" s="31">
        <f t="shared" si="2"/>
        <v>0</v>
      </c>
      <c r="AA68" s="110">
        <f t="shared" ref="AA68:AA117" si="3">L68+R68</f>
        <v>335064</v>
      </c>
      <c r="AB68" s="32" t="s">
        <v>27</v>
      </c>
      <c r="AD68" s="218"/>
      <c r="AE68" s="58"/>
      <c r="AF68" s="218"/>
      <c r="AG68" s="229"/>
      <c r="AI68" s="58"/>
      <c r="AJ68" s="58"/>
      <c r="AK68" s="58"/>
      <c r="AL68" s="58"/>
    </row>
    <row r="69" spans="1:38" s="20" customFormat="1" ht="15" customHeight="1">
      <c r="A69" s="280"/>
      <c r="B69" s="217" t="s">
        <v>238</v>
      </c>
      <c r="C69" s="13">
        <v>33714</v>
      </c>
      <c r="D69" s="12" t="s">
        <v>31</v>
      </c>
      <c r="E69" s="282"/>
      <c r="F69" s="282"/>
      <c r="G69" s="5"/>
      <c r="H69" s="5"/>
      <c r="I69" s="5"/>
      <c r="J69" s="22"/>
      <c r="K69" s="7"/>
      <c r="L69" s="22"/>
      <c r="M69" s="5"/>
      <c r="N69" s="5"/>
      <c r="O69" s="5"/>
      <c r="P69" s="5"/>
      <c r="Q69" s="107">
        <v>1.76</v>
      </c>
      <c r="R69" s="22">
        <v>309</v>
      </c>
      <c r="S69" s="27"/>
      <c r="T69" s="27"/>
      <c r="U69" s="5">
        <v>3.98</v>
      </c>
      <c r="V69" s="63">
        <v>698</v>
      </c>
      <c r="W69" s="255"/>
      <c r="Y69" s="103">
        <f t="shared" si="0"/>
        <v>0</v>
      </c>
      <c r="Z69" s="31">
        <f t="shared" ref="Z69:Z116" si="4">J69+P69</f>
        <v>0</v>
      </c>
      <c r="AA69" s="110">
        <f t="shared" si="3"/>
        <v>309</v>
      </c>
      <c r="AB69" s="32" t="s">
        <v>27</v>
      </c>
      <c r="AD69" s="219"/>
      <c r="AE69" s="4"/>
      <c r="AF69" s="219"/>
      <c r="AG69" s="230"/>
      <c r="AI69" s="4"/>
      <c r="AJ69" s="4"/>
      <c r="AK69" s="4"/>
      <c r="AL69" s="4"/>
    </row>
    <row r="70" spans="1:38" s="20" customFormat="1" ht="15" customHeight="1">
      <c r="A70" s="280"/>
      <c r="B70" s="6" t="s">
        <v>138</v>
      </c>
      <c r="C70" s="13" t="s">
        <v>97</v>
      </c>
      <c r="D70" s="12" t="s">
        <v>25</v>
      </c>
      <c r="E70" s="282"/>
      <c r="F70" s="282"/>
      <c r="G70" s="7">
        <v>11.44</v>
      </c>
      <c r="H70" s="25">
        <v>107</v>
      </c>
      <c r="I70" s="25"/>
      <c r="J70" s="25"/>
      <c r="K70" s="106">
        <v>0.87</v>
      </c>
      <c r="L70" s="22">
        <v>7</v>
      </c>
      <c r="M70" s="5">
        <v>1.58</v>
      </c>
      <c r="N70" s="22">
        <v>15</v>
      </c>
      <c r="O70" s="5"/>
      <c r="P70" s="22"/>
      <c r="Q70" s="107">
        <v>17.72</v>
      </c>
      <c r="R70" s="22">
        <v>137</v>
      </c>
      <c r="S70" s="27"/>
      <c r="T70" s="27"/>
      <c r="U70" s="5">
        <v>61.8</v>
      </c>
      <c r="V70" s="63">
        <v>478</v>
      </c>
      <c r="W70" s="255"/>
      <c r="Y70" s="103">
        <f t="shared" si="0"/>
        <v>122</v>
      </c>
      <c r="Z70" s="31">
        <f t="shared" si="4"/>
        <v>0</v>
      </c>
      <c r="AA70" s="110">
        <f t="shared" si="3"/>
        <v>144</v>
      </c>
      <c r="AB70" s="32" t="s">
        <v>27</v>
      </c>
      <c r="AD70" s="219"/>
      <c r="AE70" s="4"/>
      <c r="AF70" s="219"/>
      <c r="AG70" s="230"/>
      <c r="AI70" s="4"/>
      <c r="AJ70" s="4"/>
      <c r="AK70" s="4"/>
      <c r="AL70" s="4"/>
    </row>
    <row r="71" spans="1:38" s="20" customFormat="1" ht="15.75" customHeight="1" thickBot="1">
      <c r="A71" s="278"/>
      <c r="B71" s="93" t="s">
        <v>152</v>
      </c>
      <c r="C71" s="138" t="s">
        <v>97</v>
      </c>
      <c r="D71" s="47" t="s">
        <v>25</v>
      </c>
      <c r="E71" s="283"/>
      <c r="F71" s="283"/>
      <c r="G71" s="49">
        <v>343.36</v>
      </c>
      <c r="H71" s="67">
        <v>3197</v>
      </c>
      <c r="I71" s="67"/>
      <c r="J71" s="67"/>
      <c r="K71" s="108">
        <v>22.39</v>
      </c>
      <c r="L71" s="50">
        <v>174</v>
      </c>
      <c r="M71" s="51">
        <v>47.54</v>
      </c>
      <c r="N71" s="50">
        <v>443</v>
      </c>
      <c r="O71" s="51"/>
      <c r="P71" s="50"/>
      <c r="Q71" s="109">
        <v>68.22</v>
      </c>
      <c r="R71" s="50">
        <v>527</v>
      </c>
      <c r="S71" s="52"/>
      <c r="T71" s="52"/>
      <c r="U71" s="51">
        <v>178.43</v>
      </c>
      <c r="V71" s="68">
        <v>1380</v>
      </c>
      <c r="W71" s="254"/>
      <c r="Y71" s="55">
        <f t="shared" si="0"/>
        <v>3640</v>
      </c>
      <c r="Z71" s="55">
        <f t="shared" si="4"/>
        <v>0</v>
      </c>
      <c r="AA71" s="129">
        <f t="shared" si="3"/>
        <v>701</v>
      </c>
      <c r="AB71" s="56" t="s">
        <v>27</v>
      </c>
      <c r="AD71" s="220"/>
      <c r="AE71" s="59"/>
      <c r="AF71" s="220"/>
      <c r="AG71" s="231"/>
      <c r="AI71" s="59"/>
      <c r="AJ71" s="59"/>
      <c r="AK71" s="59"/>
      <c r="AL71" s="59"/>
    </row>
    <row r="72" spans="1:38" s="20" customFormat="1">
      <c r="A72" s="275" t="s">
        <v>103</v>
      </c>
      <c r="B72" s="214" t="s">
        <v>233</v>
      </c>
      <c r="C72" s="34">
        <v>31828</v>
      </c>
      <c r="D72" s="35" t="s">
        <v>54</v>
      </c>
      <c r="E72" s="296" t="s">
        <v>104</v>
      </c>
      <c r="F72" s="296" t="s">
        <v>14</v>
      </c>
      <c r="G72" s="5"/>
      <c r="H72" s="5"/>
      <c r="I72" s="38"/>
      <c r="J72" s="37"/>
      <c r="K72" s="116">
        <f>322.65-H74</f>
        <v>-199.35000000000002</v>
      </c>
      <c r="L72" s="37">
        <f>208988-H74</f>
        <v>208466</v>
      </c>
      <c r="M72" s="5"/>
      <c r="N72" s="5"/>
      <c r="O72" s="5"/>
      <c r="P72" s="38"/>
      <c r="Q72" s="112">
        <f>44.93-M74</f>
        <v>38.590000000000003</v>
      </c>
      <c r="R72" s="37">
        <f>28226-N74</f>
        <v>28154</v>
      </c>
      <c r="S72" s="39"/>
      <c r="T72" s="39"/>
      <c r="U72" s="38">
        <v>85.84</v>
      </c>
      <c r="V72" s="66">
        <v>53931</v>
      </c>
      <c r="W72" s="261">
        <v>45974</v>
      </c>
      <c r="Y72" s="31">
        <f t="shared" si="0"/>
        <v>0</v>
      </c>
      <c r="Z72" s="31">
        <f t="shared" si="4"/>
        <v>0</v>
      </c>
      <c r="AA72" s="110">
        <f t="shared" si="3"/>
        <v>236620</v>
      </c>
      <c r="AB72" s="32" t="s">
        <v>27</v>
      </c>
      <c r="AD72" s="218"/>
      <c r="AE72" s="58"/>
      <c r="AF72" s="218"/>
      <c r="AG72" s="229"/>
      <c r="AI72" s="58"/>
      <c r="AJ72" s="58"/>
      <c r="AK72" s="58"/>
      <c r="AL72" s="58"/>
    </row>
    <row r="73" spans="1:38" s="20" customFormat="1" ht="15" customHeight="1">
      <c r="A73" s="279"/>
      <c r="B73" s="6" t="s">
        <v>138</v>
      </c>
      <c r="C73" s="13" t="s">
        <v>97</v>
      </c>
      <c r="D73" s="12" t="s">
        <v>25</v>
      </c>
      <c r="E73" s="298"/>
      <c r="F73" s="298"/>
      <c r="G73" s="7">
        <v>22.89</v>
      </c>
      <c r="H73" s="25">
        <v>261</v>
      </c>
      <c r="I73" s="25"/>
      <c r="J73" s="25"/>
      <c r="K73" s="106">
        <f>579.88-G73</f>
        <v>556.99</v>
      </c>
      <c r="L73" s="22">
        <f>5498-G73</f>
        <v>5475.11</v>
      </c>
      <c r="M73" s="5">
        <v>3.17</v>
      </c>
      <c r="N73" s="22">
        <v>36</v>
      </c>
      <c r="O73" s="5"/>
      <c r="P73" s="22"/>
      <c r="Q73" s="107">
        <f>88.65-M73</f>
        <v>85.48</v>
      </c>
      <c r="R73" s="22">
        <f>840-N73</f>
        <v>804</v>
      </c>
      <c r="S73" s="27"/>
      <c r="T73" s="27"/>
      <c r="U73" s="5">
        <v>268.89999999999998</v>
      </c>
      <c r="V73" s="63">
        <v>2549</v>
      </c>
      <c r="W73" s="262"/>
      <c r="Y73" s="103">
        <f t="shared" si="0"/>
        <v>297</v>
      </c>
      <c r="Z73" s="31">
        <f t="shared" si="4"/>
        <v>0</v>
      </c>
      <c r="AA73" s="110">
        <f t="shared" si="3"/>
        <v>6279.11</v>
      </c>
      <c r="AB73" s="32" t="s">
        <v>27</v>
      </c>
      <c r="AD73" s="219"/>
      <c r="AE73" s="4"/>
      <c r="AF73" s="219"/>
      <c r="AG73" s="230"/>
      <c r="AI73" s="4"/>
      <c r="AJ73" s="4"/>
      <c r="AK73" s="4"/>
      <c r="AL73" s="4"/>
    </row>
    <row r="74" spans="1:38" s="20" customFormat="1" ht="15.75" customHeight="1" thickBot="1">
      <c r="A74" s="294"/>
      <c r="B74" s="93" t="s">
        <v>138</v>
      </c>
      <c r="C74" s="46" t="s">
        <v>97</v>
      </c>
      <c r="D74" s="47" t="s">
        <v>25</v>
      </c>
      <c r="E74" s="297"/>
      <c r="F74" s="297"/>
      <c r="G74" s="49">
        <v>45.78</v>
      </c>
      <c r="H74" s="67">
        <v>522</v>
      </c>
      <c r="I74" s="67"/>
      <c r="J74" s="67"/>
      <c r="K74" s="108">
        <v>2.89</v>
      </c>
      <c r="L74" s="50">
        <v>27</v>
      </c>
      <c r="M74" s="51">
        <v>6.34</v>
      </c>
      <c r="N74" s="50">
        <v>72</v>
      </c>
      <c r="O74" s="51"/>
      <c r="P74" s="50"/>
      <c r="Q74" s="109">
        <v>8.76</v>
      </c>
      <c r="R74" s="50">
        <v>83</v>
      </c>
      <c r="S74" s="52"/>
      <c r="T74" s="52"/>
      <c r="U74" s="51">
        <v>37.22</v>
      </c>
      <c r="V74" s="68">
        <v>352</v>
      </c>
      <c r="W74" s="263"/>
      <c r="Y74" s="55">
        <f t="shared" si="0"/>
        <v>594</v>
      </c>
      <c r="Z74" s="55">
        <f t="shared" si="4"/>
        <v>0</v>
      </c>
      <c r="AA74" s="129">
        <f t="shared" si="3"/>
        <v>110</v>
      </c>
      <c r="AB74" s="56" t="s">
        <v>27</v>
      </c>
      <c r="AD74" s="220"/>
      <c r="AE74" s="59"/>
      <c r="AF74" s="220"/>
      <c r="AG74" s="231"/>
      <c r="AI74" s="59"/>
      <c r="AJ74" s="59"/>
      <c r="AK74" s="59"/>
      <c r="AL74" s="59"/>
    </row>
    <row r="75" spans="1:38" s="20" customFormat="1">
      <c r="A75" s="295" t="s">
        <v>105</v>
      </c>
      <c r="B75" s="214" t="s">
        <v>239</v>
      </c>
      <c r="C75" s="34">
        <v>34009</v>
      </c>
      <c r="D75" s="35" t="s">
        <v>54</v>
      </c>
      <c r="E75" s="281" t="s">
        <v>106</v>
      </c>
      <c r="F75" s="281" t="s">
        <v>15</v>
      </c>
      <c r="G75" s="5"/>
      <c r="H75" s="5"/>
      <c r="I75" s="72">
        <v>3.82</v>
      </c>
      <c r="J75" s="37">
        <v>593</v>
      </c>
      <c r="K75" s="116">
        <f>2566-G75</f>
        <v>2566</v>
      </c>
      <c r="L75" s="37">
        <f>330800-H75</f>
        <v>330800</v>
      </c>
      <c r="M75" s="5"/>
      <c r="N75" s="5"/>
      <c r="O75" s="72">
        <v>1.84</v>
      </c>
      <c r="P75" s="38">
        <v>285</v>
      </c>
      <c r="Q75" s="112">
        <f>349.67-M75</f>
        <v>349.67</v>
      </c>
      <c r="R75" s="37">
        <f>44903-N75</f>
        <v>44903</v>
      </c>
      <c r="S75" s="39"/>
      <c r="T75" s="39"/>
      <c r="U75" s="38">
        <v>728.16</v>
      </c>
      <c r="V75" s="66">
        <v>93872</v>
      </c>
      <c r="W75" s="253">
        <v>45959</v>
      </c>
      <c r="Y75" s="31">
        <f t="shared" si="0"/>
        <v>0</v>
      </c>
      <c r="Z75" s="117">
        <f t="shared" si="4"/>
        <v>878</v>
      </c>
      <c r="AA75" s="110">
        <f t="shared" si="3"/>
        <v>375703</v>
      </c>
      <c r="AB75" s="32" t="s">
        <v>27</v>
      </c>
      <c r="AD75" s="218">
        <v>0.04</v>
      </c>
      <c r="AE75" s="58" t="s">
        <v>247</v>
      </c>
      <c r="AF75" s="218">
        <v>322.35000000000002</v>
      </c>
      <c r="AG75" s="235">
        <v>4970</v>
      </c>
      <c r="AH75" s="227"/>
      <c r="AI75" s="58"/>
      <c r="AJ75" s="58"/>
      <c r="AK75" s="58"/>
      <c r="AL75" s="58"/>
    </row>
    <row r="76" spans="1:38" s="20" customFormat="1" ht="15.75" customHeight="1" thickBot="1">
      <c r="A76" s="278"/>
      <c r="B76" s="45" t="s">
        <v>151</v>
      </c>
      <c r="C76" s="46" t="s">
        <v>97</v>
      </c>
      <c r="D76" s="47" t="s">
        <v>129</v>
      </c>
      <c r="E76" s="283"/>
      <c r="F76" s="283"/>
      <c r="G76" s="49"/>
      <c r="H76" s="67"/>
      <c r="I76" s="67"/>
      <c r="J76" s="67"/>
      <c r="K76" s="108">
        <v>52.01</v>
      </c>
      <c r="L76" s="50">
        <f>493+H76</f>
        <v>493</v>
      </c>
      <c r="M76" s="51"/>
      <c r="N76" s="50"/>
      <c r="O76" s="51"/>
      <c r="P76" s="50"/>
      <c r="Q76" s="109">
        <v>56.48</v>
      </c>
      <c r="R76" s="50">
        <f>535+N76</f>
        <v>535</v>
      </c>
      <c r="S76" s="52"/>
      <c r="T76" s="52"/>
      <c r="U76" s="51">
        <v>169.51</v>
      </c>
      <c r="V76" s="68">
        <v>1607</v>
      </c>
      <c r="W76" s="254"/>
      <c r="X76" s="105"/>
      <c r="Y76" s="55">
        <f t="shared" si="0"/>
        <v>0</v>
      </c>
      <c r="Z76" s="55">
        <f t="shared" si="4"/>
        <v>0</v>
      </c>
      <c r="AA76" s="129">
        <f t="shared" si="3"/>
        <v>1028</v>
      </c>
      <c r="AB76" s="56" t="s">
        <v>27</v>
      </c>
      <c r="AD76" s="220"/>
      <c r="AE76" s="59"/>
      <c r="AF76" s="220"/>
      <c r="AG76" s="231"/>
      <c r="AI76" s="59"/>
      <c r="AJ76" s="59"/>
      <c r="AK76" s="59"/>
      <c r="AL76" s="59"/>
    </row>
    <row r="77" spans="1:38" s="20" customFormat="1" ht="13.5" thickBot="1">
      <c r="A77" s="79" t="s">
        <v>107</v>
      </c>
      <c r="B77" s="79" t="s">
        <v>150</v>
      </c>
      <c r="C77" s="46" t="s">
        <v>97</v>
      </c>
      <c r="D77" s="81" t="s">
        <v>31</v>
      </c>
      <c r="E77" s="82" t="s">
        <v>225</v>
      </c>
      <c r="F77" s="82" t="s">
        <v>15</v>
      </c>
      <c r="G77" s="85">
        <v>3.9</v>
      </c>
      <c r="H77" s="84">
        <v>44</v>
      </c>
      <c r="I77" s="84"/>
      <c r="J77" s="84"/>
      <c r="K77" s="122">
        <f>3194.24-G77</f>
        <v>3190.3399999999997</v>
      </c>
      <c r="L77" s="86">
        <f>32167-H77</f>
        <v>32123</v>
      </c>
      <c r="M77" s="87">
        <v>0.54</v>
      </c>
      <c r="N77" s="86">
        <v>6</v>
      </c>
      <c r="O77" s="87"/>
      <c r="P77" s="86"/>
      <c r="Q77" s="123">
        <f>473.7-M77</f>
        <v>473.15999999999997</v>
      </c>
      <c r="R77" s="86">
        <f>4763-N77</f>
        <v>4757</v>
      </c>
      <c r="S77" s="88"/>
      <c r="T77" s="88"/>
      <c r="U77" s="98">
        <v>1432.18</v>
      </c>
      <c r="V77" s="100">
        <v>14375</v>
      </c>
      <c r="W77" s="102">
        <v>45960</v>
      </c>
      <c r="Y77" s="31">
        <f t="shared" si="0"/>
        <v>50</v>
      </c>
      <c r="Z77" s="31">
        <f t="shared" si="4"/>
        <v>0</v>
      </c>
      <c r="AA77" s="110">
        <f t="shared" si="3"/>
        <v>36880</v>
      </c>
      <c r="AB77" s="92" t="s">
        <v>27</v>
      </c>
      <c r="AD77" s="221"/>
      <c r="AE77" s="82"/>
      <c r="AF77" s="221"/>
      <c r="AG77" s="232"/>
      <c r="AI77" s="82"/>
      <c r="AJ77" s="82"/>
      <c r="AK77" s="82"/>
      <c r="AL77" s="82"/>
    </row>
    <row r="78" spans="1:38" s="20" customFormat="1">
      <c r="A78" s="277" t="s">
        <v>108</v>
      </c>
      <c r="B78" s="214" t="s">
        <v>240</v>
      </c>
      <c r="C78" s="34">
        <v>29773</v>
      </c>
      <c r="D78" s="35" t="s">
        <v>54</v>
      </c>
      <c r="E78" s="281" t="s">
        <v>109</v>
      </c>
      <c r="F78" s="281" t="s">
        <v>70</v>
      </c>
      <c r="G78" s="5"/>
      <c r="H78" s="5"/>
      <c r="I78" s="72">
        <v>17.170000000000002</v>
      </c>
      <c r="J78" s="37">
        <v>41505</v>
      </c>
      <c r="K78" s="116">
        <f>62-G78</f>
        <v>62</v>
      </c>
      <c r="L78" s="37">
        <f>229936-H78</f>
        <v>229936</v>
      </c>
      <c r="M78" s="5"/>
      <c r="N78" s="5"/>
      <c r="O78" s="72">
        <v>2.72</v>
      </c>
      <c r="P78" s="38">
        <v>6575</v>
      </c>
      <c r="Q78" s="112">
        <f>11.13-M78</f>
        <v>11.13</v>
      </c>
      <c r="R78" s="37">
        <f>46774-N78</f>
        <v>46774</v>
      </c>
      <c r="S78" s="39"/>
      <c r="T78" s="39"/>
      <c r="U78" s="38">
        <v>29.94</v>
      </c>
      <c r="V78" s="66">
        <v>143304</v>
      </c>
      <c r="W78" s="264">
        <v>45974</v>
      </c>
      <c r="Y78" s="103">
        <f t="shared" si="0"/>
        <v>0</v>
      </c>
      <c r="Z78" s="117">
        <f t="shared" si="4"/>
        <v>48080</v>
      </c>
      <c r="AA78" s="110">
        <f t="shared" si="3"/>
        <v>276710</v>
      </c>
      <c r="AB78" s="32" t="s">
        <v>27</v>
      </c>
      <c r="AD78" s="218"/>
      <c r="AE78" s="58"/>
      <c r="AF78" s="218"/>
      <c r="AG78" s="229"/>
      <c r="AI78" s="58"/>
      <c r="AJ78" s="58"/>
      <c r="AK78" s="58"/>
      <c r="AL78" s="58"/>
    </row>
    <row r="79" spans="1:38" s="20" customFormat="1" ht="15.75" customHeight="1" thickBot="1">
      <c r="A79" s="278"/>
      <c r="B79" s="45" t="s">
        <v>149</v>
      </c>
      <c r="C79" s="46" t="s">
        <v>97</v>
      </c>
      <c r="D79" s="47" t="s">
        <v>130</v>
      </c>
      <c r="E79" s="283"/>
      <c r="F79" s="283"/>
      <c r="G79" s="49"/>
      <c r="H79" s="67"/>
      <c r="I79" s="67"/>
      <c r="J79" s="67"/>
      <c r="K79" s="108">
        <f>1.3+G79</f>
        <v>1.3</v>
      </c>
      <c r="L79" s="50">
        <f>13+H79</f>
        <v>13</v>
      </c>
      <c r="M79" s="51"/>
      <c r="N79" s="50"/>
      <c r="O79" s="51"/>
      <c r="P79" s="50"/>
      <c r="Q79" s="109">
        <f>18.72+M79</f>
        <v>18.72</v>
      </c>
      <c r="R79" s="50">
        <f>178+N79</f>
        <v>178</v>
      </c>
      <c r="S79" s="52"/>
      <c r="T79" s="52"/>
      <c r="U79" s="51">
        <v>110.82</v>
      </c>
      <c r="V79" s="50">
        <v>1056</v>
      </c>
      <c r="W79" s="271"/>
      <c r="X79" s="105"/>
      <c r="Y79" s="55">
        <f t="shared" si="0"/>
        <v>0</v>
      </c>
      <c r="Z79" s="55">
        <f t="shared" si="4"/>
        <v>0</v>
      </c>
      <c r="AA79" s="129">
        <f t="shared" si="3"/>
        <v>191</v>
      </c>
      <c r="AB79" s="56" t="s">
        <v>27</v>
      </c>
      <c r="AD79" s="220"/>
      <c r="AE79" s="59"/>
      <c r="AF79" s="220"/>
      <c r="AG79" s="231"/>
      <c r="AI79" s="59"/>
      <c r="AJ79" s="59"/>
      <c r="AK79" s="59"/>
      <c r="AL79" s="59"/>
    </row>
    <row r="80" spans="1:38" s="20" customFormat="1">
      <c r="A80" s="275" t="s">
        <v>110</v>
      </c>
      <c r="B80" s="214" t="s">
        <v>241</v>
      </c>
      <c r="C80" s="140">
        <v>33995</v>
      </c>
      <c r="D80" s="35" t="s">
        <v>54</v>
      </c>
      <c r="E80" s="296" t="s">
        <v>111</v>
      </c>
      <c r="F80" s="296" t="s">
        <v>88</v>
      </c>
      <c r="G80" s="5"/>
      <c r="H80" s="5"/>
      <c r="I80" s="38"/>
      <c r="J80" s="37"/>
      <c r="K80" s="116">
        <f>1097.06-G81</f>
        <v>1097.06</v>
      </c>
      <c r="L80" s="37">
        <f>273978-H81</f>
        <v>273978</v>
      </c>
      <c r="M80" s="5"/>
      <c r="N80" s="5"/>
      <c r="O80" s="5"/>
      <c r="P80" s="38"/>
      <c r="Q80" s="112">
        <f>169.43-M81</f>
        <v>169.43</v>
      </c>
      <c r="R80" s="37">
        <f>41808-N81</f>
        <v>41808</v>
      </c>
      <c r="S80" s="39"/>
      <c r="T80" s="39"/>
      <c r="U80" s="38">
        <v>392.6</v>
      </c>
      <c r="V80" s="66">
        <v>96244</v>
      </c>
      <c r="W80" s="261">
        <v>45964</v>
      </c>
      <c r="Y80" s="31">
        <f t="shared" si="0"/>
        <v>0</v>
      </c>
      <c r="Z80" s="31">
        <f t="shared" si="4"/>
        <v>0</v>
      </c>
      <c r="AA80" s="110">
        <f t="shared" si="3"/>
        <v>315786</v>
      </c>
      <c r="AB80" s="32" t="s">
        <v>27</v>
      </c>
      <c r="AD80" s="218"/>
      <c r="AE80" s="58"/>
      <c r="AF80" s="218"/>
      <c r="AG80" s="229"/>
      <c r="AI80" s="58"/>
      <c r="AJ80" s="58"/>
      <c r="AK80" s="58"/>
      <c r="AL80" s="58"/>
    </row>
    <row r="81" spans="1:38" s="20" customFormat="1" ht="15.75" customHeight="1" thickBot="1">
      <c r="A81" s="276"/>
      <c r="B81" s="45" t="s">
        <v>148</v>
      </c>
      <c r="C81" s="138" t="s">
        <v>139</v>
      </c>
      <c r="D81" s="47" t="s">
        <v>131</v>
      </c>
      <c r="E81" s="297"/>
      <c r="F81" s="297"/>
      <c r="G81" s="49"/>
      <c r="H81" s="67"/>
      <c r="I81" s="65">
        <v>7.63</v>
      </c>
      <c r="J81" s="67">
        <v>63</v>
      </c>
      <c r="K81" s="108">
        <v>18.920000000000002</v>
      </c>
      <c r="L81" s="50">
        <f>125+H81</f>
        <v>125</v>
      </c>
      <c r="M81" s="51"/>
      <c r="N81" s="50"/>
      <c r="O81" s="78">
        <v>2.95</v>
      </c>
      <c r="P81" s="50">
        <v>25</v>
      </c>
      <c r="Q81" s="109">
        <v>87.6</v>
      </c>
      <c r="R81" s="50">
        <f>578+N81</f>
        <v>578</v>
      </c>
      <c r="S81" s="52"/>
      <c r="T81" s="52"/>
      <c r="U81" s="51">
        <v>411.69</v>
      </c>
      <c r="V81" s="54">
        <v>2724</v>
      </c>
      <c r="W81" s="263"/>
      <c r="X81" s="105"/>
      <c r="Y81" s="55">
        <f t="shared" si="0"/>
        <v>0</v>
      </c>
      <c r="Z81" s="118">
        <f t="shared" si="4"/>
        <v>88</v>
      </c>
      <c r="AA81" s="129">
        <f t="shared" si="3"/>
        <v>703</v>
      </c>
      <c r="AB81" s="56" t="s">
        <v>27</v>
      </c>
      <c r="AD81" s="220"/>
      <c r="AE81" s="59"/>
      <c r="AF81" s="220"/>
      <c r="AG81" s="231"/>
      <c r="AI81" s="59"/>
      <c r="AJ81" s="59"/>
      <c r="AK81" s="59"/>
      <c r="AL81" s="59"/>
    </row>
    <row r="82" spans="1:38" s="20" customFormat="1">
      <c r="A82" s="183" t="s">
        <v>112</v>
      </c>
      <c r="B82" s="183" t="s">
        <v>138</v>
      </c>
      <c r="C82" s="184" t="s">
        <v>139</v>
      </c>
      <c r="D82" s="185" t="s">
        <v>25</v>
      </c>
      <c r="E82" s="186" t="s">
        <v>113</v>
      </c>
      <c r="F82" s="186" t="s">
        <v>16</v>
      </c>
      <c r="G82" s="187"/>
      <c r="H82" s="188"/>
      <c r="I82" s="189">
        <v>76.3</v>
      </c>
      <c r="J82" s="188">
        <v>8664</v>
      </c>
      <c r="K82" s="190">
        <f>156.2-G82</f>
        <v>156.19999999999999</v>
      </c>
      <c r="L82" s="191">
        <f>14499-H82</f>
        <v>14499</v>
      </c>
      <c r="M82" s="192"/>
      <c r="N82" s="191"/>
      <c r="O82" s="193">
        <v>20.98</v>
      </c>
      <c r="P82" s="191">
        <v>2382</v>
      </c>
      <c r="Q82" s="194">
        <f>35.6-M82</f>
        <v>35.6</v>
      </c>
      <c r="R82" s="191">
        <f>146-N82</f>
        <v>146</v>
      </c>
      <c r="S82" s="192">
        <v>58.68</v>
      </c>
      <c r="T82" s="192">
        <v>241</v>
      </c>
      <c r="U82" s="192">
        <v>95.43</v>
      </c>
      <c r="V82" s="195">
        <v>392</v>
      </c>
      <c r="W82" s="196">
        <v>45967</v>
      </c>
      <c r="X82" s="105"/>
      <c r="Y82" s="197">
        <f t="shared" si="0"/>
        <v>0</v>
      </c>
      <c r="Z82" s="198">
        <f t="shared" si="4"/>
        <v>11046</v>
      </c>
      <c r="AA82" s="199">
        <f t="shared" si="3"/>
        <v>14645</v>
      </c>
      <c r="AB82" s="200" t="s">
        <v>27</v>
      </c>
      <c r="AD82" s="224"/>
      <c r="AE82" s="186"/>
      <c r="AF82" s="224"/>
      <c r="AG82" s="236"/>
      <c r="AI82" s="186"/>
      <c r="AJ82" s="186"/>
      <c r="AK82" s="186"/>
      <c r="AL82" s="186"/>
    </row>
    <row r="83" spans="1:38" s="20" customFormat="1">
      <c r="A83" s="6" t="s">
        <v>114</v>
      </c>
      <c r="B83" s="6" t="s">
        <v>138</v>
      </c>
      <c r="C83" s="13" t="s">
        <v>139</v>
      </c>
      <c r="D83" s="12" t="s">
        <v>25</v>
      </c>
      <c r="E83" s="4" t="s">
        <v>115</v>
      </c>
      <c r="F83" s="4" t="s">
        <v>116</v>
      </c>
      <c r="G83" s="7"/>
      <c r="H83" s="25"/>
      <c r="I83" s="70">
        <v>174.04</v>
      </c>
      <c r="J83" s="25">
        <v>19762</v>
      </c>
      <c r="K83" s="106">
        <f>350.37-G83</f>
        <v>350.37</v>
      </c>
      <c r="L83" s="22">
        <f>116054-H83</f>
        <v>116054</v>
      </c>
      <c r="M83" s="7"/>
      <c r="N83" s="22"/>
      <c r="O83" s="70">
        <v>22.83</v>
      </c>
      <c r="P83" s="22">
        <v>2592</v>
      </c>
      <c r="Q83" s="107">
        <f>55.13-M83</f>
        <v>55.13</v>
      </c>
      <c r="R83" s="22">
        <f>232-N83</f>
        <v>232</v>
      </c>
      <c r="S83" s="5">
        <v>81.3</v>
      </c>
      <c r="T83" s="5">
        <v>342</v>
      </c>
      <c r="U83" s="5">
        <v>132.32</v>
      </c>
      <c r="V83" s="22">
        <v>557</v>
      </c>
      <c r="W83" s="64">
        <v>46332</v>
      </c>
      <c r="X83" s="127"/>
      <c r="Y83" s="103">
        <f t="shared" si="0"/>
        <v>0</v>
      </c>
      <c r="Z83" s="204">
        <f t="shared" si="4"/>
        <v>22354</v>
      </c>
      <c r="AA83" s="205">
        <f t="shared" si="3"/>
        <v>116286</v>
      </c>
      <c r="AB83" s="127" t="s">
        <v>27</v>
      </c>
      <c r="AD83" s="219"/>
      <c r="AE83" s="4"/>
      <c r="AF83" s="219"/>
      <c r="AG83" s="230"/>
      <c r="AI83" s="4"/>
      <c r="AJ83" s="4"/>
      <c r="AK83" s="4"/>
      <c r="AL83" s="4"/>
    </row>
    <row r="84" spans="1:38" s="20" customFormat="1">
      <c r="A84" s="6" t="s">
        <v>132</v>
      </c>
      <c r="B84" s="6" t="s">
        <v>138</v>
      </c>
      <c r="C84" s="13" t="s">
        <v>139</v>
      </c>
      <c r="D84" s="12" t="s">
        <v>25</v>
      </c>
      <c r="E84" s="4" t="s">
        <v>133</v>
      </c>
      <c r="F84" s="4" t="s">
        <v>15</v>
      </c>
      <c r="G84" s="7"/>
      <c r="H84" s="25"/>
      <c r="I84" s="70">
        <v>83.93</v>
      </c>
      <c r="J84" s="25">
        <v>9530</v>
      </c>
      <c r="K84" s="106">
        <f>167.87-G84</f>
        <v>167.87</v>
      </c>
      <c r="L84" s="25">
        <f>15932-H84</f>
        <v>15932</v>
      </c>
      <c r="M84" s="5"/>
      <c r="N84" s="22"/>
      <c r="O84" s="72">
        <v>0.5</v>
      </c>
      <c r="P84" s="22">
        <v>57</v>
      </c>
      <c r="Q84" s="107">
        <f>3-M84</f>
        <v>3</v>
      </c>
      <c r="R84" s="22">
        <f>10-N84</f>
        <v>10</v>
      </c>
      <c r="S84" s="5">
        <v>74.2</v>
      </c>
      <c r="T84" s="5">
        <v>253</v>
      </c>
      <c r="U84" s="5">
        <v>139.58000000000001</v>
      </c>
      <c r="V84" s="22">
        <v>477</v>
      </c>
      <c r="W84" s="64">
        <v>45969</v>
      </c>
      <c r="X84" s="127"/>
      <c r="Y84" s="103">
        <f t="shared" si="0"/>
        <v>0</v>
      </c>
      <c r="Z84" s="204">
        <f t="shared" si="4"/>
        <v>9587</v>
      </c>
      <c r="AA84" s="205">
        <f t="shared" si="3"/>
        <v>15942</v>
      </c>
      <c r="AB84" s="127" t="s">
        <v>27</v>
      </c>
      <c r="AD84" s="219"/>
      <c r="AE84" s="4"/>
      <c r="AF84" s="219"/>
      <c r="AG84" s="230"/>
      <c r="AI84" s="4"/>
      <c r="AJ84" s="4"/>
      <c r="AK84" s="4"/>
      <c r="AL84" s="4"/>
    </row>
    <row r="85" spans="1:38" s="20" customFormat="1" ht="13.5" thickBot="1">
      <c r="A85" s="93" t="s">
        <v>137</v>
      </c>
      <c r="B85" s="93" t="s">
        <v>138</v>
      </c>
      <c r="C85" s="138" t="s">
        <v>139</v>
      </c>
      <c r="D85" s="94" t="s">
        <v>25</v>
      </c>
      <c r="E85" s="95" t="s">
        <v>140</v>
      </c>
      <c r="F85" s="95" t="s">
        <v>88</v>
      </c>
      <c r="G85" s="96"/>
      <c r="H85" s="136"/>
      <c r="I85" s="135">
        <v>83.93</v>
      </c>
      <c r="J85" s="136">
        <v>25453</v>
      </c>
      <c r="K85" s="125">
        <v>83.93</v>
      </c>
      <c r="L85" s="97">
        <v>21152</v>
      </c>
      <c r="M85" s="98"/>
      <c r="N85" s="97"/>
      <c r="O85" s="137">
        <v>2</v>
      </c>
      <c r="P85" s="97">
        <v>607</v>
      </c>
      <c r="Q85" s="126">
        <v>1</v>
      </c>
      <c r="R85" s="97">
        <v>4</v>
      </c>
      <c r="S85" s="98">
        <v>74.739999999999995</v>
      </c>
      <c r="T85" s="98">
        <v>253</v>
      </c>
      <c r="U85" s="98">
        <v>140.81</v>
      </c>
      <c r="V85" s="100">
        <v>478</v>
      </c>
      <c r="W85" s="102">
        <v>45969</v>
      </c>
      <c r="Y85" s="201">
        <f t="shared" si="0"/>
        <v>0</v>
      </c>
      <c r="Z85" s="202">
        <f t="shared" si="4"/>
        <v>26060</v>
      </c>
      <c r="AA85" s="203">
        <f t="shared" si="3"/>
        <v>21156</v>
      </c>
      <c r="AB85" s="128" t="s">
        <v>27</v>
      </c>
      <c r="AD85" s="222"/>
      <c r="AE85" s="95"/>
      <c r="AF85" s="222"/>
      <c r="AG85" s="233"/>
      <c r="AI85" s="95"/>
      <c r="AJ85" s="95"/>
      <c r="AK85" s="95"/>
      <c r="AL85" s="95"/>
    </row>
    <row r="86" spans="1:38" s="20" customFormat="1">
      <c r="A86" s="277" t="s">
        <v>141</v>
      </c>
      <c r="B86" s="33" t="s">
        <v>138</v>
      </c>
      <c r="C86" s="34" t="s">
        <v>139</v>
      </c>
      <c r="D86" s="134" t="s">
        <v>25</v>
      </c>
      <c r="E86" s="281" t="s">
        <v>142</v>
      </c>
      <c r="F86" s="281" t="s">
        <v>98</v>
      </c>
      <c r="G86" s="36">
        <v>28.31</v>
      </c>
      <c r="H86" s="42">
        <v>437</v>
      </c>
      <c r="I86" s="42"/>
      <c r="J86" s="42"/>
      <c r="K86" s="116">
        <f>472.76-G86</f>
        <v>444.45</v>
      </c>
      <c r="L86" s="37">
        <f>26839-H86</f>
        <v>26402</v>
      </c>
      <c r="M86" s="38">
        <v>3.92</v>
      </c>
      <c r="N86" s="37">
        <v>60</v>
      </c>
      <c r="O86" s="38"/>
      <c r="P86" s="37"/>
      <c r="Q86" s="112">
        <f>81.59-M86</f>
        <v>77.67</v>
      </c>
      <c r="R86" s="37">
        <f>1052-N86</f>
        <v>992</v>
      </c>
      <c r="S86" s="39"/>
      <c r="T86" s="39"/>
      <c r="U86" s="38">
        <v>202.1</v>
      </c>
      <c r="V86" s="66">
        <v>2605</v>
      </c>
      <c r="W86" s="253">
        <v>45971</v>
      </c>
      <c r="Y86" s="31">
        <f t="shared" si="0"/>
        <v>497</v>
      </c>
      <c r="Z86" s="31">
        <f t="shared" si="4"/>
        <v>0</v>
      </c>
      <c r="AA86" s="110">
        <f t="shared" si="3"/>
        <v>27394</v>
      </c>
      <c r="AB86" s="32" t="s">
        <v>27</v>
      </c>
      <c r="AD86" s="218"/>
      <c r="AE86" s="58"/>
      <c r="AF86" s="218"/>
      <c r="AG86" s="229"/>
      <c r="AI86" s="58"/>
      <c r="AJ86" s="58"/>
      <c r="AK86" s="58"/>
      <c r="AL86" s="58"/>
    </row>
    <row r="87" spans="1:38" s="20" customFormat="1" ht="15.75" customHeight="1" thickBot="1">
      <c r="A87" s="278"/>
      <c r="B87" s="45" t="s">
        <v>138</v>
      </c>
      <c r="C87" s="46" t="s">
        <v>139</v>
      </c>
      <c r="D87" s="94" t="s">
        <v>25</v>
      </c>
      <c r="E87" s="283"/>
      <c r="F87" s="283"/>
      <c r="G87" s="49">
        <v>62.24</v>
      </c>
      <c r="H87" s="67">
        <v>960</v>
      </c>
      <c r="I87" s="67"/>
      <c r="J87" s="67"/>
      <c r="K87" s="108">
        <f>170.71-G87</f>
        <v>108.47</v>
      </c>
      <c r="L87" s="50">
        <f>5020-H87</f>
        <v>4060</v>
      </c>
      <c r="M87" s="51">
        <v>8.6199999999999992</v>
      </c>
      <c r="N87" s="50">
        <v>133</v>
      </c>
      <c r="O87" s="51"/>
      <c r="P87" s="50"/>
      <c r="Q87" s="109">
        <f>40.27-M87</f>
        <v>31.650000000000006</v>
      </c>
      <c r="R87" s="50">
        <f>520-N87</f>
        <v>387</v>
      </c>
      <c r="S87" s="52"/>
      <c r="T87" s="52"/>
      <c r="U87" s="51">
        <v>90.58</v>
      </c>
      <c r="V87" s="68">
        <v>1167</v>
      </c>
      <c r="W87" s="254"/>
      <c r="Y87" s="55">
        <f t="shared" si="0"/>
        <v>1093</v>
      </c>
      <c r="Z87" s="55">
        <f t="shared" si="4"/>
        <v>0</v>
      </c>
      <c r="AA87" s="129">
        <f t="shared" si="3"/>
        <v>4447</v>
      </c>
      <c r="AB87" s="56" t="s">
        <v>27</v>
      </c>
      <c r="AD87" s="220"/>
      <c r="AE87" s="59"/>
      <c r="AF87" s="220"/>
      <c r="AG87" s="231"/>
      <c r="AI87" s="59"/>
      <c r="AJ87" s="59"/>
      <c r="AK87" s="59"/>
      <c r="AL87" s="59"/>
    </row>
    <row r="88" spans="1:38" s="20" customFormat="1" ht="13.5" thickBot="1">
      <c r="A88" s="79" t="s">
        <v>143</v>
      </c>
      <c r="B88" s="79" t="s">
        <v>144</v>
      </c>
      <c r="C88" s="80" t="s">
        <v>139</v>
      </c>
      <c r="D88" s="94" t="s">
        <v>25</v>
      </c>
      <c r="E88" s="82" t="s">
        <v>145</v>
      </c>
      <c r="F88" s="82" t="s">
        <v>98</v>
      </c>
      <c r="G88" s="85">
        <v>520.13</v>
      </c>
      <c r="H88" s="84">
        <v>8020</v>
      </c>
      <c r="I88" s="84"/>
      <c r="J88" s="84"/>
      <c r="K88" s="122">
        <f>1969.01-416.13</f>
        <v>1552.88</v>
      </c>
      <c r="L88" s="86">
        <f>2175873-482606</f>
        <v>1693267</v>
      </c>
      <c r="M88" s="87">
        <v>72.02</v>
      </c>
      <c r="N88" s="86">
        <v>1095</v>
      </c>
      <c r="O88" s="87"/>
      <c r="P88" s="86"/>
      <c r="Q88" s="123">
        <f>317.67-M88</f>
        <v>245.65000000000003</v>
      </c>
      <c r="R88" s="86">
        <f>3993-N88</f>
        <v>2898</v>
      </c>
      <c r="S88" s="88"/>
      <c r="T88" s="88"/>
      <c r="U88" s="87">
        <v>768.87</v>
      </c>
      <c r="V88" s="89">
        <v>9699</v>
      </c>
      <c r="W88" s="90">
        <v>45973</v>
      </c>
      <c r="Y88" s="91">
        <f t="shared" si="0"/>
        <v>9115</v>
      </c>
      <c r="Z88" s="91">
        <f t="shared" si="4"/>
        <v>0</v>
      </c>
      <c r="AA88" s="132">
        <f t="shared" si="3"/>
        <v>1696165</v>
      </c>
      <c r="AB88" s="92" t="s">
        <v>27</v>
      </c>
      <c r="AD88" s="221"/>
      <c r="AE88" s="82"/>
      <c r="AF88" s="221"/>
      <c r="AG88" s="232"/>
      <c r="AI88" s="82"/>
      <c r="AJ88" s="82"/>
      <c r="AK88" s="82"/>
      <c r="AL88" s="82"/>
    </row>
    <row r="89" spans="1:38" s="20" customFormat="1">
      <c r="A89" s="277" t="s">
        <v>146</v>
      </c>
      <c r="B89" s="214" t="s">
        <v>240</v>
      </c>
      <c r="C89" s="34">
        <v>32604</v>
      </c>
      <c r="D89" s="12" t="s">
        <v>31</v>
      </c>
      <c r="E89" s="281" t="s">
        <v>163</v>
      </c>
      <c r="F89" s="281" t="s">
        <v>98</v>
      </c>
      <c r="G89" s="36"/>
      <c r="H89" s="42"/>
      <c r="I89" s="42"/>
      <c r="J89" s="42"/>
      <c r="K89" s="116">
        <v>787.51</v>
      </c>
      <c r="L89" s="37">
        <v>316970</v>
      </c>
      <c r="M89" s="38"/>
      <c r="N89" s="37"/>
      <c r="O89" s="38"/>
      <c r="P89" s="37"/>
      <c r="Q89" s="112">
        <v>111.27</v>
      </c>
      <c r="R89" s="37">
        <v>44787</v>
      </c>
      <c r="S89" s="39"/>
      <c r="T89" s="39"/>
      <c r="U89" s="38">
        <v>219.52</v>
      </c>
      <c r="V89" s="66">
        <v>96485</v>
      </c>
      <c r="W89" s="253">
        <v>45975</v>
      </c>
      <c r="Y89" s="31">
        <f t="shared" si="0"/>
        <v>0</v>
      </c>
      <c r="Z89" s="31">
        <f t="shared" si="4"/>
        <v>0</v>
      </c>
      <c r="AA89" s="110">
        <f t="shared" si="3"/>
        <v>361757</v>
      </c>
      <c r="AB89" s="32" t="s">
        <v>27</v>
      </c>
      <c r="AD89" s="218"/>
      <c r="AE89" s="58"/>
      <c r="AF89" s="218"/>
      <c r="AG89" s="229"/>
      <c r="AI89" s="58"/>
      <c r="AJ89" s="58"/>
      <c r="AK89" s="58"/>
      <c r="AL89" s="58"/>
    </row>
    <row r="90" spans="1:38" s="20" customFormat="1" ht="15.75" customHeight="1" thickBot="1">
      <c r="A90" s="278"/>
      <c r="B90" s="45" t="s">
        <v>147</v>
      </c>
      <c r="C90" s="46" t="s">
        <v>139</v>
      </c>
      <c r="D90" s="94" t="s">
        <v>25</v>
      </c>
      <c r="E90" s="283"/>
      <c r="F90" s="283"/>
      <c r="G90" s="49"/>
      <c r="H90" s="67"/>
      <c r="I90" s="67"/>
      <c r="J90" s="67"/>
      <c r="K90" s="108">
        <v>0.22</v>
      </c>
      <c r="L90" s="50">
        <v>5</v>
      </c>
      <c r="M90" s="51"/>
      <c r="N90" s="50"/>
      <c r="O90" s="51"/>
      <c r="P90" s="50"/>
      <c r="Q90" s="109">
        <v>18.579999999999998</v>
      </c>
      <c r="R90" s="50">
        <v>440</v>
      </c>
      <c r="S90" s="52"/>
      <c r="T90" s="52"/>
      <c r="U90" s="51">
        <v>76.44</v>
      </c>
      <c r="V90" s="68">
        <v>1810</v>
      </c>
      <c r="W90" s="254"/>
      <c r="Y90" s="55">
        <f t="shared" si="0"/>
        <v>0</v>
      </c>
      <c r="Z90" s="55">
        <f t="shared" si="4"/>
        <v>0</v>
      </c>
      <c r="AA90" s="129">
        <f t="shared" si="3"/>
        <v>445</v>
      </c>
      <c r="AB90" s="56" t="s">
        <v>27</v>
      </c>
      <c r="AD90" s="220"/>
      <c r="AE90" s="59"/>
      <c r="AF90" s="220"/>
      <c r="AG90" s="231"/>
      <c r="AI90" s="59"/>
      <c r="AJ90" s="59"/>
      <c r="AK90" s="59"/>
      <c r="AL90" s="59"/>
    </row>
    <row r="91" spans="1:38" s="20" customFormat="1">
      <c r="A91" s="275" t="s">
        <v>164</v>
      </c>
      <c r="B91" s="214" t="s">
        <v>242</v>
      </c>
      <c r="C91" s="34">
        <v>34044</v>
      </c>
      <c r="D91" s="12" t="s">
        <v>165</v>
      </c>
      <c r="E91" s="296" t="s">
        <v>167</v>
      </c>
      <c r="F91" s="296" t="s">
        <v>116</v>
      </c>
      <c r="G91" s="36"/>
      <c r="H91" s="42"/>
      <c r="I91" s="69">
        <v>83.93</v>
      </c>
      <c r="J91" s="42">
        <v>12610</v>
      </c>
      <c r="K91" s="116">
        <v>83.93</v>
      </c>
      <c r="L91" s="37">
        <v>10541</v>
      </c>
      <c r="M91" s="38"/>
      <c r="N91" s="37"/>
      <c r="O91" s="71">
        <v>2.37</v>
      </c>
      <c r="P91" s="37">
        <v>356</v>
      </c>
      <c r="Q91" s="112">
        <v>8.3800000000000008</v>
      </c>
      <c r="R91" s="37">
        <v>1052</v>
      </c>
      <c r="S91" s="39"/>
      <c r="T91" s="39"/>
      <c r="U91" s="38">
        <v>30.6</v>
      </c>
      <c r="V91" s="66">
        <v>3843</v>
      </c>
      <c r="W91" s="261">
        <v>45979</v>
      </c>
      <c r="Y91" s="31">
        <f t="shared" si="0"/>
        <v>0</v>
      </c>
      <c r="Z91" s="117">
        <f t="shared" si="4"/>
        <v>12966</v>
      </c>
      <c r="AA91" s="110">
        <f t="shared" si="3"/>
        <v>11593</v>
      </c>
      <c r="AB91" s="32" t="s">
        <v>27</v>
      </c>
      <c r="AD91" s="218"/>
      <c r="AE91" s="58"/>
      <c r="AF91" s="218"/>
      <c r="AG91" s="229"/>
      <c r="AI91" s="58"/>
      <c r="AJ91" s="58"/>
      <c r="AK91" s="58"/>
      <c r="AL91" s="58"/>
    </row>
    <row r="92" spans="1:38" s="20" customFormat="1" ht="15" customHeight="1">
      <c r="A92" s="279"/>
      <c r="B92" s="214" t="s">
        <v>233</v>
      </c>
      <c r="C92" s="34">
        <v>34613</v>
      </c>
      <c r="D92" s="12" t="s">
        <v>54</v>
      </c>
      <c r="E92" s="298"/>
      <c r="F92" s="298"/>
      <c r="G92" s="7"/>
      <c r="H92" s="25"/>
      <c r="I92" s="25"/>
      <c r="J92" s="25"/>
      <c r="K92" s="106">
        <v>1307.5999999999999</v>
      </c>
      <c r="L92" s="22">
        <v>95375</v>
      </c>
      <c r="M92" s="5"/>
      <c r="N92" s="22"/>
      <c r="O92" s="5"/>
      <c r="P92" s="22"/>
      <c r="Q92" s="107">
        <v>192.43</v>
      </c>
      <c r="R92" s="22">
        <v>14036</v>
      </c>
      <c r="S92" s="27"/>
      <c r="T92" s="27"/>
      <c r="U92" s="5">
        <v>402.07</v>
      </c>
      <c r="V92" s="63">
        <v>29327</v>
      </c>
      <c r="W92" s="262"/>
      <c r="Y92" s="103">
        <f t="shared" si="0"/>
        <v>0</v>
      </c>
      <c r="Z92" s="31">
        <f t="shared" si="4"/>
        <v>0</v>
      </c>
      <c r="AA92" s="110">
        <f t="shared" si="3"/>
        <v>109411</v>
      </c>
      <c r="AB92" s="127" t="s">
        <v>27</v>
      </c>
      <c r="AD92" s="219"/>
      <c r="AE92" s="4"/>
      <c r="AF92" s="219"/>
      <c r="AG92" s="230"/>
      <c r="AI92" s="4"/>
      <c r="AJ92" s="4"/>
      <c r="AK92" s="4"/>
      <c r="AL92" s="4"/>
    </row>
    <row r="93" spans="1:38" s="20" customFormat="1" ht="15.75" customHeight="1" thickBot="1">
      <c r="A93" s="276"/>
      <c r="B93" s="45" t="s">
        <v>161</v>
      </c>
      <c r="C93" s="46" t="s">
        <v>139</v>
      </c>
      <c r="D93" s="47" t="s">
        <v>166</v>
      </c>
      <c r="E93" s="297"/>
      <c r="F93" s="297"/>
      <c r="G93" s="49"/>
      <c r="H93" s="67"/>
      <c r="I93" s="67"/>
      <c r="J93" s="67"/>
      <c r="K93" s="49"/>
      <c r="L93" s="50"/>
      <c r="M93" s="51"/>
      <c r="N93" s="50"/>
      <c r="O93" s="51"/>
      <c r="P93" s="50"/>
      <c r="Q93" s="109">
        <v>5.31</v>
      </c>
      <c r="R93" s="50">
        <v>100.01</v>
      </c>
      <c r="S93" s="52"/>
      <c r="T93" s="52"/>
      <c r="U93" s="51">
        <v>24.98</v>
      </c>
      <c r="V93" s="68">
        <v>458</v>
      </c>
      <c r="W93" s="263"/>
      <c r="Y93" s="55">
        <f t="shared" si="0"/>
        <v>0</v>
      </c>
      <c r="Z93" s="55">
        <f t="shared" si="4"/>
        <v>0</v>
      </c>
      <c r="AA93" s="129">
        <f t="shared" si="3"/>
        <v>100.01</v>
      </c>
      <c r="AB93" s="56" t="s">
        <v>27</v>
      </c>
      <c r="AD93" s="220"/>
      <c r="AE93" s="59"/>
      <c r="AF93" s="220"/>
      <c r="AG93" s="231"/>
      <c r="AI93" s="59"/>
      <c r="AJ93" s="59"/>
      <c r="AK93" s="59"/>
      <c r="AL93" s="59"/>
    </row>
    <row r="94" spans="1:38" s="20" customFormat="1" ht="13.5" thickBot="1">
      <c r="A94" s="139" t="s">
        <v>168</v>
      </c>
      <c r="B94" s="139" t="s">
        <v>96</v>
      </c>
      <c r="C94" s="140" t="s">
        <v>139</v>
      </c>
      <c r="D94" s="134" t="s">
        <v>169</v>
      </c>
      <c r="E94" s="206" t="s">
        <v>170</v>
      </c>
      <c r="F94" s="206" t="s">
        <v>116</v>
      </c>
      <c r="G94" s="73"/>
      <c r="H94" s="207"/>
      <c r="I94" s="208">
        <v>133.53</v>
      </c>
      <c r="J94" s="207">
        <v>3849</v>
      </c>
      <c r="K94" s="120">
        <v>40.24</v>
      </c>
      <c r="L94" s="74">
        <v>970</v>
      </c>
      <c r="M94" s="76"/>
      <c r="N94" s="74"/>
      <c r="O94" s="209">
        <v>9.61</v>
      </c>
      <c r="P94" s="74">
        <v>277</v>
      </c>
      <c r="Q94" s="121">
        <v>2.06</v>
      </c>
      <c r="R94" s="74">
        <v>49</v>
      </c>
      <c r="S94" s="99"/>
      <c r="T94" s="99"/>
      <c r="U94" s="98">
        <v>41.28</v>
      </c>
      <c r="V94" s="100">
        <v>993</v>
      </c>
      <c r="W94" s="102">
        <v>45980</v>
      </c>
      <c r="Y94" s="210">
        <f t="shared" si="0"/>
        <v>0</v>
      </c>
      <c r="Z94" s="211">
        <f t="shared" si="4"/>
        <v>4126</v>
      </c>
      <c r="AA94" s="212">
        <f t="shared" si="3"/>
        <v>1019</v>
      </c>
      <c r="AB94" s="213" t="s">
        <v>27</v>
      </c>
      <c r="AD94" s="228"/>
      <c r="AE94" s="206"/>
      <c r="AF94" s="228"/>
      <c r="AG94" s="237"/>
      <c r="AI94" s="206"/>
      <c r="AJ94" s="206"/>
      <c r="AK94" s="206"/>
      <c r="AL94" s="206"/>
    </row>
    <row r="95" spans="1:38" s="20" customFormat="1" ht="13.5" thickBot="1">
      <c r="A95" s="93" t="s">
        <v>171</v>
      </c>
      <c r="B95" s="93" t="s">
        <v>139</v>
      </c>
      <c r="C95" s="138" t="s">
        <v>139</v>
      </c>
      <c r="D95" s="94" t="s">
        <v>172</v>
      </c>
      <c r="E95" s="95" t="s">
        <v>173</v>
      </c>
      <c r="F95" s="95" t="s">
        <v>15</v>
      </c>
      <c r="G95" s="96"/>
      <c r="H95" s="136"/>
      <c r="I95" s="135">
        <v>32.36</v>
      </c>
      <c r="J95" s="136">
        <v>218</v>
      </c>
      <c r="K95" s="96"/>
      <c r="L95" s="97"/>
      <c r="M95" s="98"/>
      <c r="N95" s="97"/>
      <c r="O95" s="137">
        <v>9.1300000000000008</v>
      </c>
      <c r="P95" s="97">
        <v>61</v>
      </c>
      <c r="Q95" s="98"/>
      <c r="R95" s="97"/>
      <c r="S95" s="87">
        <v>14.5</v>
      </c>
      <c r="T95" s="87">
        <v>82</v>
      </c>
      <c r="U95" s="87">
        <v>52.06</v>
      </c>
      <c r="V95" s="89">
        <v>293</v>
      </c>
      <c r="W95" s="90">
        <v>45982</v>
      </c>
      <c r="Y95" s="201">
        <f t="shared" si="0"/>
        <v>0</v>
      </c>
      <c r="Z95" s="202">
        <f t="shared" si="4"/>
        <v>279</v>
      </c>
      <c r="AA95" s="201">
        <f t="shared" si="3"/>
        <v>0</v>
      </c>
      <c r="AB95" s="128" t="s">
        <v>27</v>
      </c>
      <c r="AD95" s="222"/>
      <c r="AE95" s="95"/>
      <c r="AF95" s="222"/>
      <c r="AG95" s="233"/>
      <c r="AI95" s="95"/>
      <c r="AJ95" s="95"/>
      <c r="AK95" s="95"/>
      <c r="AL95" s="95"/>
    </row>
    <row r="96" spans="1:38" s="20" customFormat="1">
      <c r="A96" s="277" t="s">
        <v>182</v>
      </c>
      <c r="B96" s="33" t="s">
        <v>232</v>
      </c>
      <c r="C96" s="34">
        <v>32415</v>
      </c>
      <c r="D96" s="35" t="s">
        <v>183</v>
      </c>
      <c r="E96" s="281" t="s">
        <v>185</v>
      </c>
      <c r="F96" s="281" t="s">
        <v>186</v>
      </c>
      <c r="G96" s="36"/>
      <c r="H96" s="42"/>
      <c r="I96" s="69">
        <v>74.25</v>
      </c>
      <c r="J96" s="42">
        <v>40370</v>
      </c>
      <c r="K96" s="36"/>
      <c r="L96" s="37"/>
      <c r="M96" s="38"/>
      <c r="N96" s="37"/>
      <c r="O96" s="146">
        <v>-14.62</v>
      </c>
      <c r="P96" s="143">
        <v>-1132</v>
      </c>
      <c r="Q96" s="38"/>
      <c r="R96" s="37"/>
      <c r="S96" s="27"/>
      <c r="T96" s="27"/>
      <c r="U96" s="38">
        <v>12.79</v>
      </c>
      <c r="V96" s="66">
        <v>10154</v>
      </c>
      <c r="W96" s="253">
        <v>45983</v>
      </c>
      <c r="Y96" s="31">
        <f t="shared" si="0"/>
        <v>0</v>
      </c>
      <c r="Z96" s="144">
        <f t="shared" si="4"/>
        <v>39238</v>
      </c>
      <c r="AA96" s="31">
        <f t="shared" si="3"/>
        <v>0</v>
      </c>
      <c r="AB96" s="32" t="s">
        <v>27</v>
      </c>
      <c r="AD96" s="218"/>
      <c r="AE96" s="58"/>
      <c r="AF96" s="218"/>
      <c r="AG96" s="229"/>
      <c r="AI96" s="58"/>
      <c r="AJ96" s="58"/>
      <c r="AK96" s="58"/>
      <c r="AL96" s="58"/>
    </row>
    <row r="97" spans="1:38" s="20" customFormat="1" ht="15.75" customHeight="1" thickBot="1">
      <c r="A97" s="278"/>
      <c r="B97" s="45" t="s">
        <v>139</v>
      </c>
      <c r="C97" s="46">
        <v>41907</v>
      </c>
      <c r="D97" s="47" t="s">
        <v>184</v>
      </c>
      <c r="E97" s="283"/>
      <c r="F97" s="283"/>
      <c r="G97" s="49"/>
      <c r="H97" s="67"/>
      <c r="I97" s="49"/>
      <c r="J97" s="67"/>
      <c r="K97" s="49"/>
      <c r="L97" s="50"/>
      <c r="M97" s="51"/>
      <c r="N97" s="50"/>
      <c r="O97" s="51"/>
      <c r="P97" s="50"/>
      <c r="Q97" s="109">
        <v>1.5</v>
      </c>
      <c r="R97" s="50">
        <v>7</v>
      </c>
      <c r="S97" s="52"/>
      <c r="T97" s="52"/>
      <c r="U97" s="51">
        <v>16.02</v>
      </c>
      <c r="V97" s="68">
        <v>70</v>
      </c>
      <c r="W97" s="254"/>
      <c r="Y97" s="55">
        <f t="shared" si="0"/>
        <v>0</v>
      </c>
      <c r="Z97" s="55">
        <f t="shared" si="4"/>
        <v>0</v>
      </c>
      <c r="AA97" s="129">
        <f t="shared" si="3"/>
        <v>7</v>
      </c>
      <c r="AB97" s="56" t="s">
        <v>27</v>
      </c>
      <c r="AD97" s="220"/>
      <c r="AE97" s="59"/>
      <c r="AF97" s="220"/>
      <c r="AG97" s="231"/>
      <c r="AI97" s="59"/>
      <c r="AJ97" s="59"/>
      <c r="AK97" s="59"/>
      <c r="AL97" s="59"/>
    </row>
    <row r="98" spans="1:38" s="20" customFormat="1" ht="13.5" thickBot="1">
      <c r="A98" s="139" t="s">
        <v>187</v>
      </c>
      <c r="B98" s="139" t="s">
        <v>160</v>
      </c>
      <c r="C98" s="140" t="s">
        <v>139</v>
      </c>
      <c r="D98" s="134" t="s">
        <v>188</v>
      </c>
      <c r="E98" s="206" t="s">
        <v>189</v>
      </c>
      <c r="F98" s="206" t="s">
        <v>15</v>
      </c>
      <c r="G98" s="73"/>
      <c r="H98" s="207"/>
      <c r="I98" s="208">
        <v>1430.1</v>
      </c>
      <c r="J98" s="207">
        <v>13449</v>
      </c>
      <c r="K98" s="120">
        <v>144.44</v>
      </c>
      <c r="L98" s="74">
        <v>1135</v>
      </c>
      <c r="M98" s="76"/>
      <c r="N98" s="74"/>
      <c r="O98" s="209">
        <v>204.73</v>
      </c>
      <c r="P98" s="74">
        <v>1925</v>
      </c>
      <c r="Q98" s="121">
        <v>21.82</v>
      </c>
      <c r="R98" s="74">
        <v>172</v>
      </c>
      <c r="S98" s="88"/>
      <c r="T98" s="88"/>
      <c r="U98" s="87">
        <v>652.41</v>
      </c>
      <c r="V98" s="89">
        <v>5128</v>
      </c>
      <c r="W98" s="90">
        <v>45984</v>
      </c>
      <c r="Y98" s="210">
        <f t="shared" si="0"/>
        <v>0</v>
      </c>
      <c r="Z98" s="211">
        <f t="shared" si="4"/>
        <v>15374</v>
      </c>
      <c r="AA98" s="212">
        <f t="shared" si="3"/>
        <v>1307</v>
      </c>
      <c r="AB98" s="213" t="s">
        <v>27</v>
      </c>
      <c r="AD98" s="228"/>
      <c r="AE98" s="206"/>
      <c r="AF98" s="228"/>
      <c r="AG98" s="237"/>
      <c r="AI98" s="206"/>
      <c r="AJ98" s="206"/>
      <c r="AK98" s="206"/>
      <c r="AL98" s="206"/>
    </row>
    <row r="99" spans="1:38" s="20" customFormat="1" ht="13.5" thickBot="1">
      <c r="A99" s="93" t="s">
        <v>190</v>
      </c>
      <c r="B99" s="93" t="s">
        <v>191</v>
      </c>
      <c r="C99" s="138">
        <v>39282</v>
      </c>
      <c r="D99" s="94" t="s">
        <v>192</v>
      </c>
      <c r="E99" s="95" t="s">
        <v>193</v>
      </c>
      <c r="F99" s="95" t="s">
        <v>98</v>
      </c>
      <c r="G99" s="96">
        <v>3.9</v>
      </c>
      <c r="H99" s="136">
        <v>39</v>
      </c>
      <c r="I99" s="96"/>
      <c r="J99" s="136"/>
      <c r="K99" s="96"/>
      <c r="L99" s="97"/>
      <c r="M99" s="98">
        <v>0.54</v>
      </c>
      <c r="N99" s="97">
        <v>5</v>
      </c>
      <c r="O99" s="98"/>
      <c r="P99" s="97"/>
      <c r="Q99" s="126">
        <v>20.97</v>
      </c>
      <c r="R99" s="97">
        <v>185</v>
      </c>
      <c r="S99" s="88"/>
      <c r="T99" s="88"/>
      <c r="U99" s="87">
        <v>174.27</v>
      </c>
      <c r="V99" s="89">
        <v>1543</v>
      </c>
      <c r="W99" s="90">
        <v>45985</v>
      </c>
      <c r="Y99" s="201">
        <f t="shared" si="0"/>
        <v>44</v>
      </c>
      <c r="Z99" s="201">
        <f t="shared" si="4"/>
        <v>0</v>
      </c>
      <c r="AA99" s="203">
        <f t="shared" si="3"/>
        <v>185</v>
      </c>
      <c r="AB99" s="128" t="s">
        <v>27</v>
      </c>
      <c r="AD99" s="222"/>
      <c r="AE99" s="95"/>
      <c r="AF99" s="222"/>
      <c r="AG99" s="233"/>
      <c r="AI99" s="95"/>
      <c r="AJ99" s="95"/>
      <c r="AK99" s="95"/>
      <c r="AL99" s="95"/>
    </row>
    <row r="100" spans="1:38" s="20" customFormat="1">
      <c r="A100" s="277" t="s">
        <v>194</v>
      </c>
      <c r="B100" s="214" t="s">
        <v>233</v>
      </c>
      <c r="C100" s="34">
        <v>32298</v>
      </c>
      <c r="D100" s="12" t="s">
        <v>197</v>
      </c>
      <c r="E100" s="58" t="s">
        <v>195</v>
      </c>
      <c r="F100" s="281" t="s">
        <v>16</v>
      </c>
      <c r="G100" s="36"/>
      <c r="H100" s="42"/>
      <c r="I100" s="42"/>
      <c r="J100" s="42"/>
      <c r="K100" s="116">
        <v>563.79</v>
      </c>
      <c r="L100" s="37">
        <v>319174</v>
      </c>
      <c r="M100" s="38"/>
      <c r="N100" s="37"/>
      <c r="O100" s="38"/>
      <c r="P100" s="37"/>
      <c r="Q100" s="112">
        <v>95.48</v>
      </c>
      <c r="R100" s="37">
        <v>54056</v>
      </c>
      <c r="S100" s="39"/>
      <c r="T100" s="39"/>
      <c r="U100" s="38">
        <v>180.94</v>
      </c>
      <c r="V100" s="66">
        <v>102432</v>
      </c>
      <c r="W100" s="253">
        <v>46212</v>
      </c>
      <c r="Y100" s="31">
        <f t="shared" si="0"/>
        <v>0</v>
      </c>
      <c r="Z100" s="31">
        <f t="shared" si="4"/>
        <v>0</v>
      </c>
      <c r="AA100" s="110">
        <f t="shared" si="3"/>
        <v>373230</v>
      </c>
      <c r="AB100" s="32" t="s">
        <v>27</v>
      </c>
      <c r="AD100" s="218"/>
      <c r="AE100" s="58"/>
      <c r="AF100" s="218"/>
      <c r="AG100" s="229"/>
      <c r="AI100" s="58"/>
      <c r="AJ100" s="58"/>
      <c r="AK100" s="58"/>
      <c r="AL100" s="58"/>
    </row>
    <row r="101" spans="1:38" s="20" customFormat="1" ht="15.75" customHeight="1" thickBot="1">
      <c r="A101" s="278"/>
      <c r="B101" s="216" t="s">
        <v>233</v>
      </c>
      <c r="C101" s="46">
        <v>32298</v>
      </c>
      <c r="D101" s="47" t="s">
        <v>197</v>
      </c>
      <c r="E101" s="59" t="s">
        <v>196</v>
      </c>
      <c r="F101" s="283"/>
      <c r="G101" s="49"/>
      <c r="H101" s="67"/>
      <c r="I101" s="67"/>
      <c r="J101" s="67"/>
      <c r="K101" s="108">
        <v>563.79</v>
      </c>
      <c r="L101" s="50">
        <v>319174</v>
      </c>
      <c r="M101" s="51"/>
      <c r="N101" s="50"/>
      <c r="O101" s="51"/>
      <c r="P101" s="50"/>
      <c r="Q101" s="109">
        <v>95.48</v>
      </c>
      <c r="R101" s="50">
        <v>54056</v>
      </c>
      <c r="S101" s="52"/>
      <c r="T101" s="52"/>
      <c r="U101" s="51">
        <v>180.94</v>
      </c>
      <c r="V101" s="68">
        <v>102432</v>
      </c>
      <c r="W101" s="254"/>
      <c r="Y101" s="55">
        <f t="shared" si="0"/>
        <v>0</v>
      </c>
      <c r="Z101" s="55">
        <f t="shared" si="4"/>
        <v>0</v>
      </c>
      <c r="AA101" s="129">
        <f t="shared" si="3"/>
        <v>373230</v>
      </c>
      <c r="AB101" s="56" t="s">
        <v>27</v>
      </c>
      <c r="AD101" s="220"/>
      <c r="AE101" s="59"/>
      <c r="AF101" s="220"/>
      <c r="AG101" s="231"/>
      <c r="AI101" s="59"/>
      <c r="AJ101" s="59"/>
      <c r="AK101" s="59"/>
      <c r="AL101" s="59"/>
    </row>
    <row r="102" spans="1:38" s="20" customFormat="1">
      <c r="A102" s="275" t="s">
        <v>198</v>
      </c>
      <c r="B102" s="214" t="s">
        <v>243</v>
      </c>
      <c r="C102" s="34">
        <v>27570</v>
      </c>
      <c r="D102" s="35" t="s">
        <v>199</v>
      </c>
      <c r="E102" s="296" t="s">
        <v>200</v>
      </c>
      <c r="F102" s="296" t="s">
        <v>15</v>
      </c>
      <c r="G102" s="36"/>
      <c r="H102" s="42"/>
      <c r="I102" s="42"/>
      <c r="J102" s="42"/>
      <c r="K102" s="116">
        <v>250</v>
      </c>
      <c r="L102" s="37">
        <v>1483599</v>
      </c>
      <c r="M102" s="38"/>
      <c r="N102" s="37"/>
      <c r="O102" s="38"/>
      <c r="P102" s="37"/>
      <c r="Q102" s="112">
        <v>30.67</v>
      </c>
      <c r="R102" s="37">
        <v>182017</v>
      </c>
      <c r="S102" s="39"/>
      <c r="T102" s="39"/>
      <c r="U102" s="38">
        <v>61.61</v>
      </c>
      <c r="V102" s="66">
        <v>365597</v>
      </c>
      <c r="W102" s="261">
        <v>46255</v>
      </c>
      <c r="Y102" s="31">
        <f t="shared" si="0"/>
        <v>0</v>
      </c>
      <c r="Z102" s="31">
        <f t="shared" si="4"/>
        <v>0</v>
      </c>
      <c r="AA102" s="110">
        <f t="shared" si="3"/>
        <v>1665616</v>
      </c>
      <c r="AB102" s="32" t="s">
        <v>27</v>
      </c>
      <c r="AD102" s="218"/>
      <c r="AE102" s="58"/>
      <c r="AF102" s="218"/>
      <c r="AG102" s="229"/>
      <c r="AI102" s="58"/>
      <c r="AJ102" s="58"/>
      <c r="AK102" s="58"/>
      <c r="AL102" s="58"/>
    </row>
    <row r="103" spans="1:38" s="20" customFormat="1" ht="15.75" customHeight="1" thickBot="1">
      <c r="A103" s="276"/>
      <c r="B103" s="216" t="s">
        <v>244</v>
      </c>
      <c r="C103" s="46">
        <v>29039</v>
      </c>
      <c r="D103" s="47" t="s">
        <v>25</v>
      </c>
      <c r="E103" s="297"/>
      <c r="F103" s="297"/>
      <c r="G103" s="49"/>
      <c r="H103" s="67"/>
      <c r="I103" s="67"/>
      <c r="J103" s="67"/>
      <c r="K103" s="108">
        <v>4.24</v>
      </c>
      <c r="L103" s="50">
        <v>15448</v>
      </c>
      <c r="M103" s="51"/>
      <c r="N103" s="50"/>
      <c r="O103" s="51"/>
      <c r="P103" s="50"/>
      <c r="Q103" s="109">
        <v>1.97</v>
      </c>
      <c r="R103" s="50">
        <v>7183</v>
      </c>
      <c r="S103" s="52"/>
      <c r="T103" s="52"/>
      <c r="U103" s="51">
        <v>4.1100000000000003</v>
      </c>
      <c r="V103" s="54">
        <v>14990</v>
      </c>
      <c r="W103" s="263"/>
      <c r="Y103" s="55">
        <f t="shared" si="0"/>
        <v>0</v>
      </c>
      <c r="Z103" s="55">
        <f t="shared" si="4"/>
        <v>0</v>
      </c>
      <c r="AA103" s="129">
        <f t="shared" si="3"/>
        <v>22631</v>
      </c>
      <c r="AB103" s="56" t="s">
        <v>27</v>
      </c>
      <c r="AD103" s="220"/>
      <c r="AE103" s="59"/>
      <c r="AF103" s="220"/>
      <c r="AG103" s="231"/>
      <c r="AI103" s="59"/>
      <c r="AJ103" s="59"/>
      <c r="AK103" s="59"/>
      <c r="AL103" s="59"/>
    </row>
    <row r="104" spans="1:38" s="20" customFormat="1" ht="13.5" thickBot="1">
      <c r="A104" s="179"/>
      <c r="B104" s="179"/>
      <c r="C104" s="180"/>
      <c r="D104" s="157" t="s">
        <v>221</v>
      </c>
      <c r="E104" s="174"/>
      <c r="F104" s="174"/>
      <c r="G104" s="175"/>
      <c r="H104" s="176"/>
      <c r="I104" s="176"/>
      <c r="J104" s="176"/>
      <c r="K104" s="175"/>
      <c r="L104" s="177"/>
      <c r="M104" s="178"/>
      <c r="N104" s="177"/>
      <c r="O104" s="178"/>
      <c r="P104" s="177"/>
      <c r="Q104" s="178"/>
      <c r="R104" s="177"/>
      <c r="S104" s="150"/>
      <c r="T104" s="150"/>
      <c r="U104" s="150"/>
      <c r="V104" s="151"/>
      <c r="W104" s="152"/>
      <c r="Y104" s="181"/>
      <c r="Z104" s="181"/>
      <c r="AA104" s="181"/>
      <c r="AB104" s="182"/>
      <c r="AD104" s="225"/>
      <c r="AE104" s="174"/>
      <c r="AF104" s="225"/>
      <c r="AG104" s="238"/>
      <c r="AI104" s="174"/>
      <c r="AJ104" s="174"/>
      <c r="AK104" s="174"/>
      <c r="AL104" s="174"/>
    </row>
    <row r="105" spans="1:38" s="20" customFormat="1">
      <c r="A105" s="33"/>
      <c r="B105" s="33" t="s">
        <v>207</v>
      </c>
      <c r="C105" s="34" t="s">
        <v>139</v>
      </c>
      <c r="D105" s="153" t="s">
        <v>204</v>
      </c>
      <c r="E105" s="4" t="s">
        <v>208</v>
      </c>
      <c r="F105" s="4" t="s">
        <v>88</v>
      </c>
      <c r="G105" s="36"/>
      <c r="H105" s="42"/>
      <c r="I105" s="36"/>
      <c r="J105" s="42"/>
      <c r="K105" s="145">
        <v>41.109643433602351</v>
      </c>
      <c r="L105" s="147">
        <v>1493</v>
      </c>
      <c r="M105" s="38"/>
      <c r="N105" s="37"/>
      <c r="O105" s="38"/>
      <c r="P105" s="37"/>
      <c r="Q105" s="148">
        <v>5.69</v>
      </c>
      <c r="R105" s="37">
        <v>207</v>
      </c>
      <c r="S105" s="39"/>
      <c r="T105" s="39"/>
      <c r="U105" s="148">
        <v>12.9</v>
      </c>
      <c r="V105" s="149">
        <v>469</v>
      </c>
      <c r="W105" s="104"/>
      <c r="Y105" s="103">
        <f t="shared" si="0"/>
        <v>0</v>
      </c>
      <c r="Z105" s="31">
        <f t="shared" si="4"/>
        <v>0</v>
      </c>
      <c r="AA105" s="110">
        <f t="shared" si="3"/>
        <v>1700</v>
      </c>
      <c r="AB105" s="127" t="s">
        <v>27</v>
      </c>
      <c r="AD105" s="218"/>
      <c r="AE105" s="58"/>
      <c r="AF105" s="218"/>
      <c r="AG105" s="229"/>
      <c r="AI105" s="58"/>
      <c r="AJ105" s="58"/>
      <c r="AK105" s="58"/>
      <c r="AL105" s="58"/>
    </row>
    <row r="106" spans="1:38" s="20" customFormat="1">
      <c r="A106" s="33"/>
      <c r="B106" s="33" t="s">
        <v>207</v>
      </c>
      <c r="C106" s="34" t="s">
        <v>139</v>
      </c>
      <c r="D106" s="153" t="s">
        <v>204</v>
      </c>
      <c r="E106" s="155" t="s">
        <v>216</v>
      </c>
      <c r="F106" s="58" t="s">
        <v>116</v>
      </c>
      <c r="G106" s="36"/>
      <c r="H106" s="42"/>
      <c r="I106" s="36"/>
      <c r="J106" s="42"/>
      <c r="K106" s="145">
        <v>26.002289068231843</v>
      </c>
      <c r="L106" s="147">
        <v>8337</v>
      </c>
      <c r="M106" s="38"/>
      <c r="N106" s="37"/>
      <c r="O106" s="38"/>
      <c r="P106" s="37"/>
      <c r="Q106" s="148">
        <v>3.6</v>
      </c>
      <c r="R106" s="37">
        <v>1154</v>
      </c>
      <c r="S106" s="39"/>
      <c r="T106" s="39"/>
      <c r="U106" s="148">
        <v>8.16</v>
      </c>
      <c r="V106" s="149">
        <v>2617</v>
      </c>
      <c r="W106" s="104"/>
      <c r="Y106" s="103">
        <f t="shared" si="0"/>
        <v>0</v>
      </c>
      <c r="Z106" s="31">
        <f t="shared" si="4"/>
        <v>0</v>
      </c>
      <c r="AA106" s="110">
        <f t="shared" si="3"/>
        <v>9491</v>
      </c>
      <c r="AB106" s="127"/>
      <c r="AD106" s="218"/>
      <c r="AE106" s="58"/>
      <c r="AF106" s="218"/>
      <c r="AG106" s="229"/>
      <c r="AI106" s="58"/>
      <c r="AJ106" s="58"/>
      <c r="AK106" s="58"/>
      <c r="AL106" s="58"/>
    </row>
    <row r="107" spans="1:38" s="20" customFormat="1">
      <c r="A107" s="33"/>
      <c r="B107" s="33" t="s">
        <v>207</v>
      </c>
      <c r="C107" s="34" t="s">
        <v>139</v>
      </c>
      <c r="D107" s="154" t="s">
        <v>206</v>
      </c>
      <c r="E107" s="156" t="s">
        <v>209</v>
      </c>
      <c r="F107" s="156" t="s">
        <v>116</v>
      </c>
      <c r="G107" s="36"/>
      <c r="H107" s="42"/>
      <c r="I107" s="36"/>
      <c r="J107" s="42"/>
      <c r="K107" s="145">
        <v>33.801907556859874</v>
      </c>
      <c r="L107" s="147">
        <v>1551</v>
      </c>
      <c r="M107" s="38"/>
      <c r="N107" s="37"/>
      <c r="O107" s="38"/>
      <c r="P107" s="37"/>
      <c r="Q107" s="148">
        <v>4.68</v>
      </c>
      <c r="R107" s="37">
        <v>215</v>
      </c>
      <c r="S107" s="39"/>
      <c r="T107" s="39"/>
      <c r="U107" s="148">
        <v>10.61</v>
      </c>
      <c r="V107" s="149">
        <v>487</v>
      </c>
      <c r="W107" s="104"/>
      <c r="Y107" s="103">
        <f t="shared" si="0"/>
        <v>0</v>
      </c>
      <c r="Z107" s="31">
        <f t="shared" si="4"/>
        <v>0</v>
      </c>
      <c r="AA107" s="110">
        <f t="shared" si="3"/>
        <v>1766</v>
      </c>
      <c r="AB107" s="127"/>
      <c r="AD107" s="168"/>
      <c r="AE107" s="168"/>
      <c r="AF107" s="168"/>
      <c r="AG107" s="239"/>
      <c r="AI107" s="168"/>
      <c r="AJ107" s="168"/>
      <c r="AK107" s="168"/>
      <c r="AL107" s="168"/>
    </row>
    <row r="108" spans="1:38" s="20" customFormat="1">
      <c r="A108" s="33"/>
      <c r="B108" s="33" t="s">
        <v>207</v>
      </c>
      <c r="C108" s="34" t="s">
        <v>139</v>
      </c>
      <c r="D108" s="153" t="s">
        <v>204</v>
      </c>
      <c r="E108" s="4" t="s">
        <v>210</v>
      </c>
      <c r="F108" s="4" t="s">
        <v>15</v>
      </c>
      <c r="G108" s="36"/>
      <c r="H108" s="42"/>
      <c r="I108" s="36"/>
      <c r="J108" s="42"/>
      <c r="K108" s="145">
        <v>294.35666000000003</v>
      </c>
      <c r="L108" s="147">
        <v>6905</v>
      </c>
      <c r="M108" s="38"/>
      <c r="N108" s="37"/>
      <c r="O108" s="38"/>
      <c r="P108" s="37"/>
      <c r="Q108" s="148">
        <v>40.76</v>
      </c>
      <c r="R108" s="37">
        <v>956</v>
      </c>
      <c r="S108" s="39"/>
      <c r="T108" s="39"/>
      <c r="U108" s="148">
        <v>92.38</v>
      </c>
      <c r="V108" s="149">
        <v>2166</v>
      </c>
      <c r="W108" s="104"/>
      <c r="Y108" s="103">
        <f t="shared" si="0"/>
        <v>0</v>
      </c>
      <c r="Z108" s="31">
        <f t="shared" si="4"/>
        <v>0</v>
      </c>
      <c r="AA108" s="110">
        <f t="shared" si="3"/>
        <v>7861</v>
      </c>
      <c r="AB108" s="127"/>
      <c r="AD108" s="218"/>
      <c r="AE108" s="58"/>
      <c r="AF108" s="218"/>
      <c r="AG108" s="229"/>
      <c r="AI108" s="58"/>
      <c r="AJ108" s="58"/>
      <c r="AK108" s="58"/>
      <c r="AL108" s="58"/>
    </row>
    <row r="109" spans="1:38" s="20" customFormat="1">
      <c r="A109" s="33"/>
      <c r="B109" s="33" t="s">
        <v>207</v>
      </c>
      <c r="C109" s="34" t="s">
        <v>139</v>
      </c>
      <c r="D109" s="153" t="s">
        <v>204</v>
      </c>
      <c r="E109" s="4" t="s">
        <v>217</v>
      </c>
      <c r="F109" s="4" t="s">
        <v>219</v>
      </c>
      <c r="G109" s="36"/>
      <c r="H109" s="42"/>
      <c r="I109" s="36"/>
      <c r="J109" s="42"/>
      <c r="K109" s="145">
        <v>164.98459280997801</v>
      </c>
      <c r="L109" s="147">
        <v>9850</v>
      </c>
      <c r="M109" s="38"/>
      <c r="N109" s="37"/>
      <c r="O109" s="38"/>
      <c r="P109" s="37"/>
      <c r="Q109" s="148">
        <v>22.84</v>
      </c>
      <c r="R109" s="37">
        <v>1364</v>
      </c>
      <c r="S109" s="39"/>
      <c r="T109" s="39"/>
      <c r="U109" s="148">
        <v>51.78</v>
      </c>
      <c r="V109" s="149">
        <v>3092</v>
      </c>
      <c r="W109" s="104"/>
      <c r="Y109" s="103">
        <f t="shared" si="0"/>
        <v>0</v>
      </c>
      <c r="Z109" s="31">
        <f t="shared" si="4"/>
        <v>0</v>
      </c>
      <c r="AA109" s="110">
        <f t="shared" si="3"/>
        <v>11214</v>
      </c>
      <c r="AB109" s="127"/>
      <c r="AD109" s="218"/>
      <c r="AE109" s="58"/>
      <c r="AF109" s="218"/>
      <c r="AG109" s="229"/>
      <c r="AI109" s="58"/>
      <c r="AJ109" s="58"/>
      <c r="AK109" s="58"/>
      <c r="AL109" s="58"/>
    </row>
    <row r="110" spans="1:38" s="20" customFormat="1">
      <c r="A110" s="33"/>
      <c r="B110" s="33" t="s">
        <v>207</v>
      </c>
      <c r="C110" s="34" t="s">
        <v>139</v>
      </c>
      <c r="D110" s="153" t="s">
        <v>204</v>
      </c>
      <c r="E110" s="4" t="s">
        <v>210</v>
      </c>
      <c r="F110" s="4" t="s">
        <v>15</v>
      </c>
      <c r="G110" s="36"/>
      <c r="H110" s="42"/>
      <c r="I110" s="36"/>
      <c r="J110" s="42"/>
      <c r="K110" s="145">
        <v>294.35666324284665</v>
      </c>
      <c r="L110" s="147">
        <v>5915</v>
      </c>
      <c r="M110" s="38"/>
      <c r="N110" s="37"/>
      <c r="O110" s="38"/>
      <c r="P110" s="37"/>
      <c r="Q110" s="148">
        <v>40.76</v>
      </c>
      <c r="R110" s="37">
        <v>819</v>
      </c>
      <c r="S110" s="39"/>
      <c r="T110" s="39"/>
      <c r="U110" s="148">
        <v>92.39</v>
      </c>
      <c r="V110" s="149">
        <v>1856</v>
      </c>
      <c r="W110" s="104"/>
      <c r="Y110" s="103">
        <f t="shared" si="0"/>
        <v>0</v>
      </c>
      <c r="Z110" s="31">
        <f t="shared" si="4"/>
        <v>0</v>
      </c>
      <c r="AA110" s="110">
        <f t="shared" si="3"/>
        <v>6734</v>
      </c>
      <c r="AB110" s="127"/>
      <c r="AD110" s="218"/>
      <c r="AE110" s="58"/>
      <c r="AF110" s="218"/>
      <c r="AG110" s="229"/>
      <c r="AI110" s="58"/>
      <c r="AJ110" s="58"/>
      <c r="AK110" s="58"/>
      <c r="AL110" s="58"/>
    </row>
    <row r="111" spans="1:38" s="20" customFormat="1">
      <c r="A111" s="33"/>
      <c r="B111" s="33" t="s">
        <v>207</v>
      </c>
      <c r="C111" s="34" t="s">
        <v>139</v>
      </c>
      <c r="D111" s="153" t="s">
        <v>204</v>
      </c>
      <c r="E111" s="4" t="s">
        <v>211</v>
      </c>
      <c r="F111" s="4" t="s">
        <v>220</v>
      </c>
      <c r="G111" s="36"/>
      <c r="H111" s="42"/>
      <c r="I111" s="36"/>
      <c r="J111" s="42"/>
      <c r="K111" s="145">
        <v>121.02811151870873</v>
      </c>
      <c r="L111" s="147">
        <v>7227</v>
      </c>
      <c r="M111" s="38"/>
      <c r="N111" s="37"/>
      <c r="O111" s="38"/>
      <c r="P111" s="37"/>
      <c r="Q111" s="148">
        <v>16.760000000000002</v>
      </c>
      <c r="R111" s="37">
        <v>1001</v>
      </c>
      <c r="S111" s="39"/>
      <c r="T111" s="39"/>
      <c r="U111" s="148">
        <v>37.979999999999997</v>
      </c>
      <c r="V111" s="149">
        <v>2268</v>
      </c>
      <c r="W111" s="104"/>
      <c r="Y111" s="103">
        <f t="shared" si="0"/>
        <v>0</v>
      </c>
      <c r="Z111" s="31">
        <f t="shared" si="4"/>
        <v>0</v>
      </c>
      <c r="AA111" s="110">
        <f t="shared" si="3"/>
        <v>8228</v>
      </c>
      <c r="AB111" s="127"/>
      <c r="AD111" s="218"/>
      <c r="AE111" s="58"/>
      <c r="AF111" s="218"/>
      <c r="AG111" s="229"/>
      <c r="AI111" s="58"/>
      <c r="AJ111" s="58"/>
      <c r="AK111" s="58"/>
      <c r="AL111" s="58"/>
    </row>
    <row r="112" spans="1:38" s="20" customFormat="1">
      <c r="A112" s="33"/>
      <c r="B112" s="33" t="s">
        <v>207</v>
      </c>
      <c r="C112" s="34" t="s">
        <v>139</v>
      </c>
      <c r="D112" s="153" t="s">
        <v>204</v>
      </c>
      <c r="E112" s="4" t="s">
        <v>212</v>
      </c>
      <c r="F112" s="156" t="s">
        <v>116</v>
      </c>
      <c r="G112" s="36"/>
      <c r="H112" s="42"/>
      <c r="I112" s="36"/>
      <c r="J112" s="42"/>
      <c r="K112" s="145">
        <v>234.97500000000002</v>
      </c>
      <c r="L112" s="147">
        <v>2777</v>
      </c>
      <c r="M112" s="38"/>
      <c r="N112" s="37"/>
      <c r="O112" s="38"/>
      <c r="P112" s="37"/>
      <c r="Q112" s="148">
        <v>32.54</v>
      </c>
      <c r="R112" s="37">
        <v>385</v>
      </c>
      <c r="S112" s="39"/>
      <c r="T112" s="39"/>
      <c r="U112" s="148">
        <v>73.75</v>
      </c>
      <c r="V112" s="149">
        <v>871</v>
      </c>
      <c r="W112" s="104"/>
      <c r="Y112" s="103">
        <f t="shared" si="0"/>
        <v>0</v>
      </c>
      <c r="Z112" s="31">
        <f t="shared" si="4"/>
        <v>0</v>
      </c>
      <c r="AA112" s="110">
        <f t="shared" si="3"/>
        <v>3162</v>
      </c>
      <c r="AB112" s="127"/>
      <c r="AD112" s="168"/>
      <c r="AE112" s="168"/>
      <c r="AF112" s="168"/>
      <c r="AG112" s="239"/>
      <c r="AI112" s="168"/>
      <c r="AJ112" s="168"/>
      <c r="AK112" s="168"/>
      <c r="AL112" s="168"/>
    </row>
    <row r="113" spans="1:38" s="20" customFormat="1">
      <c r="A113" s="33"/>
      <c r="B113" s="33" t="s">
        <v>207</v>
      </c>
      <c r="C113" s="34" t="s">
        <v>139</v>
      </c>
      <c r="D113" s="4" t="s">
        <v>205</v>
      </c>
      <c r="E113" s="4" t="s">
        <v>213</v>
      </c>
      <c r="F113" s="156" t="s">
        <v>116</v>
      </c>
      <c r="G113" s="36"/>
      <c r="H113" s="42"/>
      <c r="I113" s="36"/>
      <c r="J113" s="42"/>
      <c r="K113" s="145">
        <v>88.467210000000009</v>
      </c>
      <c r="L113" s="147">
        <v>655</v>
      </c>
      <c r="M113" s="38"/>
      <c r="N113" s="37"/>
      <c r="O113" s="38"/>
      <c r="P113" s="37"/>
      <c r="Q113" s="148">
        <v>12.25</v>
      </c>
      <c r="R113" s="37">
        <v>91</v>
      </c>
      <c r="S113" s="39"/>
      <c r="T113" s="39"/>
      <c r="U113" s="148">
        <v>27.77</v>
      </c>
      <c r="V113" s="149">
        <v>206</v>
      </c>
      <c r="W113" s="104"/>
      <c r="Y113" s="103">
        <f t="shared" si="0"/>
        <v>0</v>
      </c>
      <c r="Z113" s="31">
        <f t="shared" si="4"/>
        <v>0</v>
      </c>
      <c r="AA113" s="110">
        <f t="shared" si="3"/>
        <v>746</v>
      </c>
      <c r="AB113" s="127"/>
      <c r="AD113" s="168"/>
      <c r="AE113" s="168"/>
      <c r="AF113" s="168"/>
      <c r="AG113" s="239"/>
      <c r="AI113" s="168"/>
      <c r="AJ113" s="168"/>
      <c r="AK113" s="168"/>
      <c r="AL113" s="168"/>
    </row>
    <row r="114" spans="1:38" s="20" customFormat="1">
      <c r="A114" s="33"/>
      <c r="B114" s="33" t="s">
        <v>207</v>
      </c>
      <c r="C114" s="34" t="s">
        <v>139</v>
      </c>
      <c r="D114" s="35" t="s">
        <v>202</v>
      </c>
      <c r="E114" s="4" t="s">
        <v>214</v>
      </c>
      <c r="F114" s="4" t="s">
        <v>15</v>
      </c>
      <c r="G114" s="36"/>
      <c r="H114" s="42"/>
      <c r="I114" s="36"/>
      <c r="J114" s="42"/>
      <c r="K114" s="145">
        <v>160.26075</v>
      </c>
      <c r="L114" s="147">
        <v>1186</v>
      </c>
      <c r="M114" s="38"/>
      <c r="N114" s="37"/>
      <c r="O114" s="38"/>
      <c r="P114" s="37"/>
      <c r="Q114" s="148">
        <v>22.19</v>
      </c>
      <c r="R114" s="37">
        <v>164</v>
      </c>
      <c r="S114" s="39"/>
      <c r="T114" s="39"/>
      <c r="U114" s="148">
        <v>50.3</v>
      </c>
      <c r="V114" s="149">
        <v>372</v>
      </c>
      <c r="W114" s="104"/>
      <c r="Y114" s="103">
        <f t="shared" si="0"/>
        <v>0</v>
      </c>
      <c r="Z114" s="31">
        <f t="shared" si="4"/>
        <v>0</v>
      </c>
      <c r="AA114" s="110">
        <f t="shared" si="3"/>
        <v>1350</v>
      </c>
      <c r="AB114" s="127"/>
      <c r="AD114" s="218"/>
      <c r="AE114" s="58"/>
      <c r="AF114" s="218"/>
      <c r="AG114" s="229"/>
      <c r="AI114" s="58"/>
      <c r="AJ114" s="58"/>
      <c r="AK114" s="58"/>
      <c r="AL114" s="58"/>
    </row>
    <row r="115" spans="1:38" s="20" customFormat="1">
      <c r="A115" s="33"/>
      <c r="B115" s="33" t="s">
        <v>207</v>
      </c>
      <c r="C115" s="34" t="s">
        <v>139</v>
      </c>
      <c r="D115" s="35" t="s">
        <v>203</v>
      </c>
      <c r="E115" s="4" t="s">
        <v>218</v>
      </c>
      <c r="F115" s="156" t="s">
        <v>116</v>
      </c>
      <c r="G115" s="36"/>
      <c r="H115" s="42"/>
      <c r="I115" s="36"/>
      <c r="J115" s="42"/>
      <c r="K115" s="145">
        <v>18.907460000000004</v>
      </c>
      <c r="L115" s="147">
        <v>140</v>
      </c>
      <c r="M115" s="38"/>
      <c r="N115" s="37"/>
      <c r="O115" s="38"/>
      <c r="P115" s="37"/>
      <c r="Q115" s="148">
        <v>2.62</v>
      </c>
      <c r="R115" s="37">
        <v>19</v>
      </c>
      <c r="S115" s="39"/>
      <c r="T115" s="39"/>
      <c r="U115" s="148">
        <v>5.93</v>
      </c>
      <c r="V115" s="149">
        <v>44</v>
      </c>
      <c r="W115" s="104"/>
      <c r="Y115" s="103">
        <f t="shared" si="0"/>
        <v>0</v>
      </c>
      <c r="Z115" s="31">
        <f t="shared" si="4"/>
        <v>0</v>
      </c>
      <c r="AA115" s="110">
        <f t="shared" si="3"/>
        <v>159</v>
      </c>
      <c r="AB115" s="127"/>
      <c r="AD115" s="168"/>
      <c r="AE115" s="168"/>
      <c r="AF115" s="168"/>
      <c r="AG115" s="239"/>
      <c r="AI115" s="168"/>
      <c r="AJ115" s="168"/>
      <c r="AK115" s="168"/>
      <c r="AL115" s="168"/>
    </row>
    <row r="116" spans="1:38" s="20" customFormat="1">
      <c r="A116" s="33"/>
      <c r="B116" s="33" t="s">
        <v>207</v>
      </c>
      <c r="C116" s="34" t="s">
        <v>139</v>
      </c>
      <c r="D116" s="153" t="s">
        <v>204</v>
      </c>
      <c r="E116" s="4" t="s">
        <v>215</v>
      </c>
      <c r="F116" s="4" t="s">
        <v>98</v>
      </c>
      <c r="G116" s="36"/>
      <c r="H116" s="42"/>
      <c r="I116" s="36"/>
      <c r="J116" s="42"/>
      <c r="K116" s="145">
        <v>305.48414000000002</v>
      </c>
      <c r="L116" s="147">
        <v>14014</v>
      </c>
      <c r="M116" s="38"/>
      <c r="N116" s="37"/>
      <c r="O116" s="38"/>
      <c r="P116" s="37"/>
      <c r="Q116" s="148">
        <v>42.3</v>
      </c>
      <c r="R116" s="37">
        <v>1941</v>
      </c>
      <c r="S116" s="39"/>
      <c r="T116" s="39"/>
      <c r="U116" s="148">
        <v>95.87</v>
      </c>
      <c r="V116" s="149">
        <v>4398</v>
      </c>
      <c r="W116" s="104"/>
      <c r="Y116" s="103">
        <f t="shared" si="0"/>
        <v>0</v>
      </c>
      <c r="Z116" s="31">
        <f t="shared" si="4"/>
        <v>0</v>
      </c>
      <c r="AA116" s="110">
        <f t="shared" si="3"/>
        <v>15955</v>
      </c>
      <c r="AB116" s="127"/>
      <c r="AD116" s="218"/>
      <c r="AE116" s="58"/>
      <c r="AF116" s="218"/>
      <c r="AG116" s="229"/>
      <c r="AI116" s="58"/>
      <c r="AJ116" s="58"/>
      <c r="AK116" s="58"/>
      <c r="AL116" s="58"/>
    </row>
    <row r="117" spans="1:38" s="20" customFormat="1">
      <c r="A117" s="6"/>
      <c r="B117" s="6"/>
      <c r="C117" s="13"/>
      <c r="D117" s="12"/>
      <c r="E117" s="4"/>
      <c r="F117" s="4"/>
      <c r="G117" s="7"/>
      <c r="H117" s="25"/>
      <c r="I117" s="25"/>
      <c r="J117" s="25"/>
      <c r="K117" s="7"/>
      <c r="L117" s="22"/>
      <c r="M117" s="5"/>
      <c r="N117" s="22"/>
      <c r="O117" s="5"/>
      <c r="P117" s="22"/>
      <c r="Q117" s="5"/>
      <c r="R117" s="22"/>
      <c r="S117" s="27"/>
      <c r="T117" s="27"/>
      <c r="U117" s="5"/>
      <c r="V117" s="63"/>
      <c r="W117" s="64"/>
      <c r="Y117" s="103">
        <f t="shared" si="0"/>
        <v>0</v>
      </c>
      <c r="Z117" s="103">
        <f t="shared" ref="Z117" si="5">L117+R117-Y117</f>
        <v>0</v>
      </c>
      <c r="AA117" s="110">
        <f t="shared" si="3"/>
        <v>0</v>
      </c>
      <c r="AB117" s="127" t="s">
        <v>27</v>
      </c>
      <c r="AD117" s="219"/>
      <c r="AE117" s="4"/>
      <c r="AF117" s="219"/>
      <c r="AG117" s="230"/>
      <c r="AI117" s="4"/>
      <c r="AJ117" s="4"/>
      <c r="AK117" s="4"/>
      <c r="AL117" s="4"/>
    </row>
    <row r="118" spans="1:38" s="20" customFormat="1">
      <c r="A118" s="14"/>
      <c r="B118" s="14"/>
      <c r="C118" s="15"/>
      <c r="D118" s="16"/>
      <c r="E118" s="17"/>
      <c r="F118" s="17"/>
      <c r="G118" s="18"/>
      <c r="H118" s="18"/>
      <c r="I118" s="18"/>
      <c r="J118" s="158"/>
      <c r="K118" s="18"/>
      <c r="L118" s="23"/>
      <c r="M118" s="19"/>
      <c r="N118" s="23"/>
      <c r="O118" s="23"/>
      <c r="P118" s="23"/>
      <c r="Q118" s="19"/>
      <c r="R118" s="23"/>
      <c r="S118" s="23"/>
      <c r="T118" s="23"/>
      <c r="U118" s="19"/>
      <c r="V118" s="19"/>
      <c r="W118" s="19"/>
      <c r="AD118" s="226"/>
      <c r="AE118" s="17"/>
      <c r="AF118" s="226"/>
      <c r="AG118" s="240"/>
      <c r="AI118" s="17"/>
      <c r="AJ118" s="17"/>
      <c r="AK118" s="17"/>
      <c r="AL118" s="17"/>
    </row>
    <row r="119" spans="1:38" s="20" customFormat="1">
      <c r="A119" s="14"/>
      <c r="B119" s="14"/>
      <c r="C119" s="15"/>
      <c r="D119" s="16"/>
      <c r="E119" s="17"/>
      <c r="F119" s="17"/>
      <c r="G119" s="18"/>
      <c r="H119" s="18"/>
      <c r="I119" s="18"/>
      <c r="J119" s="158"/>
      <c r="K119" s="18"/>
      <c r="L119" s="23"/>
      <c r="M119" s="19"/>
      <c r="N119" s="23"/>
      <c r="O119" s="23"/>
      <c r="P119" s="23"/>
      <c r="Q119" s="19"/>
      <c r="R119" s="23"/>
      <c r="S119" s="23"/>
      <c r="T119" s="23"/>
      <c r="U119" s="19"/>
      <c r="V119" s="19"/>
      <c r="W119" s="19"/>
      <c r="X119" s="20" t="s">
        <v>226</v>
      </c>
      <c r="AA119" s="167">
        <f>AA11+AA12+AA13+AA14+AA15+AA16</f>
        <v>16902800</v>
      </c>
      <c r="AD119" s="226"/>
      <c r="AE119" s="17" t="s">
        <v>248</v>
      </c>
      <c r="AF119" s="226"/>
      <c r="AG119" s="242">
        <f>AG75</f>
        <v>4970</v>
      </c>
      <c r="AI119" s="17"/>
      <c r="AJ119" s="17"/>
      <c r="AK119" s="17"/>
      <c r="AL119" s="17"/>
    </row>
    <row r="120" spans="1:38">
      <c r="A120" s="272" t="s">
        <v>6</v>
      </c>
      <c r="B120" s="273"/>
      <c r="C120" s="273"/>
      <c r="D120" s="273"/>
      <c r="E120" s="274"/>
      <c r="F120" s="274"/>
      <c r="G120" s="8">
        <f t="shared" ref="G120:V120" si="6">SUM(G3:G119)</f>
        <v>3737.7400000000002</v>
      </c>
      <c r="H120" s="24">
        <f t="shared" si="6"/>
        <v>31185</v>
      </c>
      <c r="I120" s="8">
        <f t="shared" si="6"/>
        <v>11027.450000000003</v>
      </c>
      <c r="J120" s="24">
        <f t="shared" si="6"/>
        <v>2584346</v>
      </c>
      <c r="K120" s="8">
        <f t="shared" si="6"/>
        <v>95573.774427630211</v>
      </c>
      <c r="L120" s="24">
        <f t="shared" si="6"/>
        <v>25175731.109999999</v>
      </c>
      <c r="M120" s="8">
        <f t="shared" si="6"/>
        <v>399.20000000000005</v>
      </c>
      <c r="N120" s="24">
        <f t="shared" si="6"/>
        <v>3224</v>
      </c>
      <c r="O120" s="8">
        <f t="shared" si="6"/>
        <v>1283.5600000000002</v>
      </c>
      <c r="P120" s="24">
        <f t="shared" si="6"/>
        <v>336285</v>
      </c>
      <c r="Q120" s="8">
        <f t="shared" si="6"/>
        <v>14566.699999999995</v>
      </c>
      <c r="R120" s="24">
        <f t="shared" si="6"/>
        <v>3048409.01</v>
      </c>
      <c r="S120" s="8">
        <f t="shared" si="6"/>
        <v>303.42</v>
      </c>
      <c r="T120" s="24">
        <f t="shared" si="6"/>
        <v>1171</v>
      </c>
      <c r="U120" s="8">
        <f t="shared" si="6"/>
        <v>39612.810000000019</v>
      </c>
      <c r="V120" s="24">
        <f t="shared" si="6"/>
        <v>6377116</v>
      </c>
      <c r="W120" s="29"/>
      <c r="Y120" s="24">
        <f>SUM(Y3:Y117)-Y119</f>
        <v>34409</v>
      </c>
      <c r="Z120" s="115">
        <f t="shared" ref="Z120:AA120" si="7">SUM(Z3:Z117)-Z119</f>
        <v>2920631</v>
      </c>
      <c r="AA120" s="114">
        <f t="shared" si="7"/>
        <v>11321340.120000001</v>
      </c>
      <c r="AB120" s="41" t="s">
        <v>21</v>
      </c>
      <c r="AD120" s="8">
        <f t="shared" ref="AD120" si="8">SUM(AD3:AD119)</f>
        <v>149.6</v>
      </c>
      <c r="AE120" s="8"/>
      <c r="AF120" s="8">
        <f t="shared" ref="AF120" si="9">SUM(AF3:AF119)</f>
        <v>322.35000000000002</v>
      </c>
      <c r="AG120" s="24">
        <f>SUM(AG3:AG117)-AG119</f>
        <v>1860</v>
      </c>
      <c r="AI120" s="8">
        <f t="shared" ref="AI120" si="10">SUM(AI3:AI119)</f>
        <v>0</v>
      </c>
      <c r="AJ120" s="8"/>
      <c r="AK120" s="8">
        <f t="shared" ref="AK120:AL120" si="11">SUM(AK3:AK119)</f>
        <v>0</v>
      </c>
      <c r="AL120" s="24">
        <f t="shared" si="11"/>
        <v>0</v>
      </c>
    </row>
    <row r="121" spans="1:38">
      <c r="W121" s="19"/>
      <c r="Y121" s="160" t="s">
        <v>222</v>
      </c>
      <c r="Z121" s="161" t="s">
        <v>223</v>
      </c>
      <c r="AA121" s="162" t="s">
        <v>224</v>
      </c>
    </row>
    <row r="122" spans="1:38" ht="15">
      <c r="A122" s="270" t="s">
        <v>10</v>
      </c>
      <c r="B122" s="270"/>
      <c r="C122" s="270"/>
      <c r="D122" s="270"/>
      <c r="E122" s="270"/>
      <c r="F122" s="270"/>
      <c r="G122" s="270"/>
      <c r="H122" s="270"/>
      <c r="I122" s="270"/>
      <c r="J122" s="270"/>
      <c r="K122" s="270"/>
      <c r="L122" s="270"/>
      <c r="M122" s="270"/>
      <c r="N122" s="270"/>
      <c r="O122" s="270"/>
      <c r="P122" s="270"/>
      <c r="Q122" s="270"/>
      <c r="R122" s="270"/>
      <c r="S122" s="270"/>
      <c r="T122" s="270"/>
      <c r="U122" s="270"/>
      <c r="V122" s="270"/>
      <c r="W122" s="19"/>
      <c r="Z122" s="119">
        <f>Y120+Z120</f>
        <v>2955040</v>
      </c>
      <c r="AB122" s="3" t="s">
        <v>22</v>
      </c>
      <c r="AD122" s="10"/>
      <c r="AE122" s="3"/>
      <c r="AF122" s="10"/>
      <c r="AG122" s="9"/>
      <c r="AI122" s="3"/>
      <c r="AJ122" s="3"/>
      <c r="AK122" s="3"/>
      <c r="AL122" s="3"/>
    </row>
    <row r="123" spans="1:38">
      <c r="A123" s="269" t="s">
        <v>17</v>
      </c>
      <c r="B123" s="269"/>
      <c r="C123" s="269"/>
      <c r="D123" s="269"/>
      <c r="E123" s="269"/>
      <c r="F123" s="269"/>
      <c r="G123" s="269"/>
      <c r="H123" s="269"/>
      <c r="I123" s="269"/>
      <c r="J123" s="269"/>
      <c r="K123" s="269"/>
      <c r="L123" s="269"/>
      <c r="M123" s="269"/>
      <c r="N123" s="269"/>
      <c r="O123" s="269"/>
      <c r="P123" s="269"/>
      <c r="Q123" s="269"/>
      <c r="R123" s="269"/>
      <c r="S123" s="269"/>
      <c r="T123" s="269"/>
      <c r="W123" s="19"/>
      <c r="AD123" s="10"/>
      <c r="AE123" s="3"/>
      <c r="AF123" s="10"/>
      <c r="AG123" s="9"/>
      <c r="AI123" s="3"/>
      <c r="AJ123" s="3"/>
      <c r="AK123" s="3"/>
      <c r="AL123" s="3"/>
    </row>
    <row r="124" spans="1:38">
      <c r="W124" s="19"/>
      <c r="Y124" s="252" t="s">
        <v>201</v>
      </c>
      <c r="Z124" s="252"/>
      <c r="AA124" s="252"/>
      <c r="AB124" s="252"/>
    </row>
    <row r="125" spans="1:38">
      <c r="E125" s="11"/>
      <c r="F125" s="10"/>
      <c r="AE125" s="170"/>
      <c r="AI125" s="170"/>
      <c r="AJ125" s="170"/>
      <c r="AK125" s="170"/>
      <c r="AL125" s="170"/>
    </row>
    <row r="126" spans="1:38">
      <c r="F126" s="11"/>
      <c r="AE126" s="171"/>
      <c r="AI126" s="171"/>
      <c r="AJ126" s="171"/>
      <c r="AK126" s="171"/>
      <c r="AL126" s="171"/>
    </row>
    <row r="127" spans="1:38" ht="15.75">
      <c r="A127" s="267" t="s">
        <v>7</v>
      </c>
      <c r="B127" s="267"/>
      <c r="C127" s="267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7"/>
      <c r="S127" s="267"/>
      <c r="T127" s="267"/>
      <c r="U127" s="267"/>
      <c r="V127" s="267"/>
      <c r="W127" s="21"/>
      <c r="AD127" s="10"/>
      <c r="AE127" s="3"/>
      <c r="AF127" s="10"/>
      <c r="AG127" s="9"/>
      <c r="AI127" s="3"/>
      <c r="AJ127" s="3"/>
      <c r="AK127" s="3"/>
      <c r="AL127" s="3"/>
    </row>
    <row r="128" spans="1:38">
      <c r="A128" s="267"/>
      <c r="B128" s="267"/>
      <c r="C128" s="267"/>
      <c r="D128" s="267"/>
      <c r="E128" s="267"/>
      <c r="F128" s="267"/>
      <c r="G128" s="267"/>
      <c r="H128" s="267"/>
      <c r="I128" s="267"/>
      <c r="J128" s="267"/>
      <c r="K128" s="267"/>
      <c r="L128" s="267"/>
      <c r="M128" s="267"/>
      <c r="N128" s="267"/>
      <c r="O128" s="267"/>
      <c r="P128" s="267"/>
      <c r="Q128" s="267"/>
      <c r="R128" s="267"/>
      <c r="S128" s="267"/>
      <c r="T128" s="267"/>
      <c r="U128" s="267"/>
      <c r="V128" s="267"/>
      <c r="AD128" s="10"/>
      <c r="AE128" s="3"/>
      <c r="AF128" s="10"/>
      <c r="AG128" s="9"/>
      <c r="AI128" s="3"/>
      <c r="AJ128" s="3"/>
      <c r="AK128" s="3"/>
      <c r="AL128" s="3"/>
    </row>
    <row r="132" spans="4:38" ht="12.75" customHeight="1">
      <c r="D132" s="268" t="s">
        <v>8</v>
      </c>
      <c r="E132" s="268"/>
      <c r="F132" s="268"/>
      <c r="G132" s="268"/>
      <c r="H132" s="268"/>
      <c r="I132" s="268"/>
      <c r="J132" s="268"/>
      <c r="K132" s="268"/>
      <c r="L132" s="268"/>
      <c r="M132" s="268"/>
      <c r="N132" s="268"/>
      <c r="O132" s="268"/>
      <c r="P132" s="268"/>
      <c r="Q132" s="268"/>
      <c r="R132" s="268"/>
      <c r="S132" s="268"/>
      <c r="T132" s="268"/>
      <c r="U132" s="268"/>
      <c r="V132" s="268"/>
      <c r="AD132" s="10"/>
      <c r="AE132" s="3"/>
      <c r="AF132" s="10"/>
      <c r="AG132" s="9"/>
      <c r="AI132" s="3"/>
      <c r="AJ132" s="3"/>
      <c r="AK132" s="3"/>
      <c r="AL132" s="3"/>
    </row>
    <row r="133" spans="4:38" ht="12.75" customHeight="1">
      <c r="D133" s="268"/>
      <c r="E133" s="268"/>
      <c r="F133" s="268"/>
      <c r="G133" s="268"/>
      <c r="H133" s="268"/>
      <c r="I133" s="268"/>
      <c r="J133" s="268"/>
      <c r="K133" s="268"/>
      <c r="L133" s="268"/>
      <c r="M133" s="268"/>
      <c r="N133" s="268"/>
      <c r="O133" s="268"/>
      <c r="P133" s="268"/>
      <c r="Q133" s="268"/>
      <c r="R133" s="268"/>
      <c r="S133" s="268"/>
      <c r="T133" s="268"/>
      <c r="U133" s="268"/>
      <c r="V133" s="268"/>
      <c r="AD133" s="10"/>
      <c r="AE133" s="3"/>
      <c r="AF133" s="10"/>
      <c r="AG133" s="9"/>
      <c r="AI133" s="3"/>
      <c r="AJ133" s="3"/>
      <c r="AK133" s="3"/>
      <c r="AL133" s="3"/>
    </row>
    <row r="134" spans="4:38" ht="12.75" customHeight="1">
      <c r="D134" s="268"/>
      <c r="E134" s="268"/>
      <c r="F134" s="268"/>
      <c r="G134" s="268"/>
      <c r="H134" s="268"/>
      <c r="I134" s="268"/>
      <c r="J134" s="268"/>
      <c r="K134" s="268"/>
      <c r="L134" s="268"/>
      <c r="M134" s="268"/>
      <c r="N134" s="268"/>
      <c r="O134" s="268"/>
      <c r="P134" s="268"/>
      <c r="Q134" s="268"/>
      <c r="R134" s="268"/>
      <c r="S134" s="268"/>
      <c r="T134" s="268"/>
      <c r="U134" s="268"/>
      <c r="V134" s="268"/>
      <c r="AD134" s="10"/>
      <c r="AE134" s="3"/>
      <c r="AF134" s="10"/>
      <c r="AG134" s="9"/>
      <c r="AI134" s="3"/>
      <c r="AJ134" s="3"/>
      <c r="AK134" s="3"/>
      <c r="AL134" s="3"/>
    </row>
    <row r="135" spans="4:38" ht="12.75" customHeight="1">
      <c r="D135" s="268"/>
      <c r="E135" s="268"/>
      <c r="F135" s="268"/>
      <c r="G135" s="268"/>
      <c r="H135" s="268"/>
      <c r="I135" s="268"/>
      <c r="J135" s="268"/>
      <c r="K135" s="268"/>
      <c r="L135" s="268"/>
      <c r="M135" s="268"/>
      <c r="N135" s="268"/>
      <c r="O135" s="268"/>
      <c r="P135" s="268"/>
      <c r="Q135" s="268"/>
      <c r="R135" s="268"/>
      <c r="S135" s="268"/>
      <c r="T135" s="268"/>
      <c r="U135" s="268"/>
      <c r="V135" s="268"/>
      <c r="AD135" s="10"/>
      <c r="AE135" s="3"/>
      <c r="AF135" s="10"/>
      <c r="AG135" s="9"/>
      <c r="AI135" s="3"/>
      <c r="AJ135" s="3"/>
      <c r="AK135" s="3"/>
      <c r="AL135" s="3"/>
    </row>
    <row r="136" spans="4:38" ht="12.75" customHeight="1"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  <c r="N136" s="268"/>
      <c r="O136" s="268"/>
      <c r="P136" s="268"/>
      <c r="Q136" s="268"/>
      <c r="R136" s="268"/>
      <c r="S136" s="268"/>
      <c r="T136" s="268"/>
      <c r="U136" s="268"/>
      <c r="V136" s="268"/>
      <c r="AD136" s="10"/>
      <c r="AE136" s="3"/>
      <c r="AF136" s="10"/>
      <c r="AG136" s="9"/>
      <c r="AI136" s="3"/>
      <c r="AJ136" s="3"/>
      <c r="AK136" s="3"/>
      <c r="AL136" s="3"/>
    </row>
    <row r="139" spans="4:38" ht="12.75" customHeight="1">
      <c r="D139" s="268" t="s">
        <v>9</v>
      </c>
      <c r="E139" s="268"/>
      <c r="F139" s="268"/>
      <c r="G139" s="268"/>
      <c r="H139" s="268"/>
      <c r="I139" s="268"/>
      <c r="J139" s="268"/>
      <c r="K139" s="268"/>
      <c r="L139" s="268"/>
      <c r="M139" s="268"/>
      <c r="N139" s="268"/>
      <c r="O139" s="268"/>
      <c r="P139" s="268"/>
      <c r="Q139" s="268"/>
      <c r="R139" s="268"/>
      <c r="S139" s="268"/>
      <c r="T139" s="268"/>
      <c r="U139" s="268"/>
      <c r="V139" s="268"/>
      <c r="AD139" s="10"/>
      <c r="AE139" s="3"/>
      <c r="AF139" s="10"/>
      <c r="AG139" s="9"/>
      <c r="AI139" s="3"/>
      <c r="AJ139" s="3"/>
      <c r="AK139" s="3"/>
      <c r="AL139" s="3"/>
    </row>
    <row r="140" spans="4:38" ht="12.75" customHeight="1">
      <c r="D140" s="268"/>
      <c r="E140" s="268"/>
      <c r="F140" s="268"/>
      <c r="G140" s="268"/>
      <c r="H140" s="268"/>
      <c r="I140" s="268"/>
      <c r="J140" s="268"/>
      <c r="K140" s="268"/>
      <c r="L140" s="268"/>
      <c r="M140" s="268"/>
      <c r="N140" s="268"/>
      <c r="O140" s="268"/>
      <c r="P140" s="268"/>
      <c r="Q140" s="268"/>
      <c r="R140" s="268"/>
      <c r="S140" s="268"/>
      <c r="T140" s="268"/>
      <c r="U140" s="268"/>
      <c r="V140" s="268"/>
      <c r="AD140" s="10"/>
      <c r="AE140" s="3"/>
      <c r="AF140" s="10"/>
      <c r="AG140" s="9"/>
      <c r="AI140" s="3"/>
      <c r="AJ140" s="3"/>
      <c r="AK140" s="3"/>
      <c r="AL140" s="3"/>
    </row>
    <row r="141" spans="4:38" ht="12.75" customHeight="1">
      <c r="D141" s="268"/>
      <c r="E141" s="268"/>
      <c r="F141" s="268"/>
      <c r="G141" s="268"/>
      <c r="H141" s="268"/>
      <c r="I141" s="268"/>
      <c r="J141" s="268"/>
      <c r="K141" s="268"/>
      <c r="L141" s="268"/>
      <c r="M141" s="268"/>
      <c r="N141" s="268"/>
      <c r="O141" s="268"/>
      <c r="P141" s="268"/>
      <c r="Q141" s="268"/>
      <c r="R141" s="268"/>
      <c r="S141" s="268"/>
      <c r="T141" s="268"/>
      <c r="U141" s="268"/>
      <c r="V141" s="268"/>
      <c r="AD141" s="10"/>
      <c r="AE141" s="3"/>
      <c r="AF141" s="10"/>
      <c r="AG141" s="9"/>
      <c r="AI141" s="3"/>
      <c r="AJ141" s="3"/>
      <c r="AK141" s="3"/>
      <c r="AL141" s="3"/>
    </row>
    <row r="142" spans="4:38" ht="12.75" customHeight="1">
      <c r="D142" s="268"/>
      <c r="E142" s="268"/>
      <c r="F142" s="268"/>
      <c r="G142" s="268"/>
      <c r="H142" s="268"/>
      <c r="I142" s="268"/>
      <c r="J142" s="268"/>
      <c r="K142" s="268"/>
      <c r="L142" s="268"/>
      <c r="M142" s="268"/>
      <c r="N142" s="268"/>
      <c r="O142" s="268"/>
      <c r="P142" s="268"/>
      <c r="Q142" s="268"/>
      <c r="R142" s="268"/>
      <c r="S142" s="268"/>
      <c r="T142" s="268"/>
      <c r="U142" s="268"/>
      <c r="V142" s="268"/>
      <c r="AD142" s="10"/>
      <c r="AE142" s="3"/>
      <c r="AF142" s="10"/>
      <c r="AG142" s="9"/>
      <c r="AI142" s="3"/>
      <c r="AJ142" s="3"/>
      <c r="AK142" s="3"/>
      <c r="AL142" s="3"/>
    </row>
    <row r="143" spans="4:38" ht="12.75" customHeight="1"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  <c r="N143" s="268"/>
      <c r="O143" s="268"/>
      <c r="P143" s="268"/>
      <c r="Q143" s="268"/>
      <c r="R143" s="268"/>
      <c r="S143" s="268"/>
      <c r="T143" s="268"/>
      <c r="U143" s="268"/>
      <c r="V143" s="268"/>
      <c r="AD143" s="10"/>
      <c r="AE143" s="3"/>
      <c r="AF143" s="10"/>
      <c r="AG143" s="9"/>
      <c r="AI143" s="3"/>
      <c r="AJ143" s="3"/>
      <c r="AK143" s="3"/>
      <c r="AL143" s="3"/>
    </row>
  </sheetData>
  <mergeCells count="144">
    <mergeCell ref="E35:E36"/>
    <mergeCell ref="E31:E32"/>
    <mergeCell ref="F31:F32"/>
    <mergeCell ref="F51:F56"/>
    <mergeCell ref="F46:F48"/>
    <mergeCell ref="F43:F45"/>
    <mergeCell ref="E43:E45"/>
    <mergeCell ref="E41:E42"/>
    <mergeCell ref="F41:F42"/>
    <mergeCell ref="E18:E19"/>
    <mergeCell ref="F18:F19"/>
    <mergeCell ref="F11:F15"/>
    <mergeCell ref="E11:E12"/>
    <mergeCell ref="E13:E15"/>
    <mergeCell ref="F28:F30"/>
    <mergeCell ref="E24:E27"/>
    <mergeCell ref="F24:F27"/>
    <mergeCell ref="E22:E23"/>
    <mergeCell ref="F22:F23"/>
    <mergeCell ref="E61:E62"/>
    <mergeCell ref="F61:F62"/>
    <mergeCell ref="F57:F60"/>
    <mergeCell ref="E57:E60"/>
    <mergeCell ref="F89:F90"/>
    <mergeCell ref="F91:F93"/>
    <mergeCell ref="F96:F97"/>
    <mergeCell ref="F100:F101"/>
    <mergeCell ref="A100:A101"/>
    <mergeCell ref="F68:F71"/>
    <mergeCell ref="F72:F74"/>
    <mergeCell ref="F75:F76"/>
    <mergeCell ref="F80:F81"/>
    <mergeCell ref="F78:F79"/>
    <mergeCell ref="F86:F87"/>
    <mergeCell ref="A96:A97"/>
    <mergeCell ref="A102:A103"/>
    <mergeCell ref="A3:A10"/>
    <mergeCell ref="E102:E103"/>
    <mergeCell ref="E96:E97"/>
    <mergeCell ref="E91:E93"/>
    <mergeCell ref="E89:E90"/>
    <mergeCell ref="E86:E87"/>
    <mergeCell ref="E80:E81"/>
    <mergeCell ref="E78:E79"/>
    <mergeCell ref="E75:E76"/>
    <mergeCell ref="E72:E74"/>
    <mergeCell ref="E68:E71"/>
    <mergeCell ref="E51:E54"/>
    <mergeCell ref="E37:E39"/>
    <mergeCell ref="E20:E21"/>
    <mergeCell ref="A63:A66"/>
    <mergeCell ref="A68:A71"/>
    <mergeCell ref="F63:F66"/>
    <mergeCell ref="A72:A74"/>
    <mergeCell ref="A75:A76"/>
    <mergeCell ref="A78:A79"/>
    <mergeCell ref="A43:A45"/>
    <mergeCell ref="A46:A48"/>
    <mergeCell ref="A51:A56"/>
    <mergeCell ref="A57:A60"/>
    <mergeCell ref="A61:A62"/>
    <mergeCell ref="A31:A32"/>
    <mergeCell ref="A33:A34"/>
    <mergeCell ref="A35:A36"/>
    <mergeCell ref="A37:A39"/>
    <mergeCell ref="A41:A42"/>
    <mergeCell ref="A18:A19"/>
    <mergeCell ref="A20:A21"/>
    <mergeCell ref="A22:A23"/>
    <mergeCell ref="A24:A27"/>
    <mergeCell ref="A28:A30"/>
    <mergeCell ref="AD1:AG1"/>
    <mergeCell ref="A11:A15"/>
    <mergeCell ref="E3:E10"/>
    <mergeCell ref="F3:F10"/>
    <mergeCell ref="P1:P2"/>
    <mergeCell ref="O1:O2"/>
    <mergeCell ref="U1:U2"/>
    <mergeCell ref="V1:V2"/>
    <mergeCell ref="W1:W2"/>
    <mergeCell ref="A1:A2"/>
    <mergeCell ref="B1:B2"/>
    <mergeCell ref="C1:C2"/>
    <mergeCell ref="D1:D2"/>
    <mergeCell ref="E1:E2"/>
    <mergeCell ref="Q1:Q2"/>
    <mergeCell ref="R1:R2"/>
    <mergeCell ref="S1:S2"/>
    <mergeCell ref="T1:T2"/>
    <mergeCell ref="F20:F21"/>
    <mergeCell ref="A127:V128"/>
    <mergeCell ref="D132:V136"/>
    <mergeCell ref="D139:V143"/>
    <mergeCell ref="A123:T123"/>
    <mergeCell ref="A122:V122"/>
    <mergeCell ref="W78:W79"/>
    <mergeCell ref="W80:W81"/>
    <mergeCell ref="A120:F120"/>
    <mergeCell ref="W86:W87"/>
    <mergeCell ref="W89:W90"/>
    <mergeCell ref="W91:W93"/>
    <mergeCell ref="A80:A81"/>
    <mergeCell ref="A86:A87"/>
    <mergeCell ref="A89:A90"/>
    <mergeCell ref="A91:A93"/>
    <mergeCell ref="W96:W97"/>
    <mergeCell ref="W100:W101"/>
    <mergeCell ref="W102:W103"/>
    <mergeCell ref="F102:F103"/>
    <mergeCell ref="F1:F2"/>
    <mergeCell ref="W3:W10"/>
    <mergeCell ref="G1:G2"/>
    <mergeCell ref="K1:K2"/>
    <mergeCell ref="W43:W45"/>
    <mergeCell ref="H1:H2"/>
    <mergeCell ref="W11:W15"/>
    <mergeCell ref="W22:W23"/>
    <mergeCell ref="W20:W21"/>
    <mergeCell ref="W24:W27"/>
    <mergeCell ref="L1:L2"/>
    <mergeCell ref="W28:W30"/>
    <mergeCell ref="W31:W32"/>
    <mergeCell ref="W33:W34"/>
    <mergeCell ref="W35:W36"/>
    <mergeCell ref="W37:W39"/>
    <mergeCell ref="F37:F39"/>
    <mergeCell ref="F35:F36"/>
    <mergeCell ref="AI1:AL1"/>
    <mergeCell ref="M1:M2"/>
    <mergeCell ref="N1:N2"/>
    <mergeCell ref="J1:J2"/>
    <mergeCell ref="I1:I2"/>
    <mergeCell ref="Y124:AB124"/>
    <mergeCell ref="W18:W19"/>
    <mergeCell ref="W41:W42"/>
    <mergeCell ref="W46:W48"/>
    <mergeCell ref="Y1:AB1"/>
    <mergeCell ref="W68:W71"/>
    <mergeCell ref="W61:W62"/>
    <mergeCell ref="W63:W66"/>
    <mergeCell ref="W57:W60"/>
    <mergeCell ref="W51:W56"/>
    <mergeCell ref="W72:W74"/>
    <mergeCell ref="W75:W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2026-10-12T05:24:39Z</dcterms:modified>
</cp:coreProperties>
</file>