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 tabRatio="893"/>
  </bookViews>
  <sheets>
    <sheet name="219γ2α-νταμάρια" sheetId="3" r:id="rId1"/>
    <sheet name="ποσόΠαγΜίσθ" sheetId="5" r:id="rId2"/>
    <sheet name="παρατασηΗμερομ" sheetId="7" r:id="rId3"/>
    <sheet name="παράτασηΠοσοΠαγ" sheetId="6" r:id="rId4"/>
    <sheet name="ποσοΑναλΜισθ" sheetId="12" r:id="rId5"/>
    <sheet name="ερευνΕργ" sheetId="4" r:id="rId6"/>
    <sheet name="κτιριακά &amp; τεχνΕγκαστ" sheetId="8" r:id="rId7"/>
    <sheet name="έργαΑποκαταστ" sheetId="9" r:id="rId8"/>
    <sheet name="εγγυητ=''+10% ....ετων" sheetId="10" r:id="rId9"/>
    <sheet name="νομιμοτηταΕισφορωνΜισθΔικαιωμ " sheetId="11" r:id="rId10"/>
  </sheets>
  <definedNames>
    <definedName name="_xlnm._FilterDatabase" localSheetId="2" hidden="1">παρατασηΗμερομ!$F$1:$F$125</definedName>
  </definedNames>
  <calcPr calcId="125725"/>
</workbook>
</file>

<file path=xl/calcChain.xml><?xml version="1.0" encoding="utf-8"?>
<calcChain xmlns="http://schemas.openxmlformats.org/spreadsheetml/2006/main">
  <c r="Z839" i="3"/>
  <c r="Y839"/>
  <c r="AL1222" l="1"/>
  <c r="AI1264" l="1"/>
  <c r="AI1263"/>
  <c r="AI1262"/>
  <c r="AI1261"/>
  <c r="AI1260"/>
  <c r="AI1259"/>
  <c r="AI1258"/>
  <c r="AI1257"/>
  <c r="AI1256"/>
  <c r="AI1255"/>
  <c r="AI1254"/>
  <c r="AI1253"/>
  <c r="AI1252"/>
  <c r="AI1251"/>
  <c r="AI1250"/>
  <c r="AI1249"/>
  <c r="AI1248"/>
  <c r="AI1247"/>
  <c r="AI1246"/>
  <c r="AI1245"/>
  <c r="AI1244"/>
  <c r="AI1243"/>
  <c r="AI1242"/>
  <c r="AI1241"/>
  <c r="AI1240"/>
  <c r="N9" i="9"/>
  <c r="M9"/>
  <c r="K7" i="8"/>
  <c r="I7"/>
  <c r="G7"/>
  <c r="K7" i="4"/>
  <c r="J7"/>
  <c r="L23" i="12"/>
  <c r="M23" s="1"/>
  <c r="M23" i="6"/>
  <c r="L23"/>
  <c r="G9" i="5"/>
  <c r="AI1296" i="3"/>
  <c r="AI1295"/>
  <c r="AI1294"/>
  <c r="AI1293"/>
  <c r="AI1292"/>
  <c r="AI1291"/>
  <c r="AI1290"/>
  <c r="AI1289"/>
  <c r="AI1288"/>
  <c r="AI1287"/>
  <c r="AI1286"/>
  <c r="AI1285"/>
  <c r="AI1284"/>
  <c r="AI1281"/>
  <c r="AI1280"/>
  <c r="AI1279"/>
  <c r="AI1278"/>
  <c r="AI1277"/>
  <c r="AI1276"/>
  <c r="AI1275"/>
  <c r="AI1274"/>
  <c r="AI1273"/>
  <c r="AI1272"/>
  <c r="AI1271"/>
  <c r="AI1270"/>
  <c r="AI1269"/>
  <c r="M34" i="6"/>
  <c r="L34"/>
  <c r="M34" i="12"/>
  <c r="L34"/>
  <c r="L27"/>
  <c r="M27" s="1"/>
  <c r="K10" i="4"/>
  <c r="J10"/>
  <c r="N13" i="9"/>
  <c r="M13"/>
  <c r="K10" i="8"/>
  <c r="I10"/>
  <c r="G10"/>
  <c r="M27" i="6"/>
  <c r="L27"/>
  <c r="AK1284" i="3" l="1"/>
  <c r="AK1269"/>
  <c r="AK1240"/>
  <c r="AK1253"/>
  <c r="AL1269"/>
  <c r="G12" i="5"/>
  <c r="S26" i="12"/>
  <c r="L26"/>
  <c r="S26" i="6"/>
  <c r="L26"/>
  <c r="L28"/>
  <c r="M28" s="1"/>
  <c r="AI1121" i="3"/>
  <c r="AI1120"/>
  <c r="AI1119"/>
  <c r="AI1118"/>
  <c r="AI1117"/>
  <c r="AI1116"/>
  <c r="G1116"/>
  <c r="G1118" s="1"/>
  <c r="AI1115"/>
  <c r="G1115"/>
  <c r="AI1114"/>
  <c r="AI1113"/>
  <c r="AI1112"/>
  <c r="AI1111"/>
  <c r="G1111"/>
  <c r="G1112" s="1"/>
  <c r="AI1110"/>
  <c r="G1110"/>
  <c r="AI1012"/>
  <c r="AI1011"/>
  <c r="AI1010"/>
  <c r="AI1009"/>
  <c r="AI1008"/>
  <c r="AI1007"/>
  <c r="AI1006"/>
  <c r="AI1005"/>
  <c r="AI1004"/>
  <c r="AI1003"/>
  <c r="AI1002"/>
  <c r="AI1001"/>
  <c r="AI1000"/>
  <c r="AI999"/>
  <c r="AI998"/>
  <c r="AI997"/>
  <c r="AI996"/>
  <c r="AI995"/>
  <c r="AI994"/>
  <c r="AI993"/>
  <c r="AI1044"/>
  <c r="AI1043"/>
  <c r="AI1042"/>
  <c r="AI1041"/>
  <c r="AI1050"/>
  <c r="AI1049"/>
  <c r="AI1053"/>
  <c r="AI1059"/>
  <c r="AI1058"/>
  <c r="AI1057"/>
  <c r="AI1056"/>
  <c r="I1084"/>
  <c r="I1006"/>
  <c r="H1084"/>
  <c r="H1006"/>
  <c r="G1108"/>
  <c r="G1105"/>
  <c r="G1107" s="1"/>
  <c r="G1104"/>
  <c r="G1100"/>
  <c r="G1102" s="1"/>
  <c r="G1099"/>
  <c r="G1093"/>
  <c r="G1085"/>
  <c r="G1084"/>
  <c r="G1069"/>
  <c r="G1070" s="1"/>
  <c r="G1071" s="1"/>
  <c r="G1056"/>
  <c r="G1055"/>
  <c r="G1054"/>
  <c r="G1068" s="1"/>
  <c r="G1053"/>
  <c r="G1047"/>
  <c r="G1048" s="1"/>
  <c r="G1046"/>
  <c r="G1042"/>
  <c r="G1043" s="1"/>
  <c r="G1041"/>
  <c r="G1019"/>
  <c r="G1017"/>
  <c r="G1016"/>
  <c r="G1014"/>
  <c r="G1009"/>
  <c r="G1008"/>
  <c r="G1007"/>
  <c r="G1006"/>
  <c r="G1001"/>
  <c r="G998"/>
  <c r="G995"/>
  <c r="G996" s="1"/>
  <c r="G994"/>
  <c r="G993"/>
  <c r="AI1109"/>
  <c r="AI1108"/>
  <c r="AI1107"/>
  <c r="AI1106"/>
  <c r="AI1105"/>
  <c r="AI1104"/>
  <c r="AI1103"/>
  <c r="AI1102"/>
  <c r="AI1101"/>
  <c r="AI1100"/>
  <c r="AI1099"/>
  <c r="AI1098"/>
  <c r="AI1097"/>
  <c r="AI1096"/>
  <c r="AI1095"/>
  <c r="AI1094"/>
  <c r="AI1093"/>
  <c r="AI1092"/>
  <c r="AI1091"/>
  <c r="AI1090"/>
  <c r="AI1089"/>
  <c r="AI1088"/>
  <c r="AI1087"/>
  <c r="AI1086"/>
  <c r="AI1085"/>
  <c r="AI1084"/>
  <c r="AI1083"/>
  <c r="AI1082"/>
  <c r="AI1081"/>
  <c r="AI1080"/>
  <c r="AI1079"/>
  <c r="AI1078"/>
  <c r="AI1077"/>
  <c r="AI1076"/>
  <c r="AI1075"/>
  <c r="AI1074"/>
  <c r="AI1073"/>
  <c r="AI1072"/>
  <c r="AI1071"/>
  <c r="AI1070"/>
  <c r="AI1069"/>
  <c r="AI1068"/>
  <c r="AI1067"/>
  <c r="AI1066"/>
  <c r="AI1065"/>
  <c r="AI1064"/>
  <c r="AI1063"/>
  <c r="AI1062"/>
  <c r="AI1061"/>
  <c r="AI1060"/>
  <c r="AI1055"/>
  <c r="AI1054"/>
  <c r="AI1052"/>
  <c r="AI1051"/>
  <c r="AI1048"/>
  <c r="AI1047"/>
  <c r="AI1046"/>
  <c r="AI1045"/>
  <c r="AI1035"/>
  <c r="AI1031"/>
  <c r="AI1028"/>
  <c r="AI1025"/>
  <c r="AI1017"/>
  <c r="AI1016"/>
  <c r="AI1015"/>
  <c r="AI1014"/>
  <c r="AI1013"/>
  <c r="N36" i="9"/>
  <c r="K23" i="4"/>
  <c r="M87" i="12"/>
  <c r="M95" s="1"/>
  <c r="M87" i="6"/>
  <c r="M95" s="1"/>
  <c r="M65"/>
  <c r="M76" s="1"/>
  <c r="G1117" i="3" l="1"/>
  <c r="G1106"/>
  <c r="AK1110"/>
  <c r="G1113"/>
  <c r="G1101"/>
  <c r="AK1099"/>
  <c r="AK1041"/>
  <c r="AK1053"/>
  <c r="AK993"/>
  <c r="G1066"/>
  <c r="G1067" s="1"/>
  <c r="G1044"/>
  <c r="G1049"/>
  <c r="AK1065"/>
  <c r="AK1006"/>
  <c r="N23" i="9"/>
  <c r="M65" i="12"/>
  <c r="M76" s="1"/>
  <c r="AM1314" i="3"/>
  <c r="AI992"/>
  <c r="AI991"/>
  <c r="AI990"/>
  <c r="AI989"/>
  <c r="AI988"/>
  <c r="AI987"/>
  <c r="AI986"/>
  <c r="AI985"/>
  <c r="AI984"/>
  <c r="AI983"/>
  <c r="AI982"/>
  <c r="AI981"/>
  <c r="AI980"/>
  <c r="N16" i="9"/>
  <c r="M16"/>
  <c r="K13" i="8"/>
  <c r="I13"/>
  <c r="G13"/>
  <c r="J13" i="4"/>
  <c r="K13" s="1"/>
  <c r="L40" i="12"/>
  <c r="M40" s="1"/>
  <c r="M40" i="6"/>
  <c r="L40"/>
  <c r="G15" i="5"/>
  <c r="AL993" i="3" l="1"/>
  <c r="AK980"/>
  <c r="G563"/>
  <c r="G564" s="1"/>
  <c r="G562"/>
  <c r="G558"/>
  <c r="G559" s="1"/>
  <c r="G557"/>
  <c r="G550"/>
  <c r="G549"/>
  <c r="G538"/>
  <c r="G537"/>
  <c r="G536"/>
  <c r="G530"/>
  <c r="G531" s="1"/>
  <c r="G532" s="1"/>
  <c r="G529"/>
  <c r="G527"/>
  <c r="G524"/>
  <c r="G525" s="1"/>
  <c r="G523"/>
  <c r="G521"/>
  <c r="G520"/>
  <c r="G519"/>
  <c r="G518"/>
  <c r="AI566"/>
  <c r="AI565"/>
  <c r="AI564"/>
  <c r="AI563"/>
  <c r="AI562"/>
  <c r="AI561"/>
  <c r="AI560"/>
  <c r="AI559"/>
  <c r="AI558"/>
  <c r="AI557"/>
  <c r="AI550"/>
  <c r="AI549"/>
  <c r="AI539"/>
  <c r="AI538"/>
  <c r="AI537"/>
  <c r="AI536"/>
  <c r="AI535"/>
  <c r="AI534"/>
  <c r="AI533"/>
  <c r="AI532"/>
  <c r="AI531"/>
  <c r="AI530"/>
  <c r="AI529"/>
  <c r="AI528"/>
  <c r="AI527"/>
  <c r="AI526"/>
  <c r="AI525"/>
  <c r="AI524"/>
  <c r="AI523"/>
  <c r="AI522"/>
  <c r="AI521"/>
  <c r="AI520"/>
  <c r="AI519"/>
  <c r="AI518"/>
  <c r="N24" i="9"/>
  <c r="AK529" i="3" l="1"/>
  <c r="AK557"/>
  <c r="AK518"/>
  <c r="G526"/>
  <c r="G560"/>
  <c r="G565"/>
  <c r="M66" i="12"/>
  <c r="M75" s="1"/>
  <c r="M89" s="1"/>
  <c r="M97" s="1"/>
  <c r="M66" i="6"/>
  <c r="M75" s="1"/>
  <c r="M89" s="1"/>
  <c r="M97" s="1"/>
  <c r="L94" i="12"/>
  <c r="L103" s="1"/>
  <c r="AI486" i="3"/>
  <c r="AI487"/>
  <c r="AI488"/>
  <c r="AI489"/>
  <c r="AI490"/>
  <c r="AI491"/>
  <c r="AI492"/>
  <c r="AI493"/>
  <c r="AI494"/>
  <c r="AI495"/>
  <c r="AI496"/>
  <c r="AI497"/>
  <c r="AI498"/>
  <c r="AI499"/>
  <c r="AI500"/>
  <c r="AI501"/>
  <c r="AI502"/>
  <c r="AI503"/>
  <c r="AI504"/>
  <c r="AI505"/>
  <c r="AI506"/>
  <c r="AI507"/>
  <c r="AI508"/>
  <c r="AI509"/>
  <c r="AI510"/>
  <c r="AI511"/>
  <c r="AI512"/>
  <c r="AI513"/>
  <c r="AI514"/>
  <c r="AI515"/>
  <c r="AI516"/>
  <c r="AI517"/>
  <c r="G516"/>
  <c r="G508"/>
  <c r="G509" s="1"/>
  <c r="G507"/>
  <c r="G499"/>
  <c r="G501" s="1"/>
  <c r="G498"/>
  <c r="G493"/>
  <c r="G488"/>
  <c r="G489" s="1"/>
  <c r="G487"/>
  <c r="G485"/>
  <c r="G484"/>
  <c r="AI485"/>
  <c r="AI484"/>
  <c r="AK484" l="1"/>
  <c r="G500"/>
  <c r="AK507"/>
  <c r="AK498"/>
  <c r="G490"/>
  <c r="G502"/>
  <c r="G510"/>
  <c r="AL484" l="1"/>
  <c r="G491"/>
  <c r="G492"/>
  <c r="G511"/>
  <c r="G503"/>
  <c r="G504"/>
  <c r="G513" l="1"/>
  <c r="G512"/>
  <c r="G505"/>
  <c r="G506"/>
  <c r="G514" l="1"/>
  <c r="G515"/>
  <c r="M73" i="12" l="1"/>
  <c r="M85" s="1"/>
  <c r="M94" s="1"/>
  <c r="M103" s="1"/>
  <c r="N20" i="9"/>
  <c r="M20"/>
  <c r="I20"/>
  <c r="I57"/>
  <c r="K15" i="8"/>
  <c r="G15"/>
  <c r="J15" i="4"/>
  <c r="K15" s="1"/>
  <c r="I33"/>
  <c r="L56" i="12"/>
  <c r="M56" s="1"/>
  <c r="M63" s="1"/>
  <c r="M98" s="1"/>
  <c r="L56" i="6"/>
  <c r="M56" s="1"/>
  <c r="M63" s="1"/>
  <c r="AI483" i="3"/>
  <c r="AI482"/>
  <c r="AI481"/>
  <c r="AI480"/>
  <c r="AI479"/>
  <c r="AI478"/>
  <c r="AI477"/>
  <c r="AI476"/>
  <c r="AI475"/>
  <c r="AI474"/>
  <c r="AI473"/>
  <c r="AI472"/>
  <c r="AI471"/>
  <c r="AI470"/>
  <c r="AI468"/>
  <c r="AI467"/>
  <c r="AI466"/>
  <c r="AI465"/>
  <c r="AI464"/>
  <c r="AI463"/>
  <c r="AI462"/>
  <c r="AI461"/>
  <c r="AI460"/>
  <c r="AI459"/>
  <c r="AI458"/>
  <c r="AI457"/>
  <c r="AI456"/>
  <c r="M18" i="9"/>
  <c r="L42" i="12"/>
  <c r="L7" i="9"/>
  <c r="M7" s="1"/>
  <c r="M3"/>
  <c r="N3" s="1"/>
  <c r="N7" s="1"/>
  <c r="N18" s="1"/>
  <c r="K3" i="8"/>
  <c r="K3" i="4"/>
  <c r="J3"/>
  <c r="L20" i="12"/>
  <c r="L16"/>
  <c r="L11"/>
  <c r="L8"/>
  <c r="L6"/>
  <c r="L42" i="6"/>
  <c r="J20"/>
  <c r="L20"/>
  <c r="M98" l="1"/>
  <c r="M73"/>
  <c r="M85" s="1"/>
  <c r="M94" s="1"/>
  <c r="M103" s="1"/>
  <c r="AK471" i="3"/>
  <c r="AK456"/>
  <c r="L16" i="6"/>
  <c r="L11"/>
  <c r="L8"/>
  <c r="L6"/>
  <c r="G3" i="5"/>
  <c r="G4"/>
  <c r="AI695" i="3"/>
  <c r="AI694"/>
  <c r="AI693"/>
  <c r="AI692"/>
  <c r="AI691"/>
  <c r="AI690"/>
  <c r="AI689"/>
  <c r="AI688"/>
  <c r="AI687"/>
  <c r="AI686"/>
  <c r="AI685"/>
  <c r="AI684"/>
  <c r="AI683"/>
  <c r="AI682"/>
  <c r="AI681"/>
  <c r="AI680"/>
  <c r="AI679"/>
  <c r="AI678"/>
  <c r="AI676"/>
  <c r="AI675"/>
  <c r="AI674"/>
  <c r="AI673"/>
  <c r="AI672"/>
  <c r="AI671"/>
  <c r="AI670"/>
  <c r="AI669"/>
  <c r="AI668"/>
  <c r="AI667"/>
  <c r="AI666"/>
  <c r="AI665"/>
  <c r="AL456" l="1"/>
  <c r="AK678"/>
  <c r="AK665"/>
  <c r="AK681"/>
  <c r="N40" i="9"/>
  <c r="K24" i="4"/>
  <c r="L100" i="12"/>
  <c r="M100" s="1"/>
  <c r="M100" i="6"/>
  <c r="AI664" i="3"/>
  <c r="AI663"/>
  <c r="AI662"/>
  <c r="AI661"/>
  <c r="AI660"/>
  <c r="AI659"/>
  <c r="AI658"/>
  <c r="AI657"/>
  <c r="AI656"/>
  <c r="AI655"/>
  <c r="AI654"/>
  <c r="AI653"/>
  <c r="AI652"/>
  <c r="AI651"/>
  <c r="AI650"/>
  <c r="AI649"/>
  <c r="AI648"/>
  <c r="AI647"/>
  <c r="AI646"/>
  <c r="AI645"/>
  <c r="AI644"/>
  <c r="AI643"/>
  <c r="AI642"/>
  <c r="AI641"/>
  <c r="AI640"/>
  <c r="AI639"/>
  <c r="AI638"/>
  <c r="AI637"/>
  <c r="AI636"/>
  <c r="AI635"/>
  <c r="AI634"/>
  <c r="AI633"/>
  <c r="AI632"/>
  <c r="AI631"/>
  <c r="AI630"/>
  <c r="AI629"/>
  <c r="AI628"/>
  <c r="AI627"/>
  <c r="AI626"/>
  <c r="AI625"/>
  <c r="AI624"/>
  <c r="AI623"/>
  <c r="AI622"/>
  <c r="AI621"/>
  <c r="AI620"/>
  <c r="AI619"/>
  <c r="AI618"/>
  <c r="AI617"/>
  <c r="AI616"/>
  <c r="AI615"/>
  <c r="AI614"/>
  <c r="AI613"/>
  <c r="AI612"/>
  <c r="AI611"/>
  <c r="AI610"/>
  <c r="L82" i="12"/>
  <c r="N28" i="9"/>
  <c r="K19" i="8"/>
  <c r="M71" i="12"/>
  <c r="M71" i="6"/>
  <c r="M82" s="1"/>
  <c r="AK619" i="3" l="1"/>
  <c r="AK630"/>
  <c r="AK610"/>
  <c r="AK641"/>
  <c r="M82" i="12"/>
  <c r="L64"/>
  <c r="AI609" i="3" l="1"/>
  <c r="AI608"/>
  <c r="AI607"/>
  <c r="AI606"/>
  <c r="AI605"/>
  <c r="AI604"/>
  <c r="AI603"/>
  <c r="AI602"/>
  <c r="AI601"/>
  <c r="AI600"/>
  <c r="AI599"/>
  <c r="L57" i="12"/>
  <c r="L57" i="6"/>
  <c r="AI580" i="3"/>
  <c r="AI581"/>
  <c r="AI582"/>
  <c r="AI583"/>
  <c r="AI584"/>
  <c r="AI585"/>
  <c r="AI586"/>
  <c r="AI587"/>
  <c r="AI588"/>
  <c r="AI589"/>
  <c r="AI590"/>
  <c r="AI591"/>
  <c r="AI592"/>
  <c r="AI593"/>
  <c r="AI594"/>
  <c r="AI595"/>
  <c r="AI596"/>
  <c r="AI597"/>
  <c r="AI598"/>
  <c r="AI579"/>
  <c r="AK599" l="1"/>
  <c r="AL599" s="1"/>
  <c r="AK590"/>
  <c r="AK579"/>
  <c r="L46" i="6"/>
  <c r="L46" i="12"/>
  <c r="L38"/>
  <c r="L38" i="6"/>
  <c r="AI1223" i="3"/>
  <c r="AI1224"/>
  <c r="AI1225"/>
  <c r="AI1226"/>
  <c r="AI1227"/>
  <c r="AI1228"/>
  <c r="AI1229"/>
  <c r="AI1230"/>
  <c r="AI1231"/>
  <c r="AI1232"/>
  <c r="AI1233"/>
  <c r="AI1234"/>
  <c r="AI1235"/>
  <c r="AI1236"/>
  <c r="AI1237"/>
  <c r="AI1238"/>
  <c r="AI1239"/>
  <c r="AI1222"/>
  <c r="AK1222" s="1"/>
  <c r="AL579" l="1"/>
  <c r="AK1227"/>
  <c r="AK1223"/>
  <c r="L31" i="12"/>
  <c r="L31" i="6"/>
  <c r="L24"/>
  <c r="M24" s="1"/>
  <c r="L24" i="12"/>
  <c r="M24" s="1"/>
  <c r="M10" i="9"/>
  <c r="N10" s="1"/>
  <c r="N27" s="1"/>
  <c r="N33" s="1"/>
  <c r="N44" s="1"/>
  <c r="K8" i="8"/>
  <c r="I8"/>
  <c r="G8"/>
  <c r="J8" i="4"/>
  <c r="K8" s="1"/>
  <c r="G10" i="5"/>
  <c r="M31" i="12" l="1"/>
  <c r="M38" s="1"/>
  <c r="M46" s="1"/>
  <c r="M57" s="1"/>
  <c r="M64" s="1"/>
  <c r="M70" s="1"/>
  <c r="M81" s="1"/>
  <c r="M108" s="1"/>
  <c r="M31" i="6"/>
  <c r="M38" s="1"/>
  <c r="M46" s="1"/>
  <c r="M57" s="1"/>
  <c r="M64" s="1"/>
  <c r="M70" s="1"/>
  <c r="M81" s="1"/>
  <c r="M107" s="1"/>
  <c r="AI733" i="3"/>
  <c r="AI739"/>
  <c r="AI743"/>
  <c r="AI701"/>
  <c r="AI702"/>
  <c r="AI703"/>
  <c r="AI704"/>
  <c r="AI705"/>
  <c r="AI706"/>
  <c r="AI707"/>
  <c r="AI708"/>
  <c r="AI709"/>
  <c r="AI710"/>
  <c r="AI711"/>
  <c r="AI712"/>
  <c r="AI713"/>
  <c r="AI714"/>
  <c r="AI715"/>
  <c r="AI716"/>
  <c r="AI717"/>
  <c r="AI718"/>
  <c r="AI719"/>
  <c r="AI720"/>
  <c r="AI721"/>
  <c r="AI722"/>
  <c r="AI723"/>
  <c r="AI730"/>
  <c r="AI731"/>
  <c r="AI732"/>
  <c r="AI735"/>
  <c r="AI736"/>
  <c r="AI737"/>
  <c r="AI738"/>
  <c r="AI742"/>
  <c r="AK710" l="1"/>
  <c r="AK724"/>
  <c r="I710" l="1"/>
  <c r="H710"/>
  <c r="H699"/>
  <c r="I699"/>
  <c r="G744"/>
  <c r="G741"/>
  <c r="G740"/>
  <c r="G731"/>
  <c r="G732" s="1"/>
  <c r="G730"/>
  <c r="G721"/>
  <c r="G720"/>
  <c r="G743" s="1"/>
  <c r="G711"/>
  <c r="G713" s="1"/>
  <c r="G710"/>
  <c r="G704"/>
  <c r="G719" s="1"/>
  <c r="G701"/>
  <c r="G714" s="1"/>
  <c r="G700"/>
  <c r="G699"/>
  <c r="AI700"/>
  <c r="AI699"/>
  <c r="G742" l="1"/>
  <c r="G702"/>
  <c r="G716" s="1"/>
  <c r="G718" s="1"/>
  <c r="G712"/>
  <c r="G733"/>
  <c r="AK699"/>
  <c r="AL699" s="1"/>
  <c r="G735"/>
  <c r="G715"/>
  <c r="N31" i="9"/>
  <c r="K21" i="4"/>
  <c r="M79" i="12"/>
  <c r="M91" s="1"/>
  <c r="M79" i="6"/>
  <c r="M91" s="1"/>
  <c r="N30" i="9"/>
  <c r="G717" i="3" l="1"/>
  <c r="G737"/>
  <c r="G736"/>
  <c r="H443"/>
  <c r="G448"/>
  <c r="G445"/>
  <c r="G446" s="1"/>
  <c r="G444"/>
  <c r="G443"/>
  <c r="AI452"/>
  <c r="AI451"/>
  <c r="AI450"/>
  <c r="AI449"/>
  <c r="AI448"/>
  <c r="AI447"/>
  <c r="AI446"/>
  <c r="AI445"/>
  <c r="AI444"/>
  <c r="AI443"/>
  <c r="N43" i="9"/>
  <c r="K27" i="4"/>
  <c r="M106" i="12"/>
  <c r="M105" i="6"/>
  <c r="G739" i="3" l="1"/>
  <c r="G738"/>
  <c r="AK443"/>
  <c r="AI442"/>
  <c r="AI441"/>
  <c r="AI440"/>
  <c r="AI439"/>
  <c r="AI438"/>
  <c r="AI437"/>
  <c r="AI436"/>
  <c r="AI435"/>
  <c r="AI434"/>
  <c r="P1314"/>
  <c r="Q1314"/>
  <c r="L52" i="12"/>
  <c r="L53" i="6"/>
  <c r="AK434" i="3" l="1"/>
  <c r="AL434" s="1"/>
  <c r="AI376"/>
  <c r="AI377"/>
  <c r="AI378"/>
  <c r="AI379"/>
  <c r="AI380"/>
  <c r="AI381"/>
  <c r="AI382"/>
  <c r="AI383"/>
  <c r="AI384"/>
  <c r="AI385"/>
  <c r="AI386"/>
  <c r="AI387"/>
  <c r="AI388"/>
  <c r="AI389"/>
  <c r="AI390"/>
  <c r="AI391"/>
  <c r="AI392"/>
  <c r="AI393"/>
  <c r="AI394"/>
  <c r="AI395"/>
  <c r="AI396"/>
  <c r="AI397"/>
  <c r="AI398"/>
  <c r="AI399"/>
  <c r="AI400"/>
  <c r="AI401"/>
  <c r="AI402"/>
  <c r="AK389" l="1"/>
  <c r="AK376"/>
  <c r="AI433"/>
  <c r="AI432"/>
  <c r="AI431"/>
  <c r="AI430"/>
  <c r="AI429"/>
  <c r="AI428"/>
  <c r="AI427"/>
  <c r="AI419"/>
  <c r="AI414"/>
  <c r="AI412"/>
  <c r="AI408"/>
  <c r="L44" i="6"/>
  <c r="L36" i="12"/>
  <c r="L36" i="6"/>
  <c r="P4" i="10"/>
  <c r="M15" i="9"/>
  <c r="N15" s="1"/>
  <c r="N35" s="1"/>
  <c r="R17" i="10"/>
  <c r="Y4"/>
  <c r="V4"/>
  <c r="L4"/>
  <c r="L5"/>
  <c r="L6"/>
  <c r="S3"/>
  <c r="S4"/>
  <c r="H4"/>
  <c r="J4"/>
  <c r="K12" i="8"/>
  <c r="I12"/>
  <c r="G12"/>
  <c r="J12" i="4"/>
  <c r="K12" s="1"/>
  <c r="L30" i="12"/>
  <c r="M30" s="1"/>
  <c r="L30" i="6"/>
  <c r="M30" s="1"/>
  <c r="S32"/>
  <c r="M36" i="12" l="1"/>
  <c r="M36" i="6"/>
  <c r="M44" s="1"/>
  <c r="M53" s="1"/>
  <c r="M60" s="1"/>
  <c r="M72" s="1"/>
  <c r="M84" s="1"/>
  <c r="AK402" i="3"/>
  <c r="AK428"/>
  <c r="AI971"/>
  <c r="AI972"/>
  <c r="AI973"/>
  <c r="G975"/>
  <c r="G970" s="1"/>
  <c r="G971" s="1"/>
  <c r="G969"/>
  <c r="G968"/>
  <c r="G967"/>
  <c r="G966"/>
  <c r="AG965"/>
  <c r="AG964"/>
  <c r="AG963"/>
  <c r="AG962"/>
  <c r="AG961"/>
  <c r="AG960"/>
  <c r="AG959"/>
  <c r="AG958"/>
  <c r="AG957"/>
  <c r="AG956"/>
  <c r="AG955"/>
  <c r="G965"/>
  <c r="G961"/>
  <c r="G962" s="1"/>
  <c r="G960"/>
  <c r="G956"/>
  <c r="G957" s="1"/>
  <c r="G958" s="1"/>
  <c r="G955"/>
  <c r="AI976"/>
  <c r="AI975"/>
  <c r="AI974"/>
  <c r="AI970"/>
  <c r="AI969"/>
  <c r="AI968"/>
  <c r="AI967"/>
  <c r="AI966"/>
  <c r="AI965"/>
  <c r="AI964"/>
  <c r="AI963"/>
  <c r="AI962"/>
  <c r="AI961"/>
  <c r="AI960"/>
  <c r="AI959"/>
  <c r="AI958"/>
  <c r="AI957"/>
  <c r="AI956"/>
  <c r="AI955"/>
  <c r="L39" i="12"/>
  <c r="L58"/>
  <c r="AI954" i="3"/>
  <c r="AI953"/>
  <c r="AI952"/>
  <c r="AI951"/>
  <c r="AI950"/>
  <c r="AI949"/>
  <c r="AI948"/>
  <c r="AI947"/>
  <c r="AI946"/>
  <c r="AI945"/>
  <c r="L49" i="6"/>
  <c r="AL376" i="3" l="1"/>
  <c r="AK966"/>
  <c r="AK955"/>
  <c r="G963"/>
  <c r="G972"/>
  <c r="AK945"/>
  <c r="L58" i="6"/>
  <c r="L49" i="12"/>
  <c r="AL945" i="3" l="1"/>
  <c r="G973"/>
  <c r="G974"/>
  <c r="AI868"/>
  <c r="AI865"/>
  <c r="AI861"/>
  <c r="AI857"/>
  <c r="AI853"/>
  <c r="AI852"/>
  <c r="AI851"/>
  <c r="AI850"/>
  <c r="AI849"/>
  <c r="AI848"/>
  <c r="AI847"/>
  <c r="AI846"/>
  <c r="AI845"/>
  <c r="AI844"/>
  <c r="AI843"/>
  <c r="AI842"/>
  <c r="AI841"/>
  <c r="AK841" l="1"/>
  <c r="AK854"/>
  <c r="AL841" l="1"/>
  <c r="AI918"/>
  <c r="AI919"/>
  <c r="AI920"/>
  <c r="AI921"/>
  <c r="AI922"/>
  <c r="AI923"/>
  <c r="AI924"/>
  <c r="AI925"/>
  <c r="AI926"/>
  <c r="AI927"/>
  <c r="AI928"/>
  <c r="AI929"/>
  <c r="AI930"/>
  <c r="AI931"/>
  <c r="AI932"/>
  <c r="AI933"/>
  <c r="AI934"/>
  <c r="AI935"/>
  <c r="AI936"/>
  <c r="AI937"/>
  <c r="AI938"/>
  <c r="AI939"/>
  <c r="AI940"/>
  <c r="AI941"/>
  <c r="AI942"/>
  <c r="AI943"/>
  <c r="AI944"/>
  <c r="AI917"/>
  <c r="AI916"/>
  <c r="AI915"/>
  <c r="AI914"/>
  <c r="AI913"/>
  <c r="AI912"/>
  <c r="AI911"/>
  <c r="AI910"/>
  <c r="AK910" s="1"/>
  <c r="AI903"/>
  <c r="AI900"/>
  <c r="AI896"/>
  <c r="AI895"/>
  <c r="AI892"/>
  <c r="L39" i="6"/>
  <c r="L35"/>
  <c r="S29" i="12"/>
  <c r="L29"/>
  <c r="M29" s="1"/>
  <c r="S29" i="6"/>
  <c r="L29"/>
  <c r="J29"/>
  <c r="L35" i="12"/>
  <c r="L28"/>
  <c r="M28" s="1"/>
  <c r="M14" i="9"/>
  <c r="N14" s="1"/>
  <c r="N32" s="1"/>
  <c r="N39" s="1"/>
  <c r="K11" i="8"/>
  <c r="I11"/>
  <c r="G11"/>
  <c r="K11" i="4"/>
  <c r="J11"/>
  <c r="L53" i="12"/>
  <c r="G835" i="3"/>
  <c r="G837" s="1"/>
  <c r="G832"/>
  <c r="G833" s="1"/>
  <c r="G831"/>
  <c r="G829"/>
  <c r="G828"/>
  <c r="G827"/>
  <c r="AI837"/>
  <c r="AI836"/>
  <c r="AI835"/>
  <c r="AI834"/>
  <c r="AI833"/>
  <c r="AI832"/>
  <c r="AI831"/>
  <c r="AI830"/>
  <c r="AI829"/>
  <c r="AI828"/>
  <c r="AI827"/>
  <c r="AI826"/>
  <c r="G821"/>
  <c r="G817"/>
  <c r="G818" s="1"/>
  <c r="G816"/>
  <c r="G814"/>
  <c r="G813"/>
  <c r="G812"/>
  <c r="G811"/>
  <c r="G807"/>
  <c r="G805"/>
  <c r="G806" s="1"/>
  <c r="G797"/>
  <c r="G798" s="1"/>
  <c r="G799" s="1"/>
  <c r="G795"/>
  <c r="G787"/>
  <c r="G785"/>
  <c r="G822" s="1"/>
  <c r="G783"/>
  <c r="G779"/>
  <c r="G778"/>
  <c r="AI824"/>
  <c r="AI823"/>
  <c r="AI822"/>
  <c r="AI821"/>
  <c r="AI820"/>
  <c r="AI819"/>
  <c r="AI818"/>
  <c r="AI817"/>
  <c r="AI816"/>
  <c r="AI815"/>
  <c r="AI814"/>
  <c r="AI813"/>
  <c r="AI812"/>
  <c r="AI811"/>
  <c r="AI806"/>
  <c r="AI805"/>
  <c r="AI803"/>
  <c r="AI802"/>
  <c r="AI799"/>
  <c r="AI798"/>
  <c r="AI797"/>
  <c r="AI796"/>
  <c r="AI794"/>
  <c r="AI790"/>
  <c r="AI789"/>
  <c r="AI788"/>
  <c r="AI787"/>
  <c r="AI786"/>
  <c r="AI785"/>
  <c r="AI784"/>
  <c r="AI783"/>
  <c r="AI782"/>
  <c r="AI781"/>
  <c r="AI780"/>
  <c r="AI779"/>
  <c r="AI778"/>
  <c r="AI1147"/>
  <c r="AI1148"/>
  <c r="M35" i="12" l="1"/>
  <c r="M39" s="1"/>
  <c r="M49" s="1"/>
  <c r="M58" s="1"/>
  <c r="M80" s="1"/>
  <c r="M99" s="1"/>
  <c r="AK934" i="3"/>
  <c r="AK911"/>
  <c r="AK890"/>
  <c r="AK925"/>
  <c r="AK877"/>
  <c r="AK778"/>
  <c r="AK826"/>
  <c r="G834"/>
  <c r="G780"/>
  <c r="G781" s="1"/>
  <c r="G819" s="1"/>
  <c r="AK791"/>
  <c r="G174"/>
  <c r="G176" s="1"/>
  <c r="K22" i="4"/>
  <c r="M83" i="12"/>
  <c r="M92" s="1"/>
  <c r="M125" s="1"/>
  <c r="M83" i="6"/>
  <c r="M92" s="1"/>
  <c r="M123" s="1"/>
  <c r="Q34" i="9"/>
  <c r="M34"/>
  <c r="N34" s="1"/>
  <c r="N51" s="1"/>
  <c r="I34"/>
  <c r="AL877" i="3" l="1"/>
  <c r="AI753"/>
  <c r="AI754"/>
  <c r="AI755"/>
  <c r="AI756"/>
  <c r="AI757"/>
  <c r="AI758"/>
  <c r="AI759"/>
  <c r="AI760"/>
  <c r="AI761"/>
  <c r="AI762"/>
  <c r="AI763"/>
  <c r="AI764"/>
  <c r="AI765"/>
  <c r="AI766"/>
  <c r="AI767"/>
  <c r="AI768"/>
  <c r="AI769"/>
  <c r="AI770"/>
  <c r="AI771"/>
  <c r="AI772"/>
  <c r="AI773"/>
  <c r="AI774"/>
  <c r="AI775"/>
  <c r="AI776"/>
  <c r="AI777"/>
  <c r="AI752"/>
  <c r="AK752" l="1"/>
  <c r="AI825"/>
  <c r="AK811" s="1"/>
  <c r="AL778" s="1"/>
  <c r="L6" i="9"/>
  <c r="M6" s="1"/>
  <c r="L18" i="12"/>
  <c r="L18" i="6"/>
  <c r="L13" i="12"/>
  <c r="L13" i="6"/>
  <c r="L10" i="12"/>
  <c r="L10" i="6"/>
  <c r="L7"/>
  <c r="L7" i="12"/>
  <c r="M4" i="9"/>
  <c r="N4" s="1"/>
  <c r="N6" s="1"/>
  <c r="K26" i="4"/>
  <c r="K25"/>
  <c r="K20"/>
  <c r="S2" i="10"/>
  <c r="H3"/>
  <c r="J4" i="6"/>
  <c r="M4" s="1"/>
  <c r="G4" i="8"/>
  <c r="J4" i="4"/>
  <c r="K4" s="1"/>
  <c r="G9"/>
  <c r="G4"/>
  <c r="AI362" i="3"/>
  <c r="AI363"/>
  <c r="AI364"/>
  <c r="AI365"/>
  <c r="AI366"/>
  <c r="AI367"/>
  <c r="AI368"/>
  <c r="AI369"/>
  <c r="AI370"/>
  <c r="AI371"/>
  <c r="AI372"/>
  <c r="AI352"/>
  <c r="AI353"/>
  <c r="AI354"/>
  <c r="AI355"/>
  <c r="AI356"/>
  <c r="AI357"/>
  <c r="AI358"/>
  <c r="AI359"/>
  <c r="AI360"/>
  <c r="AI340"/>
  <c r="AI341"/>
  <c r="AI342"/>
  <c r="AI343"/>
  <c r="AI344"/>
  <c r="AI345"/>
  <c r="AI346"/>
  <c r="AI347"/>
  <c r="AI348"/>
  <c r="AI349"/>
  <c r="G372"/>
  <c r="G373" s="1"/>
  <c r="G368"/>
  <c r="G370" s="1"/>
  <c r="G367"/>
  <c r="G369" s="1"/>
  <c r="G363"/>
  <c r="G364" s="1"/>
  <c r="G362"/>
  <c r="G361"/>
  <c r="G358"/>
  <c r="G359" s="1"/>
  <c r="G357"/>
  <c r="G354"/>
  <c r="G352"/>
  <c r="G365" s="1"/>
  <c r="G351"/>
  <c r="G350"/>
  <c r="G346"/>
  <c r="G343"/>
  <c r="G338"/>
  <c r="G339" s="1"/>
  <c r="N49" i="9"/>
  <c r="M102" i="12"/>
  <c r="M110" s="1"/>
  <c r="M121" s="1"/>
  <c r="M102" i="6"/>
  <c r="M109" s="1"/>
  <c r="M120" s="1"/>
  <c r="S60"/>
  <c r="S133"/>
  <c r="G371" i="3" l="1"/>
  <c r="M7" i="6"/>
  <c r="M10" s="1"/>
  <c r="M13" s="1"/>
  <c r="M18" s="1"/>
  <c r="M26" s="1"/>
  <c r="G340" i="3"/>
  <c r="G341" s="1"/>
  <c r="G332"/>
  <c r="G331"/>
  <c r="G330"/>
  <c r="G326"/>
  <c r="G327" s="1"/>
  <c r="G325"/>
  <c r="G321"/>
  <c r="G322" s="1"/>
  <c r="G320"/>
  <c r="G323" l="1"/>
  <c r="G328"/>
  <c r="AI321" l="1"/>
  <c r="AI322"/>
  <c r="AI323"/>
  <c r="AI324"/>
  <c r="AI325"/>
  <c r="AI326"/>
  <c r="AI327"/>
  <c r="AI328"/>
  <c r="AI329"/>
  <c r="AI330"/>
  <c r="AI331"/>
  <c r="AI332"/>
  <c r="AI333"/>
  <c r="AI334"/>
  <c r="AI309"/>
  <c r="AI310"/>
  <c r="AI311"/>
  <c r="AI312"/>
  <c r="AI313"/>
  <c r="AI314"/>
  <c r="AI315"/>
  <c r="AI316"/>
  <c r="AI317"/>
  <c r="AI318"/>
  <c r="AI319"/>
  <c r="G319"/>
  <c r="G318"/>
  <c r="G314"/>
  <c r="G315" s="1"/>
  <c r="G313"/>
  <c r="G309"/>
  <c r="G310" s="1"/>
  <c r="N22" i="9"/>
  <c r="N46" s="1"/>
  <c r="L62" i="12"/>
  <c r="AI300" i="3"/>
  <c r="AI301"/>
  <c r="AI302"/>
  <c r="AI303"/>
  <c r="AI304"/>
  <c r="AI305"/>
  <c r="AI306"/>
  <c r="AI307"/>
  <c r="L55" i="12"/>
  <c r="L55" i="6"/>
  <c r="AI260" i="3"/>
  <c r="AI261"/>
  <c r="AI262"/>
  <c r="AI263"/>
  <c r="AI264"/>
  <c r="AI265"/>
  <c r="AI266"/>
  <c r="AI267"/>
  <c r="AI268"/>
  <c r="AI269"/>
  <c r="AI270"/>
  <c r="AI271"/>
  <c r="AI272"/>
  <c r="AI273"/>
  <c r="AI274"/>
  <c r="AI275"/>
  <c r="AI276"/>
  <c r="AI277"/>
  <c r="AI278"/>
  <c r="AI279"/>
  <c r="AI280"/>
  <c r="AI281"/>
  <c r="AI282"/>
  <c r="AI283"/>
  <c r="AI284"/>
  <c r="AI285"/>
  <c r="AI286"/>
  <c r="AI287"/>
  <c r="AI288"/>
  <c r="AI289"/>
  <c r="AI290"/>
  <c r="AI291"/>
  <c r="AI292"/>
  <c r="AI293"/>
  <c r="AI294"/>
  <c r="AI295"/>
  <c r="AI296"/>
  <c r="AI297"/>
  <c r="L48" i="12"/>
  <c r="S48" i="6"/>
  <c r="L48"/>
  <c r="L37" i="12"/>
  <c r="L32"/>
  <c r="L25" i="6"/>
  <c r="M25" s="1"/>
  <c r="M11" i="9"/>
  <c r="I9" i="8"/>
  <c r="L25" i="12"/>
  <c r="M25" s="1"/>
  <c r="K22"/>
  <c r="L22" s="1"/>
  <c r="M22" s="1"/>
  <c r="L22" i="6"/>
  <c r="M22" s="1"/>
  <c r="G1185" i="3"/>
  <c r="G1179"/>
  <c r="G1177"/>
  <c r="AK1152"/>
  <c r="M32" i="12" l="1"/>
  <c r="M37" s="1"/>
  <c r="M48" s="1"/>
  <c r="M55" s="1"/>
  <c r="M62" s="1"/>
  <c r="M113" s="1"/>
  <c r="M114" s="1"/>
  <c r="AK332" i="3"/>
  <c r="N47" i="9"/>
  <c r="AK271" i="3"/>
  <c r="AK281"/>
  <c r="G311"/>
  <c r="G316"/>
  <c r="AI1131"/>
  <c r="AI1132"/>
  <c r="AI1133"/>
  <c r="AI1134"/>
  <c r="AI1135"/>
  <c r="AI1136"/>
  <c r="AI1137"/>
  <c r="AI1138"/>
  <c r="AI1139"/>
  <c r="AI1140"/>
  <c r="AI1141"/>
  <c r="AI1142"/>
  <c r="AI1143"/>
  <c r="AI1144"/>
  <c r="AI1145"/>
  <c r="AI1146"/>
  <c r="AI1149"/>
  <c r="AI1150"/>
  <c r="G1218"/>
  <c r="AI1213"/>
  <c r="AA1213"/>
  <c r="G1210"/>
  <c r="AI1206"/>
  <c r="AA1206"/>
  <c r="AI1205"/>
  <c r="AA1205"/>
  <c r="AI1203"/>
  <c r="AA1203"/>
  <c r="AA215"/>
  <c r="AI215"/>
  <c r="AA220"/>
  <c r="AI220"/>
  <c r="G223"/>
  <c r="AA224"/>
  <c r="AI224"/>
  <c r="AA227"/>
  <c r="AI227"/>
  <c r="G231"/>
  <c r="AK206" l="1"/>
  <c r="AK5"/>
  <c r="AK1193"/>
  <c r="AI175" l="1"/>
  <c r="AI176"/>
  <c r="AI178"/>
  <c r="AI179"/>
  <c r="G170"/>
  <c r="G168"/>
  <c r="AI112" l="1"/>
  <c r="AI113"/>
  <c r="AI114"/>
  <c r="AI115"/>
  <c r="AI116"/>
  <c r="AI117"/>
  <c r="AI118"/>
  <c r="AI123"/>
  <c r="AI124"/>
  <c r="AI126"/>
  <c r="AI127"/>
  <c r="AI128"/>
  <c r="AI131"/>
  <c r="AI132"/>
  <c r="AI134"/>
  <c r="AI135"/>
  <c r="AI163"/>
  <c r="AI164"/>
  <c r="AI165"/>
  <c r="AI167"/>
  <c r="AI168"/>
  <c r="AI169"/>
  <c r="AI170"/>
  <c r="AI171"/>
  <c r="AI174"/>
  <c r="AI180"/>
  <c r="AI189"/>
  <c r="AI190"/>
  <c r="AI192"/>
  <c r="AI193"/>
  <c r="AI194"/>
  <c r="AI197"/>
  <c r="AI198"/>
  <c r="AI200"/>
  <c r="AI201"/>
  <c r="AI236"/>
  <c r="AI237"/>
  <c r="AI239"/>
  <c r="AI240"/>
  <c r="AI241"/>
  <c r="AI242"/>
  <c r="AI243"/>
  <c r="AI246"/>
  <c r="AI247"/>
  <c r="AI249"/>
  <c r="AI250"/>
  <c r="AA250"/>
  <c r="AA249"/>
  <c r="AA247"/>
  <c r="AA246"/>
  <c r="AA243"/>
  <c r="AA242"/>
  <c r="AA241"/>
  <c r="AA240"/>
  <c r="AA239"/>
  <c r="AA237"/>
  <c r="AA236"/>
  <c r="AA201"/>
  <c r="AA200"/>
  <c r="AA198"/>
  <c r="AA197"/>
  <c r="AA194"/>
  <c r="AA193"/>
  <c r="AA192"/>
  <c r="AA190"/>
  <c r="AA189"/>
  <c r="AA135"/>
  <c r="AA134"/>
  <c r="AA132"/>
  <c r="AA131"/>
  <c r="AA128"/>
  <c r="AA127"/>
  <c r="AA126"/>
  <c r="AA124"/>
  <c r="AA123"/>
  <c r="AA118"/>
  <c r="AA117"/>
  <c r="AA116"/>
  <c r="AA115"/>
  <c r="AA114"/>
  <c r="AA113"/>
  <c r="AA112"/>
  <c r="AA111"/>
  <c r="AA110"/>
  <c r="AK181" l="1"/>
  <c r="AK233"/>
  <c r="AK143"/>
  <c r="AK119"/>
  <c r="G254" l="1"/>
  <c r="G249"/>
  <c r="G246"/>
  <c r="G241"/>
  <c r="G239"/>
  <c r="G236"/>
  <c r="G205"/>
  <c r="G197"/>
  <c r="G139"/>
  <c r="G131"/>
  <c r="G118"/>
  <c r="G111"/>
  <c r="AI111"/>
  <c r="J127" i="6"/>
  <c r="M101" i="12" l="1"/>
  <c r="M104" s="1"/>
  <c r="M74" i="6"/>
  <c r="M88" s="1"/>
  <c r="M96" s="1"/>
  <c r="M104" s="1"/>
  <c r="M114" s="1"/>
  <c r="M121" s="1"/>
  <c r="M101"/>
  <c r="M108" s="1"/>
  <c r="M111" s="1"/>
  <c r="M116" s="1"/>
  <c r="M117" s="1"/>
  <c r="L51" i="12"/>
  <c r="M109" l="1"/>
  <c r="M112" s="1"/>
  <c r="M117" s="1"/>
  <c r="M118" s="1"/>
  <c r="M119" i="6"/>
  <c r="M124" s="1"/>
  <c r="M126" s="1"/>
  <c r="M128" s="1"/>
  <c r="L51"/>
  <c r="L4"/>
  <c r="L5"/>
  <c r="M5" s="1"/>
  <c r="L9"/>
  <c r="L12"/>
  <c r="L14"/>
  <c r="L17"/>
  <c r="L21"/>
  <c r="L32"/>
  <c r="M9" l="1"/>
  <c r="M12" l="1"/>
  <c r="M17" s="1"/>
  <c r="AI105" i="3"/>
  <c r="AI89"/>
  <c r="AI88"/>
  <c r="AI87"/>
  <c r="AI94"/>
  <c r="AI93"/>
  <c r="AI85"/>
  <c r="AI84"/>
  <c r="AI65"/>
  <c r="AI66"/>
  <c r="AI67"/>
  <c r="AI68"/>
  <c r="AI69"/>
  <c r="AI70"/>
  <c r="AI71"/>
  <c r="AI72"/>
  <c r="AI73"/>
  <c r="M21" i="6" l="1"/>
  <c r="M51" s="1"/>
  <c r="M69" s="1"/>
  <c r="M78" s="1"/>
  <c r="M110" s="1"/>
  <c r="M115" s="1"/>
  <c r="M127" s="1"/>
  <c r="M35"/>
  <c r="M39" s="1"/>
  <c r="M49" s="1"/>
  <c r="M58" s="1"/>
  <c r="AI98" i="3"/>
  <c r="AI99"/>
  <c r="AI100"/>
  <c r="AI101"/>
  <c r="AI102"/>
  <c r="AI103"/>
  <c r="AI104"/>
  <c r="AI106"/>
  <c r="AI107"/>
  <c r="AI108"/>
  <c r="AI109"/>
  <c r="AI75"/>
  <c r="AI76"/>
  <c r="AI77"/>
  <c r="AI78"/>
  <c r="AI79"/>
  <c r="AI80"/>
  <c r="AI81"/>
  <c r="AI82"/>
  <c r="G102"/>
  <c r="G82"/>
  <c r="G81"/>
  <c r="G79"/>
  <c r="G70"/>
  <c r="G72" s="1"/>
  <c r="G73" s="1"/>
  <c r="M56" i="9"/>
  <c r="N50"/>
  <c r="L54" i="12"/>
  <c r="L47"/>
  <c r="M74"/>
  <c r="M88" s="1"/>
  <c r="M96" s="1"/>
  <c r="M105" s="1"/>
  <c r="N56" i="9" l="1"/>
  <c r="M80" i="6"/>
  <c r="M99" s="1"/>
  <c r="M122"/>
  <c r="AK83" i="3"/>
  <c r="N41" i="9"/>
  <c r="L59" i="12"/>
  <c r="N55" i="9" l="1"/>
  <c r="M122" i="12"/>
  <c r="M131" s="1"/>
  <c r="M120"/>
  <c r="M124" s="1"/>
  <c r="M127" s="1"/>
  <c r="M129" s="1"/>
  <c r="AI58" i="3"/>
  <c r="AI59"/>
  <c r="AI60"/>
  <c r="AI61"/>
  <c r="AI62"/>
  <c r="AI54"/>
  <c r="AI55"/>
  <c r="AI50"/>
  <c r="AI51"/>
  <c r="AI41"/>
  <c r="AI42"/>
  <c r="AI43"/>
  <c r="AI44"/>
  <c r="AI45"/>
  <c r="AI46"/>
  <c r="AI47"/>
  <c r="AI33"/>
  <c r="AI34"/>
  <c r="AI35"/>
  <c r="AI36"/>
  <c r="K41" i="12" l="1"/>
  <c r="L41" s="1"/>
  <c r="M41" s="1"/>
  <c r="L4"/>
  <c r="M4" s="1"/>
  <c r="M7" s="1"/>
  <c r="M10" s="1"/>
  <c r="M13" s="1"/>
  <c r="M18" s="1"/>
  <c r="L5"/>
  <c r="M5" s="1"/>
  <c r="L9"/>
  <c r="L12"/>
  <c r="L14"/>
  <c r="L17"/>
  <c r="L21"/>
  <c r="S134"/>
  <c r="S124"/>
  <c r="S122"/>
  <c r="S120"/>
  <c r="S116"/>
  <c r="S115"/>
  <c r="S112"/>
  <c r="S111"/>
  <c r="S109"/>
  <c r="S105"/>
  <c r="S88"/>
  <c r="S80"/>
  <c r="S78"/>
  <c r="S74"/>
  <c r="S72"/>
  <c r="S69"/>
  <c r="S60"/>
  <c r="J59"/>
  <c r="S51"/>
  <c r="L50"/>
  <c r="J50"/>
  <c r="S46"/>
  <c r="L45"/>
  <c r="S44"/>
  <c r="L44"/>
  <c r="M44" s="1"/>
  <c r="M52" s="1"/>
  <c r="M60" s="1"/>
  <c r="M72" s="1"/>
  <c r="M84" s="1"/>
  <c r="S43"/>
  <c r="L43"/>
  <c r="J43"/>
  <c r="S37"/>
  <c r="L33"/>
  <c r="M33" s="1"/>
  <c r="S21"/>
  <c r="S17"/>
  <c r="S14"/>
  <c r="J14"/>
  <c r="S12"/>
  <c r="S9"/>
  <c r="S3"/>
  <c r="L3"/>
  <c r="M3" s="1"/>
  <c r="M6" s="1"/>
  <c r="M8" s="1"/>
  <c r="M11" s="1"/>
  <c r="M16" s="1"/>
  <c r="M20" s="1"/>
  <c r="M42" s="1"/>
  <c r="S2"/>
  <c r="L2"/>
  <c r="J2"/>
  <c r="L132" i="6"/>
  <c r="L54"/>
  <c r="L47"/>
  <c r="J110"/>
  <c r="N20" i="4"/>
  <c r="J106" i="7"/>
  <c r="Q26"/>
  <c r="Q21"/>
  <c r="Q17"/>
  <c r="Q14"/>
  <c r="Q12"/>
  <c r="Q9"/>
  <c r="S14" i="6"/>
  <c r="J14"/>
  <c r="Q5" i="7"/>
  <c r="S51" i="6"/>
  <c r="S21"/>
  <c r="S17"/>
  <c r="S12"/>
  <c r="S9"/>
  <c r="M5" i="5"/>
  <c r="M9" i="12" l="1"/>
  <c r="M12" s="1"/>
  <c r="M17" s="1"/>
  <c r="M50"/>
  <c r="M59" s="1"/>
  <c r="M68" s="1"/>
  <c r="M77" s="1"/>
  <c r="M90" s="1"/>
  <c r="M45"/>
  <c r="Q19" i="4"/>
  <c r="Q28"/>
  <c r="Q29"/>
  <c r="Q30"/>
  <c r="M21" i="12" l="1"/>
  <c r="M26"/>
  <c r="M47"/>
  <c r="M54" s="1"/>
  <c r="M61" s="1"/>
  <c r="M53"/>
  <c r="M51"/>
  <c r="M69" s="1"/>
  <c r="M78" s="1"/>
  <c r="M111" s="1"/>
  <c r="M115" s="1"/>
  <c r="M119"/>
  <c r="M126"/>
  <c r="Q6" i="8"/>
  <c r="L3" i="10"/>
  <c r="L2"/>
  <c r="J3"/>
  <c r="J2"/>
  <c r="M8" i="5"/>
  <c r="T60" i="9"/>
  <c r="T58"/>
  <c r="T57"/>
  <c r="T56"/>
  <c r="K38"/>
  <c r="T19"/>
  <c r="M19"/>
  <c r="K19"/>
  <c r="M17"/>
  <c r="M37" s="1"/>
  <c r="M52" s="1"/>
  <c r="I17"/>
  <c r="T14"/>
  <c r="T12"/>
  <c r="M12"/>
  <c r="K12"/>
  <c r="T11"/>
  <c r="M8"/>
  <c r="T5"/>
  <c r="M5"/>
  <c r="N5" s="1"/>
  <c r="K5"/>
  <c r="T4"/>
  <c r="T2"/>
  <c r="M2"/>
  <c r="K2"/>
  <c r="I2"/>
  <c r="Y12" i="10"/>
  <c r="Y11"/>
  <c r="Y10"/>
  <c r="Y8"/>
  <c r="Y3"/>
  <c r="P3"/>
  <c r="Y2"/>
  <c r="P2"/>
  <c r="H2"/>
  <c r="I14" i="8"/>
  <c r="I6"/>
  <c r="I2"/>
  <c r="J14" i="4"/>
  <c r="K14" s="1"/>
  <c r="J9"/>
  <c r="K9" s="1"/>
  <c r="J6"/>
  <c r="K6" s="1"/>
  <c r="J5"/>
  <c r="K5" s="1"/>
  <c r="J2"/>
  <c r="K14" i="8"/>
  <c r="K9"/>
  <c r="K6"/>
  <c r="K5"/>
  <c r="K4"/>
  <c r="K2"/>
  <c r="Q19"/>
  <c r="G14"/>
  <c r="Q9"/>
  <c r="G9"/>
  <c r="G6"/>
  <c r="Q5"/>
  <c r="Q4"/>
  <c r="Q2"/>
  <c r="G2"/>
  <c r="L59" i="6"/>
  <c r="L50"/>
  <c r="L45"/>
  <c r="L43"/>
  <c r="L41"/>
  <c r="M41" s="1"/>
  <c r="L37"/>
  <c r="L33"/>
  <c r="L3"/>
  <c r="M3" s="1"/>
  <c r="M6" s="1"/>
  <c r="M8" s="1"/>
  <c r="M11" s="1"/>
  <c r="M16" s="1"/>
  <c r="M20" s="1"/>
  <c r="L2"/>
  <c r="S43"/>
  <c r="J43"/>
  <c r="S37"/>
  <c r="J3"/>
  <c r="S2"/>
  <c r="J2"/>
  <c r="M20" i="5"/>
  <c r="M14"/>
  <c r="M13"/>
  <c r="M4"/>
  <c r="M2"/>
  <c r="G8"/>
  <c r="G11"/>
  <c r="G13"/>
  <c r="G14"/>
  <c r="G16"/>
  <c r="G17"/>
  <c r="G2"/>
  <c r="AI339" i="3"/>
  <c r="AI350"/>
  <c r="AI351"/>
  <c r="AK351" s="1"/>
  <c r="AI361"/>
  <c r="AI373"/>
  <c r="AI338"/>
  <c r="AG1314"/>
  <c r="AI320"/>
  <c r="AK320" s="1"/>
  <c r="AI308"/>
  <c r="AK308" s="1"/>
  <c r="AI299"/>
  <c r="AK299" s="1"/>
  <c r="AI298"/>
  <c r="AK290" s="1"/>
  <c r="AI259"/>
  <c r="AI258"/>
  <c r="AA1314"/>
  <c r="S1314"/>
  <c r="AI110"/>
  <c r="AK110" s="1"/>
  <c r="AI74"/>
  <c r="AI97"/>
  <c r="AK97" s="1"/>
  <c r="AI64"/>
  <c r="AC1314"/>
  <c r="W1314"/>
  <c r="AI37"/>
  <c r="AI38"/>
  <c r="AI39"/>
  <c r="AI40"/>
  <c r="AI48"/>
  <c r="AI49"/>
  <c r="AI52"/>
  <c r="AI53"/>
  <c r="AI56"/>
  <c r="AI57"/>
  <c r="AI63"/>
  <c r="AI32"/>
  <c r="AH1314"/>
  <c r="AF1314"/>
  <c r="AE1314"/>
  <c r="AD1314"/>
  <c r="AB1314"/>
  <c r="T1314"/>
  <c r="N12" i="9" l="1"/>
  <c r="N19" s="1"/>
  <c r="N26" s="1"/>
  <c r="N45" s="1"/>
  <c r="AK361" i="3"/>
  <c r="AK338"/>
  <c r="AL299"/>
  <c r="M33" i="6"/>
  <c r="M32"/>
  <c r="M37" s="1"/>
  <c r="M50"/>
  <c r="M59" s="1"/>
  <c r="M68" s="1"/>
  <c r="M77" s="1"/>
  <c r="M90" s="1"/>
  <c r="M118" s="1"/>
  <c r="M125" s="1"/>
  <c r="M116" i="12"/>
  <c r="AK74" i="3"/>
  <c r="AK64"/>
  <c r="N17" i="9"/>
  <c r="N8"/>
  <c r="M38"/>
  <c r="N21"/>
  <c r="AK258" i="3"/>
  <c r="AL258" s="1"/>
  <c r="AK57"/>
  <c r="AK49"/>
  <c r="AK32"/>
  <c r="AK40"/>
  <c r="AI1127"/>
  <c r="AI1128"/>
  <c r="AI1129"/>
  <c r="AI1130"/>
  <c r="AI1151"/>
  <c r="AI1126"/>
  <c r="M48" i="6" l="1"/>
  <c r="M55" s="1"/>
  <c r="M62" s="1"/>
  <c r="M112" s="1"/>
  <c r="M113" s="1"/>
  <c r="M42"/>
  <c r="M45"/>
  <c r="M47" s="1"/>
  <c r="M54" s="1"/>
  <c r="M61" s="1"/>
  <c r="N38" i="9"/>
  <c r="AK1125" i="3"/>
  <c r="AL64"/>
  <c r="N37" i="9"/>
  <c r="N52" s="1"/>
  <c r="AL32" i="3"/>
  <c r="AI1314"/>
  <c r="AI1374" l="1"/>
  <c r="AI1373"/>
  <c r="AI1372"/>
  <c r="AI1371"/>
  <c r="AI1370"/>
  <c r="AI1369"/>
  <c r="Z1314" l="1"/>
  <c r="Y1314"/>
  <c r="AA1316" s="1"/>
  <c r="X1314"/>
  <c r="V1314"/>
  <c r="U1314"/>
  <c r="R1314"/>
  <c r="N1314"/>
  <c r="AL338" l="1"/>
  <c r="L1314"/>
  <c r="M1314"/>
  <c r="M1316" l="1"/>
</calcChain>
</file>

<file path=xl/sharedStrings.xml><?xml version="1.0" encoding="utf-8"?>
<sst xmlns="http://schemas.openxmlformats.org/spreadsheetml/2006/main" count="12715" uniqueCount="875">
  <si>
    <t>μίσθωση</t>
  </si>
  <si>
    <t>παράταση μίσθωσης</t>
  </si>
  <si>
    <t>23 =χρέωσε ως πάγια πράξη</t>
  </si>
  <si>
    <t>24 =δεν χρέωσε 1,3%</t>
  </si>
  <si>
    <t>αΑ</t>
  </si>
  <si>
    <t>αρ. συμβολ</t>
  </si>
  <si>
    <t>ημερο μηνία</t>
  </si>
  <si>
    <t>πράξη</t>
  </si>
  <si>
    <t>ποσό πράξης</t>
  </si>
  <si>
    <t xml:space="preserve">ποσό πράξης από έλεγχο ΤΑΝ </t>
  </si>
  <si>
    <t>υπόλογος</t>
  </si>
  <si>
    <t>με ΖΗΛ π.χ.-1</t>
  </si>
  <si>
    <t>ηθικώς πρέπει</t>
  </si>
  <si>
    <t>…. ΥΠΟ ΧΡΕΩΤΙΚΑ</t>
  </si>
  <si>
    <t>σύνολα</t>
  </si>
  <si>
    <t>ΣΥΝΟΛΑ</t>
  </si>
  <si>
    <t>2016-6ο εξωβελίζονται τα κ-15-17    ΚΑΙ τα ταμεία ενσωματώνονται στο ΕΦΚΑ</t>
  </si>
  <si>
    <t>η καταγραφή θα συνεχιστεί έως τον μάρτη του 2020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</si>
  <si>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</si>
  <si>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>ΔΟΛΟΣ</t>
  </si>
  <si>
    <t>ποσό πράξης βάσει ΑΓΑΠΕ</t>
  </si>
  <si>
    <t>θα έρθει</t>
  </si>
  <si>
    <t>πασχάλης βασίλειος</t>
  </si>
  <si>
    <t>μάρμαρα Θάσου ΑΕ { λαζή</t>
  </si>
  <si>
    <t>219-16</t>
  </si>
  <si>
    <t xml:space="preserve">παρατηρήσεις </t>
  </si>
  <si>
    <t>219-21</t>
  </si>
  <si>
    <t xml:space="preserve">όπως σε 219 -16b &amp; 219-16-c &amp; 219-21   …   έτσι σε ΌΛΑ τα συμβόλαια = παρατάσεις μισθώσεων μαρμαρολατομείων     …   βάσει αρχικών συμβολαίων &amp; τρέχουσων υπουργικών αποφάσεων { σε εικόνα του άρθρου 30 του νόμου 669 του 1977 ή όποιας τροποποίησης αυτού }  .... ΘΑ ΓΙΝΕΙ η αναπροσαρμογή ενοικιοστασίου </t>
  </si>
  <si>
    <t>πράξη βάσει ΑΓΑΠΕ</t>
  </si>
  <si>
    <t>κ-15 ελέγχου ΤΑΝ</t>
  </si>
  <si>
    <t>κ-15 βάσει  zηλ</t>
  </si>
  <si>
    <t xml:space="preserve">ΦΥΣΙΚΑ  …… ΚΑΙ θα υπάρξει έλεγχος του ΤΑΣ { = 11% επί των δικαιωμάτων της ΑΓΑΠΕ }  για 1998 έως 2016-6ος            … φυσικά , ΔΕΝ θα τα πληρώσω εγώ … οπότε σιγά σιγά σας περιμένω για τροποποίηση των συμβολαίων </t>
  </si>
  <si>
    <t>219-22</t>
  </si>
  <si>
    <t>27.556-19/9/00καπόλα  μίσθωση μαρμαρο-λατομείο 34.310μ2 έως 18-9-03 { max εως 15 έτη</t>
  </si>
  <si>
    <t>219-23</t>
  </si>
  <si>
    <t>η ΑΓΑΠΕ λέει πως τα νταμάρια ΔΕΝ πάνε μεταγραφή . Κατ' αρχάς ΔΕΝ την πιστεύω σε ότι λέει . Στην μικρή αναζήτηση που έκανα η νομοθεσία ορίζει μεταγραφή . Ας το κρατήσουμε υπό αίρεση για λίγο</t>
  </si>
  <si>
    <t>219-24</t>
  </si>
  <si>
    <t>δημ. ν. χαριτόπουλος ΑΕ - ΑΦΜ = 094102723</t>
  </si>
  <si>
    <t>219-25</t>
  </si>
  <si>
    <t>219-26</t>
  </si>
  <si>
    <t>219-27</t>
  </si>
  <si>
    <t>219-29</t>
  </si>
  <si>
    <t>219-30</t>
  </si>
  <si>
    <t>παράταση 27.556καπόλα μίσθωση μαρμαρο-λατομείο { έως 18-9-06</t>
  </si>
  <si>
    <t>παράταση 27.556 &amp; 3.035 μίσθωση μαρμαρο-λατομείο { έως 18-9-09</t>
  </si>
  <si>
    <t>παράταση 27.556καπόλα &amp; 3.035 &amp; 6.292 μίσθωση μαρμαρο-λατομείο { έως 18-9-12</t>
  </si>
  <si>
    <t>ΕΠΕΤΑΙ δημιουργία πανελλαδικά αρχείου μισθώσεων &amp; τροποποιήσεων &amp; λύσεων ΑΝΑ μίσθωση &amp; ΑΝΑ νταμάρι</t>
  </si>
  <si>
    <t>παράταση 27.556καπόλα &amp; 3.035 &amp; 6.292 &amp; 8.695 μίσθωση μαρμαρο-λατομείο { έως 18-9-15</t>
  </si>
  <si>
    <t>παράταση 27.556 &amp; 3.035 &amp; 6.292 &amp; 8.695 &amp; 10.641 μίσθωση μαρμαρο-λατομείο { έως 18-9-18</t>
  </si>
  <si>
    <t>μεταβίβαση μισθωτικών δικαιωμάτων 27.556 &amp; 3.035 &amp; 6.292 &amp; 8.695 &amp; 10.641 μίσθωση μαρμαρο-λατομείο { έως 18-9-18</t>
  </si>
  <si>
    <t>???</t>
  </si>
  <si>
    <t>μαρμαρα Θάσου φιλιππιδη ΑΕ</t>
  </si>
  <si>
    <t>πράξη βάσει ΤΑΝ</t>
  </si>
  <si>
    <t>ημερομηνία απαίτησης</t>
  </si>
  <si>
    <t>έπρεπε να χρεώσει</t>
  </si>
  <si>
    <t>χρέωσε</t>
  </si>
  <si>
    <t>ΜΗ χρεωθέν ΦΠΑ</t>
  </si>
  <si>
    <t>διαφυγών φόρος εισοδήματος</t>
  </si>
  <si>
    <t>219-24 -*1* = στο συμβόλαιο λέει : '' υπολογίσθηκαν τα αναλογικά δικαιώματά μου και τα δικαιώματα του Ταμείου Νομικών''</t>
  </si>
  <si>
    <t>219-25 = *1* = 48/στρ 1η 3ετία ( ;;;???;;; = γιατί ) &amp; αναπροσαρμογή βάσει 669ν1977   ///   στο κ-15 αφαιρούνται τα 91,03 που πληρώθηκαν</t>
  </si>
  <si>
    <t>219-25 -*2* = Εισπράχθηκαν για πάγια τέλη και για τέλη υπέρ Ταμείου Νομικών με πέντε (5) αντίγραφα 330,63 ευρώ εξ ων Φ.Π.Α. 45,60 ευρώ</t>
  </si>
  <si>
    <r>
      <t xml:space="preserve">219-25 = *3* = ΥΠΗΡΧΕ άδεια νταμαριού ΠΟΥ ΔΕΝ ΠΑΡΑΤΑΘΗΚΕ ..   μήπως πρέπει να πάει αναδρομικά το πάγιο μίσθωμα ;;;;   μήπως πρέπει να πάει με 150/στρ ;;; //// Εισπράχθηκαν για πάγια τέλη και για τέλη υπέρ Ταμείου Νομικών με πέντε (5) αντίγραφα 330,63 ευρώ εξ ων Φ.Π.Α. 45,60 ευρώ = </t>
    </r>
    <r>
      <rPr>
        <b/>
        <sz val="8"/>
        <color rgb="FFFF0000"/>
        <rFont val="Arial"/>
        <family val="2"/>
        <charset val="161"/>
      </rPr>
      <t>ΑΜΑ ΜΠΟΡΕΣΕΤΕ ΝΑ ΒΓΑΛΕΤΕ ΑΚΡΗ θα σας βγάλω το καπέλο</t>
    </r>
  </si>
  <si>
    <r>
      <t>219-28 = *1* = καταθεση εγγραφου { = μίσθωση μαρμαρο-νταμαρι ..???.. &amp;</t>
    </r>
    <r>
      <rPr>
        <b/>
        <sz val="8"/>
        <color rgb="FFFF0000"/>
        <rFont val="Arial"/>
        <family val="2"/>
        <charset val="161"/>
      </rPr>
      <t xml:space="preserve"> ..???.. </t>
    </r>
    <r>
      <rPr>
        <sz val="8"/>
        <rFont val="Arial"/>
        <family val="2"/>
        <charset val="161"/>
      </rPr>
      <t xml:space="preserve">&amp; </t>
    </r>
    <r>
      <rPr>
        <sz val="8"/>
        <color rgb="FFFF0000"/>
        <rFont val="Arial"/>
        <family val="2"/>
        <charset val="161"/>
      </rPr>
      <t>..???..</t>
    </r>
    <r>
      <rPr>
        <sz val="8"/>
        <rFont val="Arial"/>
        <family val="2"/>
        <charset val="161"/>
      </rPr>
      <t xml:space="preserve"> &amp; </t>
    </r>
    <r>
      <rPr>
        <sz val="8"/>
        <color rgb="FFFF0000"/>
        <rFont val="Arial"/>
        <family val="2"/>
        <charset val="161"/>
      </rPr>
      <t>..???..</t>
    </r>
    <r>
      <rPr>
        <sz val="8"/>
        <rFont val="Arial"/>
        <family val="2"/>
        <charset val="161"/>
      </rPr>
      <t xml:space="preserve"> &amp; </t>
    </r>
    <r>
      <rPr>
        <sz val="8"/>
        <color rgb="FFFF0000"/>
        <rFont val="Arial"/>
        <family val="2"/>
        <charset val="161"/>
      </rPr>
      <t>..???..</t>
    </r>
    <r>
      <rPr>
        <sz val="8"/>
        <rFont val="Arial"/>
        <family val="2"/>
        <charset val="161"/>
      </rPr>
      <t xml:space="preserve">  = παράταση 3 έτη έως 13-10-2003 { 33.800μ2 </t>
    </r>
  </si>
  <si>
    <t>διαφυγώντα κ-18 ,ΤΑΣ , χαρτ</t>
  </si>
  <si>
    <t>ΔΕΝ</t>
  </si>
  <si>
    <t>μαρμαρα καβαλας ΑΕ</t>
  </si>
  <si>
    <t>11.882αγγελιδη … ΔΙΟΡΘΩΣΗ</t>
  </si>
  <si>
    <t>219-60</t>
  </si>
  <si>
    <t>προς κ. Τερζίδη Κύρο</t>
  </si>
  <si>
    <t>219-16κ</t>
  </si>
  <si>
    <t>μίσθωσις νταμάρι  29στρ 3έτη [1000/έτος/στρ] = 87.000δρχ</t>
  </si>
  <si>
    <t xml:space="preserve">μίσθωσης νταμάρι 8.687 ΠΑΡΑΤΑΣΗ </t>
  </si>
  <si>
    <t>μίσθωσις νταμάρι  24,526''στρ 3έτη [1000/έτος/στρ] = 73.578δρχ</t>
  </si>
  <si>
    <t>μίσθωσης νταμάρι ΠΑΡΑΤΑΣΗ</t>
  </si>
  <si>
    <t xml:space="preserve">μίσθωσις νταμάρι </t>
  </si>
  <si>
    <t>μίσθωσης ΠΑΡΑΤΑΣΗ</t>
  </si>
  <si>
    <t>διαφυγών κ-15</t>
  </si>
  <si>
    <t>προς κ. ΤερζίδηΚύρο</t>
  </si>
  <si>
    <t>ενσωματωμένη ΑΝΩΤΕΡΩ</t>
  </si>
  <si>
    <t>εισφορά μισθοδοτικών δικαιωμάτων</t>
  </si>
  <si>
    <t xml:space="preserve"> μίσθωσης μαρμαρο-λατομείου 9.307τιμοθέου &amp; 12.440 ΠΑΡΑΤΑΣΗ 3έτη </t>
  </si>
  <si>
    <t>μίσθωσης 2 μελλοντικών μαρμαρο-λατομείων , αγοραπωλησία προσδοκίας δικαιωματων =</t>
  </si>
  <si>
    <t>μίσθωσης αγοραπωλησία δικαιωματων ΠΡΟΣΥΜΦΩΝΟ τίμημα = αρραβών =</t>
  </si>
  <si>
    <t>μίσθωσης , αγοραπωλησία προσδοκίας δικαιωματων =</t>
  </si>
  <si>
    <t xml:space="preserve">μίσθωσης , αγοραπωλησία δικαιωματων τίμημα = </t>
  </si>
  <si>
    <t>ΔΕΝ έπρεπε οι 5.000</t>
  </si>
  <si>
    <t>219-21κ</t>
  </si>
  <si>
    <t>μίσθωσις νταμάρι  Παναγία -''σαλιάρα'' 28.370μ2 3έτη [1000/έτος/στρ</t>
  </si>
  <si>
    <t>κρυμένη μέσα στο κείμενο 600.000δρχ για κτίριο προσωπικού</t>
  </si>
  <si>
    <t xml:space="preserve">μίσθωση </t>
  </si>
  <si>
    <t>α.Α.</t>
  </si>
  <si>
    <t>συμβ/φος</t>
  </si>
  <si>
    <t>ποσό</t>
  </si>
  <si>
    <t>νταμάρι</t>
  </si>
  <si>
    <t xml:space="preserve"> Παναγία -''σαλιάρα'' 29στρ </t>
  </si>
  <si>
    <t>τερζίδηςΚύρος</t>
  </si>
  <si>
    <t>έγγραφο/υπηρεσία</t>
  </si>
  <si>
    <t>ποσό/στρ</t>
  </si>
  <si>
    <t>σε€</t>
  </si>
  <si>
    <t>πλειστηριασμός</t>
  </si>
  <si>
    <t>ΔΕΝ έχω</t>
  </si>
  <si>
    <t>δ/νσηΛατομΒ.Ελλ.</t>
  </si>
  <si>
    <t>έγκρισηΔήμου</t>
  </si>
  <si>
    <t>έγκρισηΥπηρσίας</t>
  </si>
  <si>
    <t>α.Α.-αναφοράς</t>
  </si>
  <si>
    <t>..0..</t>
  </si>
  <si>
    <t>zηλ</t>
  </si>
  <si>
    <t>ημερομηνία</t>
  </si>
  <si>
    <t>αναφορά</t>
  </si>
  <si>
    <t>προ 3μήνου της λήξης</t>
  </si>
  <si>
    <t xml:space="preserve">έπρεπε έως </t>
  </si>
  <si>
    <t>εκπρόθεσμη</t>
  </si>
  <si>
    <t>2έτη &amp; 1μήνα</t>
  </si>
  <si>
    <t>3μήνες</t>
  </si>
  <si>
    <t>ωςΠροςΜίσθωσης</t>
  </si>
  <si>
    <t>1μήνα</t>
  </si>
  <si>
    <t>1έτος &amp; 10μήνες</t>
  </si>
  <si>
    <t>ποσόΑναφοράς</t>
  </si>
  <si>
    <t>υπολογισμός στο ποσό πράξης</t>
  </si>
  <si>
    <t>…ΌΧΙ…</t>
  </si>
  <si>
    <t>τράπεζας</t>
  </si>
  <si>
    <t>ΔΕΝ αναφέρει</t>
  </si>
  <si>
    <t>Λιμένας -''τσιπόσι-σκοτεινόλακος 24,526''στρ</t>
  </si>
  <si>
    <t>11.176αποφΝομαρχίας</t>
  </si>
  <si>
    <t>ΑΓΑΠΕ</t>
  </si>
  <si>
    <t>211-25/01/1988 δ/νσηΛατομΒ.Ελλ.</t>
  </si>
  <si>
    <t>παρατηρήσεις</t>
  </si>
  <si>
    <t>75/1988συνεδρΚοινΣυμβ</t>
  </si>
  <si>
    <t>μίσθωση -1η</t>
  </si>
  <si>
    <t>ημερομηνια</t>
  </si>
  <si>
    <t>υπόλογοι/ποσοστό</t>
  </si>
  <si>
    <t>συμβόλαιο .../φος</t>
  </si>
  <si>
    <t>έγκρισηΥπηρεσιών</t>
  </si>
  <si>
    <t>Δράμα -Οχυρό -''φουντουκόρεμα'' = 78.660,35μ2</t>
  </si>
  <si>
    <t>βακιανηςΑιμιλιος</t>
  </si>
  <si>
    <t>12.440-ΑΓΑΠΕ</t>
  </si>
  <si>
    <t>9.307-τιμοθέου</t>
  </si>
  <si>
    <t>εταιρία = μίσθωσης -2ης</t>
  </si>
  <si>
    <t>μισθωτικά δικαιώματα</t>
  </si>
  <si>
    <t>συμβόλαιο συμβολαιογράφος</t>
  </si>
  <si>
    <t>υπόλογοι/ποσοστό ΒΑΣΕΙzηλ</t>
  </si>
  <si>
    <t>μισθωτικά δικαιώματα ΒΑΣΕΙ zηλ</t>
  </si>
  <si>
    <t>7.317-μωυσιαδου</t>
  </si>
  <si>
    <t>τιτλος</t>
  </si>
  <si>
    <t>;;;????</t>
  </si>
  <si>
    <t>μετοχολόγιο</t>
  </si>
  <si>
    <t>μαρμΘασΦιλιππιδηςΑΕ[=2.920 =98% ]</t>
  </si>
  <si>
    <t>κεφάλαιο</t>
  </si>
  <si>
    <t>κεφάλαιο ΒΑΣΕΙ zηλ</t>
  </si>
  <si>
    <t>κεφάλαιο που ΕΠΡΕΠΕ</t>
  </si>
  <si>
    <t>μετοχολόγιο που ΕΠΡΕΠΕ</t>
  </si>
  <si>
    <t>;;;???</t>
  </si>
  <si>
    <t>μετοχολόγιο ΒΑΣΕΙ zηλ</t>
  </si>
  <si>
    <t>βακιάνηςΑιμ[= 40€ + 8.303,72 = 8.343,72 = 73,81%]</t>
  </si>
  <si>
    <t>μαρμΘασΦιλιππιδηςΑΕ[=2.920 =25,83% ]</t>
  </si>
  <si>
    <t xml:space="preserve">φΧαράλαμπος[=40€ =0,35% ] </t>
  </si>
  <si>
    <t xml:space="preserve">φΧαράλαμπος[=40€ =0,06% ] </t>
  </si>
  <si>
    <t>πράξεις</t>
  </si>
  <si>
    <t>ΕΕ τροποποίηση [όνομα -μετοχολόγιο -καταστατικό]</t>
  </si>
  <si>
    <t>μίσθωση -2η = εισφορά</t>
  </si>
  <si>
    <t>133/1994 &amp; 397/1995</t>
  </si>
  <si>
    <t>54-07/03/1995 &amp; 133/1994 &amp; 397/1995</t>
  </si>
  <si>
    <t>4013-7/12/1989επιθΜεταλΒ.Ελλάδος</t>
  </si>
  <si>
    <t>54-07/03/1995 {75/88</t>
  </si>
  <si>
    <t>τιμοθεουΑγαθη</t>
  </si>
  <si>
    <t>5μήνες</t>
  </si>
  <si>
    <t>2μήνες</t>
  </si>
  <si>
    <t>μωυσιαδου</t>
  </si>
  <si>
    <t>'+10% αναλογικού μισθώματος =10% των 10% αναλογικών πρώην έτους''</t>
  </si>
  <si>
    <t xml:space="preserve"> Λιμενάρια -''λαγκάδα'' </t>
  </si>
  <si>
    <t xml:space="preserve">φΧαράλαμπος[=40€ = 1% ] </t>
  </si>
  <si>
    <t>βακιάνηςΑιμ[= 40€ + προσδοκίες = 1%]</t>
  </si>
  <si>
    <t>βακιάνης &amp; σια ΕΕ [ΕΠΡΕΠΕ</t>
  </si>
  <si>
    <t>ομόρρυθμος ο βακανηςΑιμίλιος</t>
  </si>
  <si>
    <t>βακιάνηςΑιμ[= 40€ +64.206,72 =64.246,72 = %]</t>
  </si>
  <si>
    <t>μαρμΘασΦιλιππιδηςΑΕ[= 2.920  =4,34% ]</t>
  </si>
  <si>
    <t>μαρμΘασΦιλιππιδηςΑΕ[= 2.920 = 25,83% ]</t>
  </si>
  <si>
    <t xml:space="preserve">φΧαράλαμπος[=40€ =0,36% ] </t>
  </si>
  <si>
    <t>ΕΕ τροποποίηση = αύξηση κεφαλαίου [= 64.206,05</t>
  </si>
  <si>
    <t>μαρμΘασΦιλιππιδηςΑΕ[= 102.920  = 61% ]</t>
  </si>
  <si>
    <t>βακιάνηςΑιμ[= 64.246,72 = 38,42%]</t>
  </si>
  <si>
    <t xml:space="preserve">φΧαράλαμπος[=40€ = 0,02% ] </t>
  </si>
  <si>
    <t>ΕΕ τροποποίηση [μετοχολόγιο -καταστατικό]</t>
  </si>
  <si>
    <t>ΕΕ τροποποίηση = αύξηση κεφαλαίου [= 164.206,72</t>
  </si>
  <si>
    <t>219-16 = μαρμαρα Θασου ''φΑΕ'' &amp; σια ΕΕ</t>
  </si>
  <si>
    <t xml:space="preserve"> Παναγία -''σαλιάρα -βαθύ'' 28,646μ2στρ </t>
  </si>
  <si>
    <t>αγγελιδηςΠαύλος</t>
  </si>
  <si>
    <t>μωυσιαδουΕλενη</t>
  </si>
  <si>
    <t xml:space="preserve"> Παναγία -''σαλιάρα -βαθύ'' 28,646μ2στρ [διόρθωση ''θάλασσα</t>
  </si>
  <si>
    <t xml:space="preserve"> Παναγία -''σαλιάρα -βαθύ'' 28,646μ2στρ [3έτη</t>
  </si>
  <si>
    <t xml:space="preserve"> Παναγία -''σαλιάρα -βαθύ'' 28,646μ2στρ [10έτη</t>
  </si>
  <si>
    <t>χωρινουΧρυση</t>
  </si>
  <si>
    <t xml:space="preserve"> Παναγία -''σαλιάρα -βαθύ'' 28,646μ2στρ [5έτη</t>
  </si>
  <si>
    <t>μουτσοκαπα</t>
  </si>
  <si>
    <t>πανταζηΑικατερινη</t>
  </si>
  <si>
    <t xml:space="preserve"> Παναγία -''σαλιάρα -βαθύ'' 28,646μ2στρ [;;;???έτη</t>
  </si>
  <si>
    <t>zηλΕως</t>
  </si>
  <si>
    <t>ημερ</t>
  </si>
  <si>
    <t>12428κ</t>
  </si>
  <si>
    <t>11882αγγ</t>
  </si>
  <si>
    <t>5125μω</t>
  </si>
  <si>
    <t>…ΝΑΙ….</t>
  </si>
  <si>
    <t>'λατομείοΟχυρούΔράμας -ηράκλειονΑΕ &amp; σια ΕΕ'']</t>
  </si>
  <si>
    <t>14.949-ΑΓΑΠΕ</t>
  </si>
  <si>
    <t>14.426-ΑΓΑΠΕ</t>
  </si>
  <si>
    <t xml:space="preserve">φΧ [=40€ = 0,02% ] </t>
  </si>
  <si>
    <t>14.949 ΑΓΑΠΕ</t>
  </si>
  <si>
    <t>14.950-ΑΓΑΠΕ</t>
  </si>
  <si>
    <t xml:space="preserve"> ''μαρμαραΚεντρΜακεδονιαςΑΕ &amp; σια ΕΕ''</t>
  </si>
  <si>
    <t>μαρμΘασΦιλιππιδηςΑΕ[= 167.246,72  = 99,98% ]</t>
  </si>
  <si>
    <t xml:space="preserve"> φ.. ''λατομείοΟχυρούΔράμας -ηράκλειονΑΕ'' [= 167.206,72  = 99,98% ]</t>
  </si>
  <si>
    <t xml:space="preserve">φΧ  [= 80€ = 0,04% ] </t>
  </si>
  <si>
    <t>'μάρμαρα Κ. Μακεδονίας ΑΕ'' [= 167.206,72  = 99,98% ]</t>
  </si>
  <si>
    <t xml:space="preserve"> ''GTM''  [= 80€ = 0,04% ] </t>
  </si>
  <si>
    <t>136-05/08/2020</t>
  </si>
  <si>
    <t>2010  έως 2019</t>
  </si>
  <si>
    <t>700764-7 &amp; 700763-9</t>
  </si>
  <si>
    <t>*1*</t>
  </si>
  <si>
    <t>8%πωλ + 10%μπαζα</t>
  </si>
  <si>
    <t>μίσθωσις νταμάρι  Παναγία -''σαλιάρα'' 29στρ 3έτη [1000/έτος/στρ</t>
  </si>
  <si>
    <t>μίσθωσης νταμάρι 8.687 ΠΑΡΑΤΑΣΗ 3έτη</t>
  </si>
  <si>
    <t>…0…</t>
  </si>
  <si>
    <t>μίσθωσις νταμάρι  Λιμένας -''τσιπόσι-σκοτεινόλακος 24,526''στρ 3έτη [1000/έτος/στρ</t>
  </si>
  <si>
    <t>μίσθωσης νταμάρι 8.687 &amp; 10.128 ΠΑΡΑΤΑΣΗ 3έτη</t>
  </si>
  <si>
    <t>9.307τιμ</t>
  </si>
  <si>
    <t>α.Α. αναφοράς</t>
  </si>
  <si>
    <t xml:space="preserve"> Παναγία -''σαλιάρα'' 29στρ 10έτη</t>
  </si>
  <si>
    <t xml:space="preserve"> Παναγία -''σαλιάρα'' 29στρ = 40έτη</t>
  </si>
  <si>
    <t>Λιμένας -''τσιπόσι-σκοτεινόλακος 24,526''στρ -15έτη</t>
  </si>
  <si>
    <t xml:space="preserve"> Παναγία -''σαλιάρα'' 29στρ -;;;???έτη</t>
  </si>
  <si>
    <t>Λιμένας -''τσιπόσι-σκοτεινόλακος 24,526''στρ -40έτη</t>
  </si>
  <si>
    <t>8687κ</t>
  </si>
  <si>
    <t xml:space="preserve"> Λιμενάρια -''λαγκάδα''  -10έτη</t>
  </si>
  <si>
    <t xml:space="preserve"> Λιμενάρια -''λαγκάδα''  -40έτη</t>
  </si>
  <si>
    <t xml:space="preserve"> Λιμενάρια -''λαγκάδα'' -10έτη</t>
  </si>
  <si>
    <t xml:space="preserve"> Λιμενάρια -''λαγκάδα'' -40έτη</t>
  </si>
  <si>
    <t xml:space="preserve"> Παναγία -''σαλιάρα'' 29στρ -10έτη</t>
  </si>
  <si>
    <t xml:space="preserve">726-22/02/2002απόφΠερφ </t>
  </si>
  <si>
    <t>Δράμα -Οχυρό -''φουντουκόρεμα'' = 78.660,35μ2 -10έτη</t>
  </si>
  <si>
    <t>Δράμα -Οχυρό -''φουντουκόρεμα'' = 78.660,35μ2 -40έτη</t>
  </si>
  <si>
    <t>Δράμα -Οχυρό -''φουντουκόρεμα'' = 78.660,35μ2 10έτη</t>
  </si>
  <si>
    <t>ενσωματΑΝΩΤΕΡΩ</t>
  </si>
  <si>
    <t>μίσθωσης μαρμαρο-λατομείου 9.307/2014τιμοθεου ΕΙΣΦΟΡΑ ΜΙΣΘΩΤΙΚΩΝ ΔΙΚΑΙΩΜΑΤΩΝ [παγίου]</t>
  </si>
  <si>
    <t>219-16 = μαρμαραΘάσου ''φΑΕ'' &amp; σια ΕΕ [&amp; βακανηςΑιμιλιος</t>
  </si>
  <si>
    <t>ΙΔΕ 219γ2 θέση 219-16 = μαρμαραΘάσου ''φΑΕ'' &amp; σια ΕΕ</t>
  </si>
  <si>
    <t xml:space="preserve">ΙΔΕ 219γ2 θέση 219-16 </t>
  </si>
  <si>
    <t xml:space="preserve"> Παναγία -''σαλιάρα -βαθύ'' 28,646μ2στρ [μεταβίβαση δικαιωμάτων</t>
  </si>
  <si>
    <t xml:space="preserve"> Παναγία -''σαλιάρα -βαθύ'' 28,646μ2στρ [;;???έτη …2έτη</t>
  </si>
  <si>
    <t>Δράμα -Οχυρό -''φουντουκόρεμα'' = 78.660,35μ2 -1έτος</t>
  </si>
  <si>
    <t>Δράμα -Οχυρό -''φουντουκόρεμα'' = 78.660,35μ2 -3έτη</t>
  </si>
  <si>
    <t xml:space="preserve"> Παναγία -''σαλιάρα -βαθύ'' 28,646μ2στρ [μεταβίβαση δικαιωμάτων -8έτη</t>
  </si>
  <si>
    <t xml:space="preserve"> Παναγία -''σαλιάρα -βαθύ'' 28,646μ2στρ  -3έτη</t>
  </si>
  <si>
    <t>Λιμένας -''τσιπόσι-σκοτεινόλακος 24,526''στρ-3έτη</t>
  </si>
  <si>
    <t>Λιμένας -''τσιπόσι-σκοτεινόλακος 24,526''στρ -3έτη</t>
  </si>
  <si>
    <t>Λιμένας -''τσιπόσι-σκοτεινόλακος 24,526''στρ -10έτη</t>
  </si>
  <si>
    <t>*1* = πάγιο μίσθωμα για ΕΙΣΦΟΡΑ ή ΠΩΛΗΣΗ ή ΛΥΣΗ</t>
  </si>
  <si>
    <t xml:space="preserve"> Παναγία -''σαλιάρα'' 29στρ -3έτη</t>
  </si>
  <si>
    <t xml:space="preserve"> Παναγία -''σαλιάρα'' 29στρ -40έτη</t>
  </si>
  <si>
    <t xml:space="preserve"> Λιμενάρια -''λαγκάδα'' 59,13075μ2 -10έτη</t>
  </si>
  <si>
    <t xml:space="preserve"> Λιμενάρια -''λαγκάδα'' 59,13075μ2 -3έτη</t>
  </si>
  <si>
    <t xml:space="preserve"> Λιμενάρια -''λαγκάδα'' 59,13075μ2 3έτη</t>
  </si>
  <si>
    <t>Δράμα -Οχυρό -''φουντουκόρεμα'' = 78.660,35μ2 -ΕΙΣΦΟΡΑ</t>
  </si>
  <si>
    <t>Δράμα -Οχυρό -''φουντουκόρεμα'' = 78.660,35μ2 -1έτος πώλησηΒακανης</t>
  </si>
  <si>
    <t>Δράμα -Οχυρό -''φουντουκόρεμα'' = 78.660,35μ2 -1έτος πώληση φΑΕ</t>
  </si>
  <si>
    <t>Δράμα -Οχυρό -''φουντουκόρεμα'' = 78.660,35μ2 ΠΩΛΗΣΗβακανης -1έτη</t>
  </si>
  <si>
    <t>Δράμα -Οχυρό -''φουντουκόρεμα'' = 78.660,35μ2 ΠΩΛΗΣΗ φΑΕ -1έτη</t>
  </si>
  <si>
    <t>Δράμα -Οχυρό -''φουντουκόρεμα'' = 78.660,35μ2 - πώληση μαρμΚ.ΜακΑΕ</t>
  </si>
  <si>
    <t>Δράμα -Οχυρό -''φουντουκόρεμα'' = 78.660,35μ2 ΠΩΛΗΣΗ μισθΔικ</t>
  </si>
  <si>
    <t>Λιμένας -''τσιπόσι-σκοτεινόλακος 24,526''στρ ΕΙΣΦΟΡΑ -5έτη</t>
  </si>
  <si>
    <t>Λιμένας -''τσιπόσι-σκοτεινόλακος 24,526''στρ -15έτη [= 10έτη</t>
  </si>
  <si>
    <t>Λιμένας -''τσιπόσι-σκοτεινόλακος 24,526''στρ -5έτη</t>
  </si>
  <si>
    <t xml:space="preserve"> Παναγία -''σαλιάρα -βαθύ'' 28,646μ2στρ [;;???έτη …10έτη</t>
  </si>
  <si>
    <t xml:space="preserve"> Παναγία -''σαλιάρα -βαθύ'' 28,646μ2στρ [;;;???έτη -10έτη</t>
  </si>
  <si>
    <t xml:space="preserve"> Παναγία -''σαλιάρα -βαθύ'' 28,646μ2στρ [;;;???έτη … 10έτη</t>
  </si>
  <si>
    <t xml:space="preserve"> Παναγία -''σαλιάρα -βαθύ'' 28,646μ2στρ [;;???έτη …</t>
  </si>
  <si>
    <t>τροποποίηση α8 &amp; κωδικοπ καταστ φ…&amp; σια ΕΕ</t>
  </si>
  <si>
    <t>αίτηση για απ' ευθείας ανάθεση ΠΑΡΑΒΟΛΟ</t>
  </si>
  <si>
    <t>ΕΕ τροποπ [''λατομικηΘασουΜαρμαραΘασου ''φιλιππιδηΑΕ'' &amp; σιαΕΕ'' [= ''λατομικηΘασουΕΕ''] [όνομα  &amp; διαχειριστής] ,[κωδικοπ καταστατικού</t>
  </si>
  <si>
    <t>ΕΕ τροποπ [όνομα = από ''μαρμαραΘασου φιλιπΑΕ &amp; σια ΕΕ'' … σε ''λατομείοΟχυρούΔράμας -ηράκλειονΑΕ &amp; σια ΕΕ''] , [διαχειστής -κλπ] ,[κωδικοπ. καταστ.</t>
  </si>
  <si>
    <t>ΠΩΛΗΣΗ από ''φΑΕ'' προς ''Ηράκλειον ΑΕ'' [ομόρρυθμος] , [167.206,72 + 99,98% της καθαρής θέσης της φΕΕ]</t>
  </si>
  <si>
    <t>ΠΩΛΗΣΗ από ''φΑΕ'' προς ''φΧ'' [εταιρόρρυθμος] , [40 + 0,02% της καθαρής θέσης της φΕΕ]</t>
  </si>
  <si>
    <t>αποχώρηση  φΑΕ [= ομόρρυθμος εταίρος</t>
  </si>
  <si>
    <t>αποχώρηση  φΑΕ [= ετερόρρυθμος εταίρος</t>
  </si>
  <si>
    <t>είσοδος εταίρου [=  ''Ηράκλειον ΑΕ'' = ομόρρυθμος</t>
  </si>
  <si>
    <t>είσοδος εταίρου [=  φΧ = ετερόρρυθμος</t>
  </si>
  <si>
    <t>ΕΕ τροποπ [όνομα = από ''λατομείοΟχυρουΔραμας -ηρακλειονΑΕ &amp; σια ΕΕ'' σε ''μαρμαραΚεντρΜακεδονιαςΑΕ &amp; σια ΕΕ''] , [1'-2'-6'-8'] , [κωδικ καταστ</t>
  </si>
  <si>
    <t>ΠΩΛΗΣΗ ''φ...ξεοδΤουρΕπιχΦιλ..ΑΕ = ηρακλειονΑΕ''[ομόρ] ,[ προς ''μάρμαρα Κ. Μακεδονίας ΑΕ''] [167.206,72€ + 99,98% της καθαρής θέσης της φΕΕ]</t>
  </si>
  <si>
    <t>ΠΩΛΗΣΗ από ''φΧ'' [ετερ] προς ''GTM'' [0,04% = 80€</t>
  </si>
  <si>
    <t>είσοδος ''μάρμαρα Κ. Μακεδονίας ΑΕ''</t>
  </si>
  <si>
    <t>είσοδος ''GTM''</t>
  </si>
  <si>
    <t>αποχώρηση  ''Ηράκλειον ΑΕ'''</t>
  </si>
  <si>
    <t>αποχώρηση  ''φΧ''</t>
  </si>
  <si>
    <t>ΕΕ = αλαγή έδρας</t>
  </si>
  <si>
    <t>μαρμΘασΦιλΑΕ τροποποίηση [μετχολόγιο -καταστατικό]</t>
  </si>
  <si>
    <t>ΕΕ = τροπ α8 &amp; εισοδοςΕταίρου &amp; κωδικοπΚαταστ</t>
  </si>
  <si>
    <t>ΕΕ = αποχώρησηΕταίρου</t>
  </si>
  <si>
    <t>ΕΕ = μεταβίβασηΜετοχών</t>
  </si>
  <si>
    <t>ΕΕ τροποπ [όνομα - 4' - διαχειριστής] &amp; κωδικοπ καταστ</t>
  </si>
  <si>
    <t>ΕΕ τροποπ [αποχΕταιρων]</t>
  </si>
  <si>
    <t>ΕΕ τροποπ [μεταβίβαση μετοχων]</t>
  </si>
  <si>
    <t>ΕΕ τροποπ [είσοδος εταιρων]</t>
  </si>
  <si>
    <t>ΕΕ τροποπ [αποχώρηση εταιρου</t>
  </si>
  <si>
    <t>ΕΕ τροποπ [είσοδος εταιρου</t>
  </si>
  <si>
    <t>ΕΕ τροποπ [όνομα - 1' -8' ] &amp; [κωδικοπ καταστ [= ..0..</t>
  </si>
  <si>
    <t>ΕΕ τροποπ [μεταβΜετοχων]</t>
  </si>
  <si>
    <t xml:space="preserve">ΕΕ τροποπ [αποχΕταιρου] </t>
  </si>
  <si>
    <t>ΕΕ τροποπ [όνομα - 1' -2 -6 -8' ] &amp; [κωδικοπ καταστ [= ..0..</t>
  </si>
  <si>
    <t xml:space="preserve">ΕΕ τροποπ [μεταβΜετοχων] </t>
  </si>
  <si>
    <t xml:space="preserve">ΕΕ τροποπ [εισΑποχ εταιρων] </t>
  </si>
  <si>
    <t xml:space="preserve">αγοραπωλησίας δικαιωματων προσυμφώνου 14.943 ΛΥΣΗ </t>
  </si>
  <si>
    <t>219-16 = μαρμαρα Θάσου φιλιππιδη ΑΕ</t>
  </si>
  <si>
    <t>219-16 = "Μάρμαρα Θάσου ''φιλιππίδη Α.Ε.'' και ΣΙΑ ΕΕ"</t>
  </si>
  <si>
    <t>219-16 = ξεοδΤουρΕπιχΦιλ..ΑΕ = ηρακλειονΑΕ</t>
  </si>
  <si>
    <t>219-16 = ''λατομείοΟχυρούΔράμας -ηράκλειονΑΕ &amp; σια ΕΕ''</t>
  </si>
  <si>
    <t xml:space="preserve"> Λιμενάρια -''λαγκάδα'' 59,13075μ2</t>
  </si>
  <si>
    <t>219-60 = ''μαρμαραΚαβαλαςΑΕ'' = αποροφάται από την ''λατομικη Θασου ΗΡΑΚΛΕΙΟΝ-ΑΕ &amp; σια ΕΕ'' [=λατομική Θάσου ;;;;;;;;;;!!!!!!!!!!</t>
  </si>
  <si>
    <t>219-60 = ''μαρμαραΚαβαλαςΑΕ'' = ΕΝΣΩΜΑΤΩΝΕΙ την ''λατομικη Θασου ΗΡΑΚΛΕΙΟΝ-ΑΕ &amp; σια ΕΕ'' [=λατομική Θάσου ;;;;;;;;;;;;!!!!!!!!!!!</t>
  </si>
  <si>
    <t>ΌΤΙ ανωτέρω συν (+) 4 πολλαπλές {ΑΝ ενσωμάτωση}</t>
  </si>
  <si>
    <t>ΌΤΙ ανωτέρω συν(+) 9 πολλαπλές {ΑΝ απορρόφηση}</t>
  </si>
  <si>
    <t>ΧΑΟΣ</t>
  </si>
  <si>
    <t>ή ……………………..219-16 = ''λατομικηΘασουΜαρμαραΘασου ''φιλιππιδηΑΕ'' &amp; σιαΕΕ'' [= ''λατομικηΘασουΕΕ'' ……………………….ή ………………...219-60 = μαρμαραΚαβαλας ΑΕ</t>
  </si>
  <si>
    <t>219-60κ</t>
  </si>
  <si>
    <t>ΙΔΕ 2191β θέση 219-16 = ''λατομικηΘασουΕΕ'' ….ή ….. 219γ1δ θέση 219-60 = μαρμαραΚαβαλας ΑΕ</t>
  </si>
  <si>
    <t>ΙΔΕ 219γ1β θέση 219-16 = ''λατομικηΘασουΜαρμαραΘασου ''φιλιππιδηΑΕ'' &amp; σιαΕΕ'' [= ''λατομικηΘασουΕΕ'' ……ή…… 219γ1δ θέση 219-60 = μαρμαραΚαβαλας ΑΕ</t>
  </si>
  <si>
    <t>ΙΔΕ 219γ1β θέση 219-16 =   ''λατομείοΟχυρούΔράμας -ηράκλειονΑΕ &amp; σια ΕΕ''</t>
  </si>
  <si>
    <t>219-168 = μαρμαραΚεντρΜακεδονιαςΑΕ &amp; σια ΕΕ''</t>
  </si>
  <si>
    <t>ΙΔΕ 219γ1β = 219-168 = μαρμαραΚεντρΜακεδονιαςΑΕ &amp; σια ΕΕ''</t>
  </si>
  <si>
    <t xml:space="preserve">219-16 = ''λατομείοΟχυρουΔραμας -ηρακλειονΑΕ &amp; σια ΕΕ'' </t>
  </si>
  <si>
    <t>ΙΔΕ 219γ1β θέση 219-16 = μαρμαραΘάσου ''φΑΕ'' &amp; σια ΕΕ</t>
  </si>
  <si>
    <t>ΙΔΕ 219γ1ε θέση 219-16 = ξεοδΤουρΕπιχΦιλ..ΑΕ = ηρακλειονΑΕ</t>
  </si>
  <si>
    <t>ΙΔΕ 219-γ1ε θέση 219-16 = φιλιππιδης   … μαρμαραΑΕ ή ''χΦ-μον.ΙΚΕ''</t>
  </si>
  <si>
    <t>219-16 = φιλιππιδης   … μαρμαραΑΕ  ή ''χΦ-μον.ΙΚΕ''</t>
  </si>
  <si>
    <t xml:space="preserve"> ''χΦ-μον.ΙΚΕ''</t>
  </si>
  <si>
    <t>219-168</t>
  </si>
  <si>
    <t xml:space="preserve">ΙΔΕ  219-16 = ''λατομείοΟχυρουΔραμας -ηρακλειονΑΕ &amp; σια ΕΕ'' </t>
  </si>
  <si>
    <t>ΙΔΕ 219γ1β θέση 219-168 = μαρμαραΚεντρΜακεδονιαςΑΕ &amp; σια ΕΕ''</t>
  </si>
  <si>
    <t>μίσθωσης μαρμαροΛατομείου 11.882/1974αγγελίδη , Παναγία -''σαλιάρα -βαθύ''  ,28.646μ2 , κατά 1/2 έκταση ….ΛΥΣΗ</t>
  </si>
  <si>
    <t xml:space="preserve">αποκατάσταση καταπατηθείσης έκτασης με την μίσθωση 11.882/1974αγγελίδη </t>
  </si>
  <si>
    <t>δήμος ΕΞΟΔΑ {πλειστηριασμού &amp; κλπ}</t>
  </si>
  <si>
    <t>μίσθωσης έργα υποδομής</t>
  </si>
  <si>
    <t>εγγυητική για πλειστηριασμό</t>
  </si>
  <si>
    <t>μίσθωση μαρμαροΛατομείου 14,324στρ … 3 έτη [έως 18/03/1985</t>
  </si>
  <si>
    <t>219-16κ από 219-60κ</t>
  </si>
  <si>
    <t>ΙΔΕ     ή ………..219-16 = ''λατομικηΘασουΜαρμαραΘασου ''φιλιππιδηΑΕ'' &amp; σιαΕΕ'' [= ''λατομικηΘασουΕΕ'' …………………….ή ………………...219-60 = μαρμαραΚαβαλας ΑΕ</t>
  </si>
  <si>
    <t>ή …………………..219-16 = ''λατομικηΘασουΜαρμαραΘασου ''φιλιππιδηΑΕ'' &amp; σιαΕΕ'' [= ''λατομικηΘασουΕΕ'' ……………………….ή ………………...219-60 = μαρμαραΚαβαλας ΑΕ</t>
  </si>
  <si>
    <t>ΙΔΕ  219-16 = ''λατομικηΘασουΜαρμαραΘασου ''φιλιππιδηΑΕ'' &amp; σιαΕΕ'' [= ''λατομικηΘασουΕΕ''</t>
  </si>
  <si>
    <t>8755κ</t>
  </si>
  <si>
    <t>5637κ</t>
  </si>
  <si>
    <t xml:space="preserve"> Παναγία -''σαλιάρα'' 29στρ 3έτη</t>
  </si>
  <si>
    <t>Παναγία -''σαλιάρα'' 28.370μ2 3έτη</t>
  </si>
  <si>
    <t>Παναγία -''σαλιάρα'' 28.370μ2 15έτη</t>
  </si>
  <si>
    <t>Παναγία -''σαλιάρα'' 28.370μ2 10έτη</t>
  </si>
  <si>
    <t>Παναγία -''σαλιάρα'' 28.370μ2 30έτη</t>
  </si>
  <si>
    <t>εγγυητής</t>
  </si>
  <si>
    <t>πασχαληΕλενη</t>
  </si>
  <si>
    <t>υπευθηνη δήλωση</t>
  </si>
  <si>
    <t>ακίνητα</t>
  </si>
  <si>
    <t>2716-4/7/1988 δ/νσηΜεταλΒ.Ελλαδος</t>
  </si>
  <si>
    <t>116-1988συνεδρΚοινΣυμβ</t>
  </si>
  <si>
    <t>15έτη[ανα 3ετία</t>
  </si>
  <si>
    <t xml:space="preserve"> Λιμενάρια -''λαγκάδα'' 59,13075μ2 -15έτη</t>
  </si>
  <si>
    <t>αναφέρει ΑΛΛΑ</t>
  </si>
  <si>
    <t>2.000[1974] -20.000[1990] -35.000[1993</t>
  </si>
  <si>
    <t>50€/στρ[2020]</t>
  </si>
  <si>
    <t>334/2014δημΣυμβ</t>
  </si>
  <si>
    <t>2869-3/2/2015περιφ</t>
  </si>
  <si>
    <t>2853/24-24/10/2014δ/νσηΜεταλΒ.Ελλάδος</t>
  </si>
  <si>
    <t>*8755* = οικόπεδο ,Ποταμιά -''μπίνουΚαλυβα'' ,1.260μ2 /// οικόπεδο 1.000μ2 + ξενοδοχείο ''δελφίνι'' Σκάλα Ποταμιά</t>
  </si>
  <si>
    <t>*8755*</t>
  </si>
  <si>
    <t>Λιμένας -''3 γκρεμοί'' = 41.039μ2 -3έτη</t>
  </si>
  <si>
    <t>Λιμένας -''3 γκρεμοί'' = 41.039μ2 -14έτη</t>
  </si>
  <si>
    <t>*12.227* = εγγυητική ήτις είναι το 40% = 321.360 /// οία για 5έτη /// θα προσαυξάνεται 40%</t>
  </si>
  <si>
    <t>Λιμένας -''3 γκρεμοί'' = 41.039μ2 -14έτη ΑΛΛΑ 5ετίας</t>
  </si>
  <si>
    <t>Λιμένας -''3 γκρεμοί'' = 41.039μ2 -;;;???έτη</t>
  </si>
  <si>
    <t>μίσθωση μαρμαροΛατομείου , 41.039μ2 Λιμένας -''3 γκρεμοί'' 3έτη</t>
  </si>
  <si>
    <t xml:space="preserve"> Παναγία -''σαλιάρα -βαθύ'' 28.646μ2 -3έτη</t>
  </si>
  <si>
    <t>Παναγία -''σαλιάρα'' 28.370μ2 -3έτη</t>
  </si>
  <si>
    <t>Λιμένας -''τσιπόσι-σκοτεινόλακος 24,526στρ -3έτη</t>
  </si>
  <si>
    <t xml:space="preserve"> *11.882* = Παναγία -''σαλιάρα -βαθύ'' 28,646μ2στρ [διόρθωση ''θάλασσα = 11.882α ΛΥΣΗ το 1/2 ΚΑΙ νέα μίσθωση το1/2</t>
  </si>
  <si>
    <t>*11.882α* =  Παναγία -''σαλιάρα -βαθύ'' 28,646μ2στρ [διόρθωση ''θάλασσα</t>
  </si>
  <si>
    <t>*11.111α* =  Παναγία -''σαλιάρα -βαθύ'' 79.830μ2στρ [διόρθωση ''άλλη πλαγιά''</t>
  </si>
  <si>
    <t xml:space="preserve"> *11.111α* = Παναγία -''σαλιάρα -βαθύ'' 79.830μ2στρ [διόρθωση ''άλλη πλαγιά'' = 11.111α ΛΥΣΗ το 1/2 ΚΑΙ νέα μίσθωση το1/2</t>
  </si>
  <si>
    <t>προ 3μήνου της λήξης [έως 15ετία</t>
  </si>
  <si>
    <t>*11111* = μηχανικός εξοπλισμός ΑΝΕΥ μεταφορικών μέσων</t>
  </si>
  <si>
    <t>αγγελιδηςΠαύλος [από 6ο έτος</t>
  </si>
  <si>
    <t>Παναγία -''σαλιάρα -βαθύ'' 79.830μ2μ2 -3έτη</t>
  </si>
  <si>
    <t>5%πωλ +  5%μπαζα [για 6έτη , μετά 7%</t>
  </si>
  <si>
    <t>εμπορική=840-759-17/10/1972</t>
  </si>
  <si>
    <t>*1* = ερευνητικές εργασίες για εισφορά ή πώληση ή ΛΥΣΗ</t>
  </si>
  <si>
    <t>5125μ</t>
  </si>
  <si>
    <t>9307τ</t>
  </si>
  <si>
    <t>χειλαςΒασιλειος</t>
  </si>
  <si>
    <t>12211-10/8/82 νομαρχια</t>
  </si>
  <si>
    <t>99-??/??/1982</t>
  </si>
  <si>
    <t>4μήνες</t>
  </si>
  <si>
    <t>γρηγοριουΓρηγοριος</t>
  </si>
  <si>
    <t>11111α</t>
  </si>
  <si>
    <t>zηλ = ΛΥΣΗ το 1/2 &amp; νέα μίσθωση το 1/2</t>
  </si>
  <si>
    <t>Παναγία -''σαλιάρα -βαθύ'' 79.830μ2μ2 -10έτη</t>
  </si>
  <si>
    <t>11882α</t>
  </si>
  <si>
    <t>7%πωλ + 7%μπαζα</t>
  </si>
  <si>
    <t>219-27κ</t>
  </si>
  <si>
    <t>μίσθωσης μαρμαροΛατομείου 11.111αγγελίδη , Παναγία -''σαλιάρα -βαθύ''  ,39.915μ2 , κατά 1/2 έκταση ….ΛΥΣΗ</t>
  </si>
  <si>
    <t xml:space="preserve">αποκατάσταση καταπατηθείσης έκτασης με την μίσθωση 11.1114αγγελίδη </t>
  </si>
  <si>
    <t>'σκαρης ΑΒΕΕ'' [ως μετατραπείσα ΑΠΌ ''νικηφροςΣκαρης &amp; υοι ΟΕ''</t>
  </si>
  <si>
    <t>μίσθωση μαρμαρο-λατομείου Παναγία - ''σαλιάρα'' 66.612μ2 3έτη [15 εν συνόλω</t>
  </si>
  <si>
    <t>μαρφιν-2943/750-7/8/2007</t>
  </si>
  <si>
    <t>αποκταστασης =40% [5ετίας] , [αντικατάσταση +40%</t>
  </si>
  <si>
    <t>2943/750-07/08/2007 &amp; 356-18/02/2009 = περιφέρεια</t>
  </si>
  <si>
    <t>Δ.Ο.Υ = πληρωμή</t>
  </si>
  <si>
    <t>*1* = αναλογικό μίσθωμα για εισφορά -πώληση ή ΛΥΣΗ</t>
  </si>
  <si>
    <t>*1* = μίσθωσης κόστος έργων αποκατάστασης για εισφορά -πώληση ή ΛΥΣΗ</t>
  </si>
  <si>
    <t>μίσθωση μαρμαρο-λατομείου Παναγία - ''σαλιάρα'' 66.612μ2 3έτη [εισφοράΜισθΔικ</t>
  </si>
  <si>
    <t>μίσθωση μαρμαρο-λατομείου Παναγία - ''σαλιάρα'' 66.612μ2 12έτη</t>
  </si>
  <si>
    <t xml:space="preserve">μίσθωση μαρμαρο-λατομείου Παναγία - ''σαλιάρα'' 66.612μ2 3έτη </t>
  </si>
  <si>
    <t>ΑΕ τροποποίηση [μετοχολόγιο -καταστατικό]</t>
  </si>
  <si>
    <t>μίσθωση μαρμαρο-λατομείου 8546 Παναγία - ''σαλιάρα'' 66.612μ2 ΠΑΡΑΤΑΣΗ 12έτη {έως 2024</t>
  </si>
  <si>
    <t>μίσθωση , 66.612μ2 , 3έτη = 14.787,86</t>
  </si>
  <si>
    <t>μίσθωσης  8.548 ΕΙΣΦΟΡΑ ΜΙΣΘΩΤΙΚΩΝ ΔΙΚΑΙΩΜΑΤΩΝ</t>
  </si>
  <si>
    <t>219-27 = σκαρηΑΒΕΕ</t>
  </si>
  <si>
    <t>219-27 = λατομική σκαρη Θάσου ΑΕ</t>
  </si>
  <si>
    <t>ΙΔΕ 219γ1ε = εταιρίες -ΑΕ θέση 219-27</t>
  </si>
  <si>
    <t>μίσθωση μαρμαρο-λατομείου Παναγία - ''σαλιάρα'' 66.612μ2 5έτη</t>
  </si>
  <si>
    <t>1έτος πριν</t>
  </si>
  <si>
    <t>μίσθωση μαρμαρο-λατομείου 8546 &amp; 10443 Παναγία - ''σαλιάρα'' 66.612μ2 ΠΑΡΑΤΑΣΗ 5έτη {έως 2029</t>
  </si>
  <si>
    <t xml:space="preserve">μίσθωσις νταμάρι  Λιμένας -''βλαχούδι'' 24,567στρ 3έτη </t>
  </si>
  <si>
    <t>4080/18-10-1988 επιθεώρησηΜεταλείωνΒ.Ελλάδας</t>
  </si>
  <si>
    <t>9256κ</t>
  </si>
  <si>
    <t>9459κ</t>
  </si>
  <si>
    <t>μίσθωσις Λιμένας -''βλαχούδι'' 24,567στρ + 17,4645στρ επέκταση = ΕΙΣΦΟΡΑ</t>
  </si>
  <si>
    <t>13459κ</t>
  </si>
  <si>
    <t>12770κ</t>
  </si>
  <si>
    <t>11665κ</t>
  </si>
  <si>
    <t>10111κ</t>
  </si>
  <si>
    <t>10128κ</t>
  </si>
  <si>
    <t>5867κ</t>
  </si>
  <si>
    <t>8μήνες</t>
  </si>
  <si>
    <t>10884κ</t>
  </si>
  <si>
    <t>12173κ</t>
  </si>
  <si>
    <t>219-29κ</t>
  </si>
  <si>
    <t>μίσθωσις νταμάρι  Λιμένας -''βλαχούδι'' 24,567στρ 3έτη [1000/έτος/στρ</t>
  </si>
  <si>
    <t>μίσθωση … προσωπικού &amp; αποθήκες</t>
  </si>
  <si>
    <t>ΕΕ ''λατομείο μαρμάρων λασκαριδης -λορεντζος -παπας -χρυσαφης &amp; σια ΕΕ'' =σύστση</t>
  </si>
  <si>
    <t>επέκτασης μίσθωσης ΕΙΣΦΟΡΑ ΜΙΣΘ. ΔΙΚΑΙΑΩΜ. νταμάρι  Λιμένας -''βλαχούδι'' κατά 17,4645στρ</t>
  </si>
  <si>
    <t xml:space="preserve">σύμβαση αναγνωρίσεως 9.256 &amp; 9.459 μισθωτικου δικαιωματος εκμεταλεύσεως μαρμαροΛατομείου </t>
  </si>
  <si>
    <t>μίσθωσις νταμάρι  9256 &amp; 9459 Λιμένας -''βλαχούδι'' 24,567στρ ΠΑΡΑΤΑΣΗ 3έτη</t>
  </si>
  <si>
    <t>μίσθωσις νταμάρι  9256 &amp; 9459 &amp; 10884 Λιμένας -''βλαχούδι'' 24,567στρ ΠΑΡΑΤΑΣΗ 3έτη</t>
  </si>
  <si>
    <t>μίσθωσις νταμάρι  9256 &amp; 9459 &amp; 10884 &amp; 12.173 Λιμένας -''βλαχούδι'' 24,567στρ ΠΑΡΑΤΑΣΗ 3έτη</t>
  </si>
  <si>
    <t>ΕΕ σύσταση</t>
  </si>
  <si>
    <t>σύμβαση αναγνωρίσεως μισθωτικου δικαιωματος</t>
  </si>
  <si>
    <t>219-28 = κουναδαςΠαντελης</t>
  </si>
  <si>
    <t>219-29 = λατΜαρμΛασκΛορΠαπΧρυσ &amp; σια ΕΕ</t>
  </si>
  <si>
    <t>219-28κ</t>
  </si>
  <si>
    <t>ΙΔΕ 219-28 = κουναδαςΠαντελης</t>
  </si>
  <si>
    <t>ΙΔΕ 219γ1β θέση 219-29 = λατΜαρμΛασκΛορΠαπΧρυσ &amp; σια ΕΕ</t>
  </si>
  <si>
    <t>ΙΔΕ 219-29 = λατΜαρμΛασκΛορΠαπΧρυσ &amp; σια ΕΕ</t>
  </si>
  <si>
    <t>14092κ</t>
  </si>
  <si>
    <t>μίσθωσις νταμάρι  9256κ &amp; 9459 &amp; 10.884κ &amp; 12.173κ &amp; 14092κ Λιμένας -''βλαχούδι'' 24,567στρ ΠΑΡΑΤΑΣΗ 3έτη</t>
  </si>
  <si>
    <t>2004 &amp; 2007</t>
  </si>
  <si>
    <t>μίσθωσις νταμάρι  Λιμένας -''βλαχούδι'' 24,567στρ 15έτη (έως 2019</t>
  </si>
  <si>
    <t>4 έτη</t>
  </si>
  <si>
    <t>μίσθωσις νταμάρι  9256κ &amp; 9459 &amp; 10.884κ &amp; 12.173κ &amp; 14092κ  &amp; 1581 Λιμένας -''βλαχούδι'' 24,567στρ ΠΑΡΑΤΑΣΗ 15έτη [έως 2019</t>
  </si>
  <si>
    <t>219-29 = λατΜαρμΛασκΛορΧρυσ &amp; σια ΕΕ</t>
  </si>
  <si>
    <t>μίσθωσις νταμάρι  Λιμένας -''βλαχούδι'' 24,567στρ 10έτη (έως 2028</t>
  </si>
  <si>
    <t>έως 18-10-2018</t>
  </si>
  <si>
    <t xml:space="preserve">1701-06/12/2012επιθΜεταλΒ.Ελλάδος </t>
  </si>
  <si>
    <t>ΑΚΥΡΗ</t>
  </si>
  <si>
    <t>αναφέρει εγγυητική = 22.800</t>
  </si>
  <si>
    <t>μίσθωσις νταμάρι  9256κ &amp; 10.884κ &amp; 12.173κ &amp; 14092κ &amp; 1581 &amp; 8261 Λιμένας -''βλαχούδι'' 24,567στρ ΠΑΡΑΤΑΣΗ 10έτη {έως 18-10-2028</t>
  </si>
  <si>
    <t>ΘΑ έρθει</t>
  </si>
  <si>
    <t>219-29 = λατΜαρμΛασκΛορ &amp; σια ΕΕ</t>
  </si>
  <si>
    <t>9561κ</t>
  </si>
  <si>
    <t>μίσθωσις νταμάρι  Λιμένας -''τσιπόσι-σκοτεινόλακος'' 47,92στρ 3έτη</t>
  </si>
  <si>
    <t xml:space="preserve"> 3794-6/12/1989επιθΜεταλΒ.Ελλάδος</t>
  </si>
  <si>
    <t>4/1990συνδρΔημου</t>
  </si>
  <si>
    <t>λασκαριδηςΝικολαος</t>
  </si>
  <si>
    <t>εμπορικη 739726/1990κτιρικα</t>
  </si>
  <si>
    <t>εμπορικη718726-10/04/1990 αναλογικού</t>
  </si>
  <si>
    <t>εμπορικη 738726/1990παγιο</t>
  </si>
  <si>
    <t>10888κ</t>
  </si>
  <si>
    <t>12582Κ</t>
  </si>
  <si>
    <t>81/1995</t>
  </si>
  <si>
    <t>12.657Κ</t>
  </si>
  <si>
    <t>μίσθωσις νταμάρι  Λιμένας -''τσιπόσι-σκοτεινόλακος'' 47,92στρ 3έτη [1000/έτος/στρ</t>
  </si>
  <si>
    <t>μίσθωσις νταμάρι  9561 Λιμένας -''τσιπόσι-σκοτεινόλακος'' 47,92στρ ΠΑΡΑΤΑΣΗ 3έτη</t>
  </si>
  <si>
    <t>μίσθωσις νταμάρι  9561 -10888 Λιμένας -''τσιπόσι-σκοτεινόλακος'' 47,92στρ ΣΥΝΕΧΙΣΗ</t>
  </si>
  <si>
    <t>ΑΕ τροποποίηση [= περί ιδιωτικών συμφωνητικών</t>
  </si>
  <si>
    <t>συν (+) 22 πολλαπλές για το 2ο νταμάρι</t>
  </si>
  <si>
    <t>μίσθωσις νταμάρι  47,92στρ 3έτη [1000/έτος/στρ</t>
  </si>
  <si>
    <t xml:space="preserve">μίσθωσης νταμάρι ΠΑΡΑΤΑΣΗ </t>
  </si>
  <si>
    <t>μίσθωσης νταμάρι ΣΥΝΕΧΙΣΗ</t>
  </si>
  <si>
    <t>λασκαριναΛασκαριδου &amp; υοι ΟΕ</t>
  </si>
  <si>
    <t>μάρμαραΛασκαριδηΑΒΕΕ</t>
  </si>
  <si>
    <t>min συν (+) 300.000 €</t>
  </si>
  <si>
    <t>ΒΑΘΥ Παναγίας Θάσου</t>
  </si>
  <si>
    <t>Παναγία - ''σαλιάρα''</t>
  </si>
  <si>
    <t>ΛΙΜΕΝΑΣ -''τσιποτσι σκοτεινόλακας''</t>
  </si>
  <si>
    <t xml:space="preserve">φουντουκόρεμα Οχυρό Δράμας </t>
  </si>
  <si>
    <t>Λιμενάρια -''λαγκάδα''</t>
  </si>
  <si>
    <t>Δράμα Οχυρό -΄΄φουντουκόρεμα''</t>
  </si>
  <si>
    <t>Λιμένας - ''τσιποτσι-σκοτεινόλακος'' 24.526μ2</t>
  </si>
  <si>
    <t>Λιμένας - ''λιοντάρι μύλος'' 58.623,45μ2</t>
  </si>
  <si>
    <t>Παναγια ''ΒΑΘΥ -σαλιάρα'' 28.646μ2</t>
  </si>
  <si>
    <t>Παναγία -''σαλιάρα''</t>
  </si>
  <si>
    <t>ΛΙΜΕΝΑΣ = 3 γκρεμοί</t>
  </si>
  <si>
    <t>ΒΑΘΥ Σαλιάρας Παναγίας</t>
  </si>
  <si>
    <t>βλαχούδι Λιμενάρια Θάσου</t>
  </si>
  <si>
    <t>ΙΔΕ 219γ1ε θέση 219-23 = μάρμαραΛασκαριδηΑΒΕΕ</t>
  </si>
  <si>
    <t>ΙΔΕ 219γ1α θέση 219-23 = λασκαριναΛασκαριδου &amp; υοι ΟΕ</t>
  </si>
  <si>
    <t>12.657κ</t>
  </si>
  <si>
    <t>υπάρχεια υπόνοια ΤΟΓΚΑΣ προς ΑΓΑΠΕ</t>
  </si>
  <si>
    <t>καθεστώς ΤΟΓΚΑΣ</t>
  </si>
  <si>
    <t>εξόφληση</t>
  </si>
  <si>
    <t>ζημία</t>
  </si>
  <si>
    <t>22μήνες</t>
  </si>
  <si>
    <t>μίσθωσις νταμάρι  9561 -10888 -12852 -12567 Λιμένας -''τσιπόσι-σκοτεινόλακος'' 47,92στρ ΠΑΡΑΤΑΣΗ 3έτη</t>
  </si>
  <si>
    <t>ΔΟΛΟΣ &amp; ΤΟΓΚΑ</t>
  </si>
  <si>
    <t>2ημέρες</t>
  </si>
  <si>
    <t>9μήνες</t>
  </si>
  <si>
    <t>1έτος</t>
  </si>
  <si>
    <t>1έτος &amp; 3μήνες</t>
  </si>
  <si>
    <t>Λιμένας -''τσιπόσι-σκοτεινόλακος''[βαπτισμένο ''3 γκρεμοί'']  49,5985στρ 3έτη</t>
  </si>
  <si>
    <t>υπουργΒιομ 27.4/181111/2755 της 14/10/2015</t>
  </si>
  <si>
    <t>αποφΠεριφΑΜΘ = 3405/1497-28/08/2014  &amp;  35282-24/12/2015</t>
  </si>
  <si>
    <t>αποφΔημΣυμβ = 278/2015</t>
  </si>
  <si>
    <t>απ'ευθείας</t>
  </si>
  <si>
    <t>απ'Ευθείας</t>
  </si>
  <si>
    <t>μίσθωσις νταμάρι  Λιμένας -''τσιπόσι-σκοτεινόλακος''[''3 γκρεμοί'' {δίπλα στο άλλο}]  49,5985στρ 3έτη</t>
  </si>
  <si>
    <t xml:space="preserve">ΛΙΜΈΝΑς τσιπότσι -σκοτεινόλακος </t>
  </si>
  <si>
    <t xml:space="preserve"> Λιμένας -''τσιπόσι-σκοτεινόλακος''[''3 γκρεμοί'' {δίπλα στο άλλο}] </t>
  </si>
  <si>
    <t>Λιμένας -''βλαχούδι'' 28,036στρ 3έτη</t>
  </si>
  <si>
    <t>597-20/05/2008επιθΜεταλΒ.Ελλάδος</t>
  </si>
  <si>
    <t>27825/07/2007</t>
  </si>
  <si>
    <t>Λιμένας -''βλαχούδι'' 28,036στρ ΠΩΛΗΣΗ [ &amp; κρυμένη εισφορά</t>
  </si>
  <si>
    <t>μίσθωσις νταμάρι  Λιμένας -''βλαχούδι'' 28,036στρ 3έτη</t>
  </si>
  <si>
    <t>μίσθωσις νταμάρι  7952 Λιμένας -''βλαχούδι'' 28,036στρ ΠΑΡΑΤΑΣΗ 3έτη</t>
  </si>
  <si>
    <t>ΕΕ τροποίηση</t>
  </si>
  <si>
    <t>φουφαςΠ -αποχώρηση από ΕΕ</t>
  </si>
  <si>
    <t>φουφαςΕ -αποχώρηση από ΕΕ</t>
  </si>
  <si>
    <t>φουφαςΠ -πώληση εταιρικής μερίδας σε ''κυρΑΒΕΕ''</t>
  </si>
  <si>
    <t>φουφαςΕ -πώληση εταιρικής μερίδας σε ''κυρΑΒΕΕ''</t>
  </si>
  <si>
    <t>ΕΕ τροποίηση &amp; πώληση μεριδίων</t>
  </si>
  <si>
    <t>ενσωμάτωση ανωτέρω</t>
  </si>
  <si>
    <t>219-26 κυριακιδηςΕΕ</t>
  </si>
  <si>
    <t>219-26 κυριακιδηςΕΕ [ ΔΗΘΕΝ ως φουφας {παν/ευθ</t>
  </si>
  <si>
    <t>Λιμένας -''βλαχούδι'' 28,036στρ</t>
  </si>
  <si>
    <t>ΙΔΕ 219γ1β θέση 219-26</t>
  </si>
  <si>
    <t>ΙΔΕ 219γ1ε θέση 219-26</t>
  </si>
  <si>
    <t>8754κ</t>
  </si>
  <si>
    <t xml:space="preserve"> Παναγία -''σαλιάρα'' 20,28στρ -3έτη</t>
  </si>
  <si>
    <t>δνσηΛατ = 2639-4/7/1988</t>
  </si>
  <si>
    <t>αποφΚοιν=116-31/10/1988</t>
  </si>
  <si>
    <t>αποφΚοιν=53-29/04/1988</t>
  </si>
  <si>
    <t>10089κ</t>
  </si>
  <si>
    <t>8.754κ</t>
  </si>
  <si>
    <t xml:space="preserve"> Παναγία -''σαλιάρα'' 20,28στρ ΠΑΡΑΤΑΣΗ 3έτη</t>
  </si>
  <si>
    <t>11ημέρες</t>
  </si>
  <si>
    <t>δήλωση [αναγνώριση ΑΠΟΚΛΕΙΣΤΙΚΟΥ νταμαρτζη τον μΑντωνιο στα ''μπαλαμπανηΤρυπα'' , ''αγιοςΔημητριος'' , ''λειβαδακια'' , ''χαμοκούτσινα ή πουρναράκια''</t>
  </si>
  <si>
    <t>δηλωση [ήμουν αφανης εταίρος ΜΕ 41% [18/10/1978 έως 31/01/1979</t>
  </si>
  <si>
    <t>ΟΕ καταστατικό τροποποίηση [όνομα ,μετοχές</t>
  </si>
  <si>
    <t>ΟΕ αποχώρηση εταίρου</t>
  </si>
  <si>
    <t>ΟΕ μεταβίβαση μετοχών [ή &amp; μισθωτικών δικαιωμάτων</t>
  </si>
  <si>
    <t>μίσθωσις νταμάρι  Παναγία -''σαλιάρα'' 20,28στρ 3έτη [1000/έτος/στρ</t>
  </si>
  <si>
    <t>μίσθωσις νταμάρι  8754 Παναγία -''σαλιάρα'' 20,28στρ ΠΑΡΑΤΑΣΗ 3έτη</t>
  </si>
  <si>
    <t>μίσθωσις νταμάρι  8754 &amp; 10.089 Παναγία -''σαλιάρα'' 20,28στρ ΠΑΡΑΤΑΣΗ 3έτη</t>
  </si>
  <si>
    <t>219-170κ</t>
  </si>
  <si>
    <t>δήλωση</t>
  </si>
  <si>
    <t>μίσθωσις νταμάρι  ΠΑΡΑΤΑΣΗ 3έτη</t>
  </si>
  <si>
    <t>ΙΔΕ 219-25    ''ΜΑΡΜΑΡΑ ΠΑΝΑΓΙΑΣ ΘΑΣΟΥ -Ι. ΤΑΤΣΙΡΑΜΟΣ ΚΑΙ ΣΙΑ ΟΕ''     ….   στην οποία μετατρέπεται η …. η ''Μ. ΜΑΔΕΜΛΗ &amp; ΣΙΑ ΟΕ''</t>
  </si>
  <si>
    <t xml:space="preserve">ΙΔΕ θέση 219-25 </t>
  </si>
  <si>
    <t>219-170 = Μ.ΜΑΔΕΜΛΗ -Μ.ΛΑΤΑ -Β.ΤΖΕΝΑΛΗ -Γ.ΚΑΡΑΓΕΩΡΓΙΟΥ … ΟΕ</t>
  </si>
  <si>
    <t>219-170 = Μ. ΜΑΔΕΜΛΗ &amp; ΣΙΑ ΟΕ</t>
  </si>
  <si>
    <t>ΠΑΝΑΓΙΑ</t>
  </si>
  <si>
    <t xml:space="preserve">ΙΔΕ 219-25    ''ΜΑΡΜΑΡΑ ΠΑΝΑΓΙΑΣ ΘΑΣΟΥ -Ι. ΤΑΤΣΙΡΑΜΟΣ ΚΑΙ ΣΙΑ ΟΕ'' </t>
  </si>
  <si>
    <t>11622κ</t>
  </si>
  <si>
    <t>13.465κ</t>
  </si>
  <si>
    <t>ΕΠΕ σύσταση</t>
  </si>
  <si>
    <t xml:space="preserve">εισφορά αίτησις ερευνητικών εργασιώνστο νταμάρι </t>
  </si>
  <si>
    <t>ΕΠΕ [=αποκλειστική μεταφορά όγκων από μητσεκο</t>
  </si>
  <si>
    <t>μίσθωσις νταμάρι  8754 &amp; 10.089 &amp; 11.622 Παναγία -''σαλιάρα'' 20,28στρ ΠΑΡΑΤΑΣΗ 3έτη</t>
  </si>
  <si>
    <t>219-25κ</t>
  </si>
  <si>
    <t>ΜΑΡΜΑΡΑ ΠΑΝΑΓΙΑΣ ΘΑΣΟΥ -Ι. ΤΑΤΣΙΡΑΜΟΣ ΚΑΙ ΣΙΑ ΟΕ</t>
  </si>
  <si>
    <t>ΙΔΕ θέση 219-170 = μαδεμληςΑντωνιος</t>
  </si>
  <si>
    <t>ΙΔΕ 219-170</t>
  </si>
  <si>
    <t>μίσθωσης παράταση</t>
  </si>
  <si>
    <t>μίσθωσις νταμάρι  8754 &amp; 10.089 &amp; 11.622 &amp; 13.465 Παναγία -''σαλιάρα'' 20,28στρ ΠΑΡΑΤΑΣΗ 3έτη</t>
  </si>
  <si>
    <t>Παναγία -''σαλιάρα'' 20,28στρ</t>
  </si>
  <si>
    <t>Φ25.Ι/15/08/577αποφΝομαρχ</t>
  </si>
  <si>
    <t>207-17/04/2002αποφΔημΣυμβ</t>
  </si>
  <si>
    <t xml:space="preserve"> Παναγία -''σαλιάρα'' 20,28στρ ΠΑΡΑΤΑΣΗ 10έτη</t>
  </si>
  <si>
    <t xml:space="preserve"> Παναγία -''σαλιάρα'' 20,28στρ προσθετική ΠΑΡΑΤΑΣΗ 5έτη</t>
  </si>
  <si>
    <t>18.312στ</t>
  </si>
  <si>
    <t>Εβρου -Αλεξανδρούπολης -Παλαγίας -''φανός'' 37,94στρ 3έτη</t>
  </si>
  <si>
    <t>στογιος</t>
  </si>
  <si>
    <t>1070/Φ.25.18/1/-03-2005περφΑΜΘ</t>
  </si>
  <si>
    <t>προ της λήξης</t>
  </si>
  <si>
    <t>ΜΟΝΟμηχανΕξοπλ</t>
  </si>
  <si>
    <t>εξΕγγυητικης</t>
  </si>
  <si>
    <t>μίσθωσις νταμάρι  8754 &amp; 10.089 &amp; 11.622 &amp; 13.465 &amp; 1.240 Παναγία -''σαλιάρα'' 20,28στρ ΠΑΡΑΤΑΣΗ 3έτη</t>
  </si>
  <si>
    <t>μίσθωσις νταμάρι  8.754 &amp; 10.089 &amp; 11.622 &amp; 13.465 &amp; 1.240 &amp; 3.457 Παναγία -''σαλιάρα'' 20,28στρ ΠΑΡΑΤΑΣΗ 10έτη</t>
  </si>
  <si>
    <t>μίσθωσις νταμάρι  8.754 &amp; 10.089 &amp; 11.622 &amp; 13.465 &amp; 1.240 &amp; 3.457 Παναγία -''σαλιάρα'' 20,28στρ προσθετική ΠΑΡΑΤΑΣΗ +5έτη [= 15έτη</t>
  </si>
  <si>
    <t>μίσθωσις νταμάρι 18.312στογιου  Εβρου -Αλεξανδρούπολης -Παλαγίας -''φανός'' 37,94στρ ΠΑΡΑΤΑΣΗ 3έτη</t>
  </si>
  <si>
    <t>219-25 = τατσιραμοςΙαωννης &amp; ιωαννιδηςΓεωργιος</t>
  </si>
  <si>
    <t xml:space="preserve">Εβρου -Αλεξανδρούπολης -Παλαγίας -''φανός'' 37,94στρ </t>
  </si>
  <si>
    <t>μίσθωση νταμάρι Ραχώνι -''βαράδια'' 48,629στρ 3έτη</t>
  </si>
  <si>
    <t>εξαγωγή ΑΠΌ εγγυητική</t>
  </si>
  <si>
    <t>1883-15/07/2002επιθΜεταλΒ.Ελλάδος</t>
  </si>
  <si>
    <t>αναφέρει εγγυητική = 14.067</t>
  </si>
  <si>
    <t>ανα3ετια</t>
  </si>
  <si>
    <t>οκ=1351998κοινοτΡαχωνίου</t>
  </si>
  <si>
    <t>10872-14/05/2014περιφ</t>
  </si>
  <si>
    <t>18.795 &amp; 6.-02/05/2014864 αποφΔημΣυμβ</t>
  </si>
  <si>
    <t xml:space="preserve"> Παναγία -''σαλιάρα'' 20,28στρ προσθετική ΠΑΡΑΤΑΣΗ 10έτη</t>
  </si>
  <si>
    <t xml:space="preserve"> ΕΕ -σύσταση [= τατσιραμος ΕΚΧΩΡΕΙ στην ΕΕ τα μισθωτικά δικαιώματα [;;;;???]   οία είχε πάρει από ''ελληνικαΜαρμαραΘασουΑΕ'']   ΜΗ χρεωθέντα</t>
  </si>
  <si>
    <t>μίσθωσις νταμάρι  3.457 ΔΙΟΡΘΩΣΗ</t>
  </si>
  <si>
    <t>μίσθωσις νταμάρι 5435 ΔΙΟΡΘΩΣΗ</t>
  </si>
  <si>
    <t>μίσθωσις νταμάρι 8389 ΔΙΟΡΘΩΣΗ</t>
  </si>
  <si>
    <t>μίσθωσις νταμάρι  8.754 &amp; 10.089 &amp; 11.622 &amp; 13.465 &amp; 1.240 &amp; 3.457 &amp; 5435 &amp; 8.389 &amp; 13.554 Παναγία -''σαλιάρα'' 20,28στρ ΠΑΡΑΤΑΣΗ 10έτη</t>
  </si>
  <si>
    <t>μίσθωση 3 έτη</t>
  </si>
  <si>
    <t>μίσθωσις νταμάρι  3.457 -5435 -8389 ΔΙΟΡΘΩΣΗ</t>
  </si>
  <si>
    <t>219-25 = ΜΑΡΜΑΡΑ ΠΑΝΑΓΙΑΣ ΘΑΣΟΥ -Ι. ΤΑΤΣΙΡΑΜΟΣ ΚΑΙ ΣΙΑ ΟΕ</t>
  </si>
  <si>
    <t xml:space="preserve"> Ραχώνι -''βαράδια'' 48,629στρ</t>
  </si>
  <si>
    <t>219-25 = ΜΑΡΜΑΡΑ ΘΑΣΟΥ ΙΩΑΝΝΗΣ ΤΑΤΣΙΡΑΜΟΣ &amp; ΣΙΑ ΕβΕ</t>
  </si>
  <si>
    <t>ΙΔΕ 219γ1β θέση 219-25 = ΜΑΡΜΑΡΑ ΘΑΣΟΥ ΙΩΑΝΝΗΣ ΤΑΤΣΙΡΑΜΟΣ &amp; ΣΙΑ ΕβΕ</t>
  </si>
  <si>
    <t>ΙΔΕ 219γ1β θέση 219-25 = ……….. &amp; ΣΙΑ ΕβΕ</t>
  </si>
  <si>
    <t>μπανουΜαρια[αθηνα</t>
  </si>
  <si>
    <t>363μπ</t>
  </si>
  <si>
    <t>17777δρ</t>
  </si>
  <si>
    <t>δραγοςΑθηνων</t>
  </si>
  <si>
    <t>αποφΔημΣυμβ = 74/1985</t>
  </si>
  <si>
    <t>7.611κ</t>
  </si>
  <si>
    <t>αποφΔημΣυμβ-130/1984</t>
  </si>
  <si>
    <t>13/72δ/νσηΜεταλΒ.Ελλ</t>
  </si>
  <si>
    <t>96563αποφΝομαρχ</t>
  </si>
  <si>
    <t>Λιμένας -΄΄μούργενα'' 28,903στρ</t>
  </si>
  <si>
    <t>Λιμένας -΄΄μούργενα'' 28,903στρ = ΕΙΣΦΟΡΑ</t>
  </si>
  <si>
    <t>Λιμένας -΄΄μούργενα'' 28,903στρ -10έτη</t>
  </si>
  <si>
    <t>12461Κ</t>
  </si>
  <si>
    <t>Λιμένας -΄΄μούργενα'' 28,903στρ -5έτη</t>
  </si>
  <si>
    <t>30/815/14-9-1995αποφΝομαρχ</t>
  </si>
  <si>
    <t>αποφΔημΣυμβ-82/1995</t>
  </si>
  <si>
    <t>μίσθωσης  363χατζη Λιμένας -''μούργενα'' 28,903στρ ΠΑΡΑΤΑΣΗ 10έτη</t>
  </si>
  <si>
    <t>μίσθωσης 363 ΣΥΜΠΛΗΡΩΣΗ {8πολλαπλές}</t>
  </si>
  <si>
    <t>μίσθωσης 363 των 4 παρατάσεων ΣΥΜΠΛΗΡΩΣΗ {16πολλαπλές}</t>
  </si>
  <si>
    <t>μίσθωσης  363χατζη -??? -7.611κ Λιμένας -''μούργενα'' 28,903στρ ΠΑΡΑΤΑΣΗ 5έτη</t>
  </si>
  <si>
    <t>219-24κ</t>
  </si>
  <si>
    <t>μίσθωσης  ΠΑΡΑΤΑΣΗ 10έτη</t>
  </si>
  <si>
    <t>μίσθωσης νταμάρι ΠΑΡΑΤΑΣΗ 5έτη</t>
  </si>
  <si>
    <t>'δημ. ν. χαριτοπουλο -μαρμαρα σκυρα -ΑΕ''[= ΔΗΜ. Ν. ΧΑΡΙΤΟΠΟΥΛΟΣ ΑΕ</t>
  </si>
  <si>
    <t>Λιμένας -''μούργενα'' 28,903στρ</t>
  </si>
  <si>
    <t>&amp; ΔΟΛΟΣ &amp; ΤΟΓΚΑ</t>
  </si>
  <si>
    <t>έως ΣΗΜΕΡΑ</t>
  </si>
  <si>
    <t>σε ΟΡΟΥΣ 1971</t>
  </si>
  <si>
    <t>ΙΔΕ 219γ1ε θέση 219-24</t>
  </si>
  <si>
    <t>27556καπ</t>
  </si>
  <si>
    <t>Λιμένας -''3γκρεμοί'' 34,31στρ 3έτη</t>
  </si>
  <si>
    <t>καπολαςΚωνσταντινος</t>
  </si>
  <si>
    <t>439-15/10/1999</t>
  </si>
  <si>
    <t>1145-12/06/2000δ/νσηΜεταλειων</t>
  </si>
  <si>
    <t>Λιμένας -''3γκρεμοί'' 34,31στρ 3έτη [εκ των 15] [έως 40έτη</t>
  </si>
  <si>
    <t>52ημέρες</t>
  </si>
  <si>
    <t>μίσθωσης 27.556καπολα Λιμένας -''3γκρεμοί'' 34,31στρ ΠΑΡΑΤΑΣΗ 3έτη</t>
  </si>
  <si>
    <t>27.556καπ μίσθωση ΣΥΜΠΛΗΡΩΣΗ [= 5 πολλαπλές</t>
  </si>
  <si>
    <t>μίσθωσης 27.556καπολα &amp; 3.035 Λιμένας -''3γκρεμοί'' 34,31στρ ΠΑΡΑΤΑΣΗ 3έτη</t>
  </si>
  <si>
    <t>μίσθωσης 27.556καπολα &amp; 3.035 &amp; 6.292 Λιμένας -''3γκρεμοί'' 34,31στρ ΠΑΡΑΤΑΣΗ 3έτη</t>
  </si>
  <si>
    <t>δημ. ν. χαριτοπουλο -μαρμαρα σκυρα -ΑΕ''[= ΔΗΜ. Ν. ΧΑΡΙΤΟΠΟΥΛΟΣ ΑΕ]     ……….. ΑΧΤΑΡΜΑΣ</t>
  </si>
  <si>
    <t>Λιμένας -''3γκρεμοί'' 34,31στρ</t>
  </si>
  <si>
    <t>&amp; ΔΟΛΟΣ &amp;  καθεστώς ΤΟΓΚΑΣ</t>
  </si>
  <si>
    <t>Λιμένας -''μούργενα'' 21,753στρ</t>
  </si>
  <si>
    <t>Λιμένας -''μούργενα'' 21,753στρ 3έτη</t>
  </si>
  <si>
    <t>Λιμένας -''μούργενα'' 21,753στρ ΠΑΡΑΤΑΣΗ 3έτη</t>
  </si>
  <si>
    <t>1.630π</t>
  </si>
  <si>
    <t>Λιμένας -''μούργενα'' 21,753στρ ΕΙΣΦΟΡΑ</t>
  </si>
  <si>
    <t>παπαρη</t>
  </si>
  <si>
    <t>μίσθωσης 27.556καπολα &amp; 3.035 &amp; 6.292 &amp; 8.695 Λιμένας -''3γκρεμοί'' 34,31στρ ΠΑΡΑΤΑΣΗ 3έτη</t>
  </si>
  <si>
    <t>μίσθωσης 4.070 &amp; 7.283 &amp; 9.511 Λιμένας -''μούργενα'' 21,753στρ ΠΑΡΑΤΑΣΗ 3έτη</t>
  </si>
  <si>
    <t>ΕΕσύστασης 1.630παπαρη 30/05/2012 ΣΥΜΠΛΗΡΩΣΗ [= ποσό πράξης = συν (+)</t>
  </si>
  <si>
    <t>ΕΕτροποποίηση ΒΑΣΕΙ ιδΣυμφων 05/06/2012 ΕΠΙΚΑΙΡΟΠΟΙΗΣΗ [έξοδος μετόχου</t>
  </si>
  <si>
    <t>ΕΕτροποποίηση ΒΑΣΕΙ ιδΣυμφων 11/06/2012 ΕΠΙΚΑΙΡΟΠΟΙΗΣΗ [είσοδος μετόχου</t>
  </si>
  <si>
    <t>219-24 = μαρμαραΜουργεναΘασουΕΕ</t>
  </si>
  <si>
    <t>περιοχή</t>
  </si>
  <si>
    <t>ΙΔΕ 219γ1β θέση 219-24</t>
  </si>
  <si>
    <t>12427κ</t>
  </si>
  <si>
    <t>Λιμένας -''τσιπόσι-σκοτεινόλακος'' 47,92στρ 3έτη</t>
  </si>
  <si>
    <t xml:space="preserve">Λιμένας -''βλαχούδι'' 24,567στρ 3έτη </t>
  </si>
  <si>
    <t>Παναγία - ''σαλιάρα'' 66.612μ2 3έτη [15 εν συνόλω</t>
  </si>
  <si>
    <t>Ραχώνι -''βαράδια'' 48,629στρ 3έτη</t>
  </si>
  <si>
    <t xml:space="preserve">Λιμένας -''τσιπότσι-σκοτεινόλακος'' 27,098μ2 3έτη </t>
  </si>
  <si>
    <t>4011-06/12/1989αδειαΔ/νσηςΛατομΒ.Ελλ</t>
  </si>
  <si>
    <t>53-03/05/1955αποφΔημΣυμβ</t>
  </si>
  <si>
    <t>397/1995αποφΔημΣυμβ</t>
  </si>
  <si>
    <t>11.177/1995αποφΝομαρχ</t>
  </si>
  <si>
    <t>δουλοπουλοςΒασιλειος</t>
  </si>
  <si>
    <t>219-30κ</t>
  </si>
  <si>
    <t>μίσθωσης ''τσιπότσι-σκοτεινόλακος'' 27,098μ2 3έτη 1000δρχ/στρ</t>
  </si>
  <si>
    <t>μίσθωση μαρμαροΛατομείου Λιμένας -''τσιπότσι-σκοτεινόλακος'' 27,098μ2 3έτη 1000δρχ/στρ</t>
  </si>
  <si>
    <t>για κτίριο προσωπικού</t>
  </si>
  <si>
    <t>219-30 = καζαναςΑποστολος</t>
  </si>
  <si>
    <t>Λιμένας -''τσιπότσι-σκοτεινόλακος'' 27,098μ2</t>
  </si>
  <si>
    <t>κ. Τερζίδης</t>
  </si>
  <si>
    <t>εγγυητική</t>
  </si>
  <si>
    <t>2342φ2357-5/7/2004περιφ</t>
  </si>
  <si>
    <t>2204/312-18/12/2003περιφ [έναντι 4035/2003</t>
  </si>
  <si>
    <t>Λιμενάρια -''αηΛιάς'' 20,4305στρ 3έτη</t>
  </si>
  <si>
    <t>δασαρχείοΧρηήση</t>
  </si>
  <si>
    <t>ανα3ετια + 15ετία</t>
  </si>
  <si>
    <t>6%πωλ + 7%μπαζα</t>
  </si>
  <si>
    <t>παράταση = 7%πωλ + 8%μπαζα</t>
  </si>
  <si>
    <t>29/2004αποφΔημΣυμβ</t>
  </si>
  <si>
    <t>410-12/05/2003επιθΜεταλΒ.Ελλαδος</t>
  </si>
  <si>
    <t>55/2004αποφΔημου</t>
  </si>
  <si>
    <t>αναφέρειΕγγυητική</t>
  </si>
  <si>
    <t>421/2000 =15 +25</t>
  </si>
  <si>
    <t>Λιμενάρια -''αηΛιάς'' 20,4305στρ ΕΙΣΦΟΡΑ [1.528/2002λάμψα=ΑΕσύσταση =ΣΥΜΠΛΗΡΩΣΗ</t>
  </si>
  <si>
    <t>7%πωλ + 8%μπαζα</t>
  </si>
  <si>
    <t>ως ΛΥΣΗ της 4.059</t>
  </si>
  <si>
    <t>Λιμενάρια -''αηΛιάς'' 20,4305στρ …ΛΥΣΗ  = 122.399,91€</t>
  </si>
  <si>
    <t>Λιμενάρια -''αηΛιάς'' 20,43στρ 3έτη {= ΞΑΝΑμίσθωση</t>
  </si>
  <si>
    <t>ωςΑγορά</t>
  </si>
  <si>
    <t>*2222*</t>
  </si>
  <si>
    <t>*2222* συν 22.222,22 αγορά κτιρΚΛΠ</t>
  </si>
  <si>
    <t>1285φ2357περιφ</t>
  </si>
  <si>
    <t>1285φ2357 /// 1948φ2357περιφ</t>
  </si>
  <si>
    <t>διακήρυξη /// έγκριση</t>
  </si>
  <si>
    <t>7,5%πωλ + 8,38%μπαζα</t>
  </si>
  <si>
    <t>έγκριση</t>
  </si>
  <si>
    <t>απλώςΑναφέρει</t>
  </si>
  <si>
    <t>μίσθωση μαρμαρο-λατομείο Λιμενάρια -''αηΛιάς'' 20,4305στρ 3έτη</t>
  </si>
  <si>
    <t>μίσθωση μαρμαρο-λατομείο Λιμένας -''μούργενα'' 21,753στρ 3έτη</t>
  </si>
  <si>
    <t>ΟΕ  καζαναςΑποστολος &amp; σια ΟΕ    … 211/1996πρωτοδ σύστασης ΣΥΜΠΛΗΡΩΣΗ [=σύσταση -καταστατικό -κλπ</t>
  </si>
  <si>
    <t>ΟΕ  καζαναςΑποστολος &amp; σια ΟΕ    … 211/1996πρωτοδ σύστασης ΣΥΜΠΛΗΡΩΣΗ [= ΛΥΣΗ για μετατροπή σε ΑΕ</t>
  </si>
  <si>
    <t>ΟΕ  συνεταιριστικήΜαρμαρωνΘασουΟΕ σύσταση ως ''β.ι.Καλουδης&amp;σιαΟΕ'' 76-06/04/1999 πρωτοδ ΣΥΜΠΛΗΡΩΣΗ [=σύσταση -καταστατικό -κλπ</t>
  </si>
  <si>
    <t>ΟΕ  συνεταιριστικήΜαρμαρωνΘασουΟΕ τροποπ ως ''β.ι.Καλουδης&amp;σιαΟΕ'' 194-02/08/1999 πρωτοδ ΣΥΜΠΛΗΡΩΣΗ [= μεταβίβαση μεριδίων κλπ</t>
  </si>
  <si>
    <t>ΟΕ  ''συνεταιριστικήΜαρμαρωνΘασουΟΕ'' τροποπ  141-30/05/2000 πρωτοδ ΣΥΜΠΛΗΡΩΣΗ [= μεταβίβαση μεριδίων κλπ από β.ι.Καλουδης&amp;σιαΟΕ</t>
  </si>
  <si>
    <t>ΟΕ  ''συνεταιριστικήΜαρμαρωνΘασουΟΕ'' ΣΥΜΠΛΗΡΩΣΗ [= ΛΥΣΗ για μετατροπή σε ΑΕ</t>
  </si>
  <si>
    <t>ΑΕ σύσταση 1.528/2002λαμψα ΣΥΜΠΛΗΡΩΣΗ [εισφορά μισθωτικών δικαιωμάτων {από '' καζαναςΑποστολος &amp; σια ΟΕ '' Λιμενάρια -''αηΛιάς'' 20,4305στρ} [= πάγιο</t>
  </si>
  <si>
    <t>μίσθωση 4.070 Λιμένας -''μούργενα'' 21,753στρ ΠΑΡΑΤΑΣΗ 3έτη</t>
  </si>
  <si>
    <t>μίσθωση 4059 Λιμενάρια -''αηΛιάς'' 20,4305στρ ΠΑΡΑΤΑΣΗ 3έτη</t>
  </si>
  <si>
    <t>μίσθωση 4059 &amp; 7284 Λιμενάρια -''αηΛιάς'' 20,4305στρ ΛΥΣΗ -πάγιο</t>
  </si>
  <si>
    <t>μίσθωση 4059 &amp; 7284 Λιμενάρια -''αηΛιάς'' 20,4305στρ ΛΥΣΗ -πρόστιμα ΚΛΕΙΣΙΜΑΤΟΣ νταμαριού</t>
  </si>
  <si>
    <t>μίσθωση μαρμαρο-λατομείο Λιμενάρια -''αηΛιάς'' 20,43στρ ΞΑΝΑΜΙΣΘΩΣΗ {αντικατάσταση 4.059 &amp; 7.284} 3έτη</t>
  </si>
  <si>
    <t>μίσθωση 4.070 &amp; 7.283 Λιμένας -''μούργενα'' 21,753στρ ΠΑΡΑΤΑΣΗ 3έτη</t>
  </si>
  <si>
    <t>219-30 = καζαναςΑποστολος &amp; σια ΟΕ [= ΚΑΚΩΣ ,καθώς από 2002 = συνεταιριστικήΜαρμαρωνΘασουΑΕ</t>
  </si>
  <si>
    <t>219-30 = συνεταιριστικήΜαρμαρωνΘασουΑΕ</t>
  </si>
  <si>
    <t>219-30 = καζαναςΑποστολος &amp; σια ΟΕ</t>
  </si>
  <si>
    <t xml:space="preserve">219-30 = συνεταιριστικήΜαρμαρωνΘασουΟΕ </t>
  </si>
  <si>
    <t xml:space="preserve">Λιμενάρια -''αηΛιάς'' 20,4305στρ </t>
  </si>
  <si>
    <t>ΙΔΕ 219γ1α θέση219-30 = ''καζαναςΑποστολος &amp; σια ΟΕ''</t>
  </si>
  <si>
    <t>ΙΔΕ 219γ1α θέση219-30 = ''συνεταιριστικήΜαρμαρωνΘασουΟΕ''</t>
  </si>
  <si>
    <t>ΙΔΕ 219γ1ε θέση219-30 = ''συνεταιριστικήΜαρμαρωνΘασουΑΕ''</t>
  </si>
  <si>
    <t>ΙΔΕ 219γ1ε θέση219-30 = ''συνεταιρΜαρμΘασουΑΕ''</t>
  </si>
  <si>
    <t>ΙΔΕ 219γ1α θέση219-30 = ''καζαναςΑπ &amp; σια ΟΕ''</t>
  </si>
  <si>
    <t>Λιμενάρια -''αηΛιάς'' 20,43στρ  {= ΞΑΝΑμίσθωση} ΠΑΡΑΤΑΣΗ 3έτη</t>
  </si>
  <si>
    <t>3μ'ηνες</t>
  </si>
  <si>
    <t>μίσθωσης 8.922 Λιμενάρια -''αηΛιάς'' 20,43στρ [ξαναμίσθωσης {αντικατάσταση 4.059 &amp; 7.284}] ΠΑΡΑΤΑΣΗ 3έτη</t>
  </si>
  <si>
    <t>καζαναςΑποστολος &amp; σια ΟΕ [= ΚΑΚΩΣ ,καθώς από 2002 = συνεταιριστικήΜαρμαρωνΘασουΑΕ] ,[οία από 30/05/2012 =μαρμαραΜουργεναΘασουΕΕ</t>
  </si>
  <si>
    <t>Παναγία -''σαλιάρα -βαθύ'' 79.830μ2 -3έτη</t>
  </si>
  <si>
    <t>9095κ</t>
  </si>
  <si>
    <t xml:space="preserve">Λιμένας -''βλαχούδι'' 36,335στρ 3έτη </t>
  </si>
  <si>
    <t>49 &amp; 106/1989αποφΔημΣυμβ</t>
  </si>
  <si>
    <t>γεωργαληςΠετρος</t>
  </si>
  <si>
    <t>αναφέρει [8% &amp; 10%] ΑΛΛΑ</t>
  </si>
  <si>
    <t>13042/1989αποφΝομαρχ</t>
  </si>
  <si>
    <t>???-07/07/1989συνεδρΔημου</t>
  </si>
  <si>
    <t>4930-29/12/1988δ/νσηΜεταΒ.Ελλ</t>
  </si>
  <si>
    <t>αγορά</t>
  </si>
  <si>
    <t>μεταγραφή</t>
  </si>
  <si>
    <t>16/08/1989=214/28</t>
  </si>
  <si>
    <t>5/8/1986=[363μπ=53/22]</t>
  </si>
  <si>
    <t>29 [από 28</t>
  </si>
  <si>
    <t>10418κ</t>
  </si>
  <si>
    <t>μίσθωση μαρμαροΛατομείου Λιμένας -''βλαχούδι'' 36,335στρ 3έτη</t>
  </si>
  <si>
    <t>ΟΕ σύσταση ΕΠΙΚΑΙΡΟΠΟΙΗΣΗ</t>
  </si>
  <si>
    <t>μίσθωση 9.095 Λιμένας -''βλαχούδι'' 36,335στρ ΠΑΡΑΤΑΣΗ 3έτη</t>
  </si>
  <si>
    <t>ΟΕ τροποποίηση 314/90πρωτοδ ΕΠΙΚΑΙΡΟΠΟΙΗΣΗ [καταστατικό -μετοχολόγιο</t>
  </si>
  <si>
    <t>ΟΕ τροποποίηση 314/90πρωτοδ ΣΥΜΠΛΗΡΩΣΗ [εταίρος αποχώρηση = σιμος ,(καθαρή του θέση εν ΟΕ =;;;???</t>
  </si>
  <si>
    <t>ΟΕ τροποποίηση 314/1990πρωτοδ ΣΥΜΠΛΗΡΩΣΗ [πωληση μεριδίου {σιμος ΣΕ γεώργιο}</t>
  </si>
  <si>
    <t>ΟΕ τροποποίηση 314/1990πρωτοδ ΣΥΜΠΛΗΡΩΣΗ [πωληση μεριδίου {σιμος ΣΕ αναστασια}</t>
  </si>
  <si>
    <t>ΟΕ τροποποίηση 355/1990πρωτοδ ΣΥΜΠΛΗΡΩΣΗ [καταστατικό -μετοχολόγιο</t>
  </si>
  <si>
    <t>ΟΕ τροποποίηση 355/1990πρωτοδ ΣΥΜΠΛΗΡΩΣΗ [εταίρος αποχώρηση =ελενη ,(καθαρή του θέση εν ΟΕ =;;;???</t>
  </si>
  <si>
    <t>ΟΕ τροποποίηση 355/1990πρωτοδ ΣΥΜΠΛΗΡΩΣΗ [είσοδος εταίρου {σιμος</t>
  </si>
  <si>
    <t>ΟΕ τροποποίηση 355/1990πρωτοδ ΣΥΜΠΛΗΡΩΣΗ [πώληση μεριδίου {ελενη ΣΕ μοσχούλα</t>
  </si>
  <si>
    <t>ΟΕ τροποποίηση 355/1990πρωτοδ ΣΥΜΠΛΗΡΩΣΗ [πώληση αναστασια ΣΕ σιμο</t>
  </si>
  <si>
    <t>219-173κ</t>
  </si>
  <si>
    <t>γεωργαληςΣιμος</t>
  </si>
  <si>
    <t>ΛΙΜΕΝΑΣ</t>
  </si>
  <si>
    <t>ΙΔΕ 219-γ1α θέση 219-173</t>
  </si>
  <si>
    <t>8753κ</t>
  </si>
  <si>
    <t xml:space="preserve"> Παναγία -''σαλιάρα'' 37,747στρ -3έτη</t>
  </si>
  <si>
    <t>δνσηΛατ = 2714-4/7/1988</t>
  </si>
  <si>
    <t xml:space="preserve"> Παναγία -''σαλιάρα''  37,747στρ -3έτη</t>
  </si>
  <si>
    <t>μίσθωσις νταμάρι  Παναγία -''σαλιάρα'' 37,747στρ 3έτη [1000/έτος/στρ</t>
  </si>
  <si>
    <t>219-170 = μαδεμλήςΚωνσταντινος</t>
  </si>
  <si>
    <t>πολλαπλή 111</t>
  </si>
  <si>
    <t>πολλαπλή 112</t>
  </si>
  <si>
    <t>πολλαπλή 113</t>
  </si>
  <si>
    <t>πολλαπλή 114</t>
  </si>
  <si>
    <t>πολλαπλή 115</t>
  </si>
  <si>
    <t>πολλαπλή 116</t>
  </si>
  <si>
    <t>πολλαπλή 117</t>
  </si>
  <si>
    <t>πολλαπλή 118</t>
  </si>
  <si>
    <t>πολλαπλή 119</t>
  </si>
  <si>
    <t>πολλαπλή 120</t>
  </si>
  <si>
    <t>πολλαπλή 121</t>
  </si>
  <si>
    <t>πολλαπλή 122</t>
  </si>
  <si>
    <t>πολλαπλή 123</t>
  </si>
  <si>
    <t>πολλαπλή 124</t>
  </si>
  <si>
    <t>πολλαπλή 125</t>
  </si>
  <si>
    <t>πολλαπλή 1</t>
  </si>
  <si>
    <t>πολλαπλή 2</t>
  </si>
  <si>
    <t>πολλαπλή 3</t>
  </si>
  <si>
    <t>πολλαπλή 4</t>
  </si>
  <si>
    <t>πολλαπλή 5</t>
  </si>
  <si>
    <t>πολλαπλή 6</t>
  </si>
  <si>
    <t>πολλαπλή 7</t>
  </si>
  <si>
    <t>πολλαπλή 8</t>
  </si>
  <si>
    <t>πολλαπλή 9</t>
  </si>
  <si>
    <t>μίσθωσης νταμάρι 12.428κ  ΠΑΡΑΤΑΣΗ 3έτη</t>
  </si>
  <si>
    <t>μίσθωσης μαρμαρο-λατομείου 12.428κ  ΠΑΡΑΤΑΣΗ 15 έτη</t>
  </si>
  <si>
    <t>219-23κ</t>
  </si>
  <si>
    <t>πολλαπλή 10</t>
  </si>
  <si>
    <t>πολλαπλή 11</t>
  </si>
  <si>
    <t>πολλαπλή 12</t>
  </si>
  <si>
    <t>πολλαπλή 13</t>
  </si>
  <si>
    <t>μίσθωσης νταμαριού 5.125μωυσιαδου 59.130,75μ2   ΠΑΡΑΤΑΣΗ 3 έτη</t>
  </si>
  <si>
    <t>πολλαπλή 14</t>
  </si>
  <si>
    <t>πολλαπλή 15</t>
  </si>
  <si>
    <t>πολλαπλή 16</t>
  </si>
  <si>
    <t>πολλαπλή 17</t>
  </si>
  <si>
    <t>πολλαπλή 18</t>
  </si>
  <si>
    <t>πολλαπλή 19</t>
  </si>
  <si>
    <t>πολλαπλή 20</t>
  </si>
  <si>
    <t>μίσθωσης μαρμαρο-λατομείου 12.428κ αγοραπωλησίας δικαιωματων ΠΡΟΣΥΜΦΩΝΟ τίμημα = αρραβών =</t>
  </si>
  <si>
    <t>πολλαπλή 21</t>
  </si>
  <si>
    <t>πολλαπλή 22</t>
  </si>
  <si>
    <t>πολλαπλή 23</t>
  </si>
  <si>
    <t>πολλαπλή 24</t>
  </si>
  <si>
    <t>πολλαπλή 25</t>
  </si>
  <si>
    <t>πολλαπλή 26</t>
  </si>
  <si>
    <t>πολλαπλή 27</t>
  </si>
  <si>
    <t>πολλαπλή 28</t>
  </si>
  <si>
    <t>πολλαπλή 29</t>
  </si>
  <si>
    <t>μίσθωσης μαρμαρο-λατομείου 12.428κ  αγοραπωλησίας δικαιωματων προσυμφώνου 14.943 ΛΥΣΗ τίμημα = αρραβών =</t>
  </si>
  <si>
    <t>μίσθωσις νταμάρι  Παναγία -''….'' 28.370μ2 3έτη [1000/έτος/στρ</t>
  </si>
  <si>
    <t xml:space="preserve">μίσθωσις νταμάρι  ….κ Παναγία -''….'' 28.370μ2 ΠΑΡΑΤΑΣΗ 3έτη </t>
  </si>
  <si>
    <t>μίσθωσης νταμάρι …. &amp; …. Παναγία -''…???'' 28.370μ2 ΠΑΡΑΤΑΣΗ 3έτη</t>
  </si>
  <si>
    <t>μίσθωσης νταμάρι …. &amp; …. &amp; ... Παναγία -''…???'' 28.370μ2 ΠΑΡΑΤΑΣΗ 3έτη</t>
  </si>
  <si>
    <t>μίσθωσης νταμάρι …. &amp; …. &amp; ...  &amp; … Παναγία -''…???'' 28.370μ2 ΠΑΡΑΤΑΣΗ 3έτη</t>
  </si>
  <si>
    <t>μίσθωσης νταμάρι …. &amp; …. &amp; ...  &amp; … &amp; ….  Παναγία -''…???'' 28.370μ2 ΠΑΡΑΤΑΣΗ 15έτη</t>
  </si>
  <si>
    <t>μίσθωσης νταμάρι …. &amp; …. &amp; ...  &amp; … &amp; … &amp; ....  Παναγία -''…???'' 28.370μ2 ΠΑΡΑΤΑΣΗ 10έτη</t>
  </si>
  <si>
    <t>μίσθωσης νταμάρι …. &amp; …. &amp; ...  &amp; … &amp; … &amp; ….. &amp; ….  Παναγία -''…???'' 28.370μ2 ΠΑΡΑΤΑΣΗ 30έτη {προσθετικά στα πρώην 10</t>
  </si>
  <si>
    <t>μίσθωση μαρμαροΛατομείου ….. , 41.039μ2 Λιμένας -'';;;???'' ΠΑΡΑΤΑΣΗ 3έτη</t>
  </si>
  <si>
    <t>μίσθωση μαρμαροΛατομείου ….. &amp; …. , 41.039μ2 Λιμένας -'';;;???'' ΠΑΡΑΤΑΣΗ 14έτη</t>
  </si>
  <si>
    <t>ΑΕ σύστασης 17.777 ΣΥΜΠΛΗΡΩΣΗ {…………………...} ,{= 7πολλαπλές</t>
  </si>
  <si>
    <t>ΑΕ σύστασης 17.777 ΣΥΜΠΛΗΡΩΣΗ {……………... = 6 πολλαπλές</t>
  </si>
  <si>
    <t>27.556καπ μίσθωση ΣΥΜΠΛΗΡΩΣΗ [περί ……….] ,[= 3 πολλαπλές</t>
  </si>
  <si>
    <t>πολλαπλή 201</t>
  </si>
  <si>
    <t>πολλαπλή 202</t>
  </si>
  <si>
    <t>πολλαπλή 301</t>
  </si>
  <si>
    <t>πολλαπλή 302</t>
  </si>
  <si>
    <t>μίσθωσης 27.556καπολα  -''3γκρεμοί'' 34,31στρ ΠΑΡΑΤΑΣΗ 3έτη</t>
  </si>
  <si>
    <t>μίσθωσης 18.312 στογιου ΣΥΜΠΛΗΡΩΣΗ</t>
  </si>
  <si>
    <t>πολλαπλή 102</t>
  </si>
  <si>
    <t>πολλαπλή 103</t>
  </si>
  <si>
    <t>πολλαπλή 104</t>
  </si>
  <si>
    <t>πολλαπλή 105</t>
  </si>
  <si>
    <t>πολλαπλή 106</t>
  </si>
  <si>
    <t>πολλαπλή 107</t>
  </si>
  <si>
    <t>πολλαπλή 108</t>
  </si>
  <si>
    <t>πολλαπλή 109</t>
  </si>
  <si>
    <t>πολλαπλή 110</t>
  </si>
  <si>
    <t>πολλαπλή 101</t>
  </si>
  <si>
    <t>πολλαπλή 203</t>
  </si>
  <si>
    <t>πολλαπλή 204</t>
  </si>
  <si>
    <t>πολλαπλή 205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</si>
</sst>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32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8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0000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0"/>
      <color rgb="FFFF0000"/>
      <name val="Arial"/>
      <family val="2"/>
      <charset val="161"/>
    </font>
    <font>
      <b/>
      <sz val="8"/>
      <color rgb="FFFF0000"/>
      <name val="Arial"/>
      <family val="2"/>
      <charset val="161"/>
    </font>
    <font>
      <sz val="16"/>
      <name val="Arial"/>
      <family val="2"/>
      <charset val="161"/>
    </font>
    <font>
      <b/>
      <sz val="12"/>
      <color rgb="FFFF0000"/>
      <name val="Arial"/>
      <family val="2"/>
      <charset val="161"/>
    </font>
    <font>
      <sz val="22"/>
      <color theme="1"/>
      <name val="Arial"/>
      <family val="2"/>
      <charset val="161"/>
    </font>
    <font>
      <sz val="8"/>
      <color indexed="8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sz val="9"/>
      <color theme="1"/>
      <name val="Arial"/>
      <family val="2"/>
      <charset val="161"/>
    </font>
    <font>
      <sz val="9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8"/>
      <color rgb="FF0070C0"/>
      <name val="Arial"/>
      <family val="2"/>
      <charset val="161"/>
    </font>
    <font>
      <b/>
      <sz val="8"/>
      <color rgb="FF0070C0"/>
      <name val="Arial"/>
      <family val="2"/>
      <charset val="161"/>
    </font>
    <font>
      <u val="singleAccounting"/>
      <sz val="8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u/>
      <sz val="8"/>
      <name val="Arial"/>
      <family val="2"/>
      <charset val="161"/>
    </font>
    <font>
      <b/>
      <sz val="8"/>
      <name val="Arial"/>
      <family val="2"/>
      <charset val="161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FF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</cellStyleXfs>
  <cellXfs count="1378">
    <xf numFmtId="0" fontId="0" fillId="0" borderId="0" xfId="0"/>
    <xf numFmtId="0" fontId="3" fillId="0" borderId="0" xfId="0" applyFont="1"/>
    <xf numFmtId="0" fontId="7" fillId="0" borderId="6" xfId="0" applyFont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164" fontId="8" fillId="0" borderId="5" xfId="1" applyNumberFormat="1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43" fontId="8" fillId="0" borderId="1" xfId="1" applyFont="1" applyFill="1" applyBorder="1" applyAlignment="1">
      <alignment horizontal="right" vertical="center"/>
    </xf>
    <xf numFmtId="43" fontId="9" fillId="0" borderId="1" xfId="1" applyFont="1" applyFill="1" applyBorder="1" applyAlignment="1">
      <alignment horizontal="center"/>
    </xf>
    <xf numFmtId="43" fontId="9" fillId="0" borderId="1" xfId="1" applyFont="1" applyFill="1" applyBorder="1"/>
    <xf numFmtId="43" fontId="9" fillId="0" borderId="7" xfId="1" applyFont="1" applyFill="1" applyBorder="1" applyAlignment="1">
      <alignment horizontal="center"/>
    </xf>
    <xf numFmtId="0" fontId="9" fillId="0" borderId="0" xfId="0" applyFont="1" applyFill="1"/>
    <xf numFmtId="43" fontId="8" fillId="0" borderId="7" xfId="1" applyFont="1" applyFill="1" applyBorder="1" applyAlignment="1">
      <alignment horizontal="right" vertical="center"/>
    </xf>
    <xf numFmtId="43" fontId="9" fillId="0" borderId="7" xfId="1" applyFont="1" applyFill="1" applyBorder="1"/>
    <xf numFmtId="43" fontId="6" fillId="0" borderId="1" xfId="1" applyFont="1" applyBorder="1"/>
    <xf numFmtId="0" fontId="9" fillId="0" borderId="0" xfId="0" applyFont="1"/>
    <xf numFmtId="43" fontId="9" fillId="0" borderId="0" xfId="1" applyFont="1"/>
    <xf numFmtId="0" fontId="11" fillId="0" borderId="0" xfId="0" applyFont="1" applyFill="1" applyAlignment="1"/>
    <xf numFmtId="164" fontId="8" fillId="0" borderId="1" xfId="1" applyNumberFormat="1" applyFont="1" applyFill="1" applyBorder="1" applyAlignment="1">
      <alignment horizontal="center" vertical="center"/>
    </xf>
    <xf numFmtId="14" fontId="8" fillId="0" borderId="1" xfId="1" applyNumberFormat="1" applyFont="1" applyFill="1" applyBorder="1" applyAlignment="1">
      <alignment horizontal="center" vertical="center"/>
    </xf>
    <xf numFmtId="43" fontId="9" fillId="4" borderId="1" xfId="1" applyFont="1" applyFill="1" applyBorder="1" applyAlignment="1">
      <alignment horizontal="center"/>
    </xf>
    <xf numFmtId="43" fontId="9" fillId="8" borderId="7" xfId="1" applyFont="1" applyFill="1" applyBorder="1" applyAlignment="1">
      <alignment horizontal="center"/>
    </xf>
    <xf numFmtId="43" fontId="8" fillId="0" borderId="1" xfId="1" applyFont="1" applyBorder="1" applyAlignment="1">
      <alignment horizontal="right" vertical="center"/>
    </xf>
    <xf numFmtId="43" fontId="8" fillId="0" borderId="10" xfId="1" applyFont="1" applyFill="1" applyBorder="1" applyAlignment="1">
      <alignment horizontal="right" vertical="center"/>
    </xf>
    <xf numFmtId="43" fontId="8" fillId="0" borderId="11" xfId="1" applyFont="1" applyFill="1" applyBorder="1" applyAlignment="1">
      <alignment horizontal="right" vertical="center"/>
    </xf>
    <xf numFmtId="43" fontId="9" fillId="0" borderId="11" xfId="1" applyFont="1" applyFill="1" applyBorder="1" applyAlignment="1">
      <alignment horizontal="center"/>
    </xf>
    <xf numFmtId="43" fontId="9" fillId="0" borderId="10" xfId="1" applyFont="1" applyFill="1" applyBorder="1"/>
    <xf numFmtId="14" fontId="8" fillId="0" borderId="6" xfId="1" applyNumberFormat="1" applyFont="1" applyFill="1" applyBorder="1" applyAlignment="1">
      <alignment horizontal="center" vertical="center"/>
    </xf>
    <xf numFmtId="43" fontId="8" fillId="0" borderId="6" xfId="1" applyFont="1" applyFill="1" applyBorder="1" applyAlignment="1">
      <alignment horizontal="right" vertical="center"/>
    </xf>
    <xf numFmtId="43" fontId="9" fillId="0" borderId="6" xfId="1" applyFont="1" applyFill="1" applyBorder="1" applyAlignment="1">
      <alignment horizontal="center"/>
    </xf>
    <xf numFmtId="43" fontId="9" fillId="0" borderId="6" xfId="1" applyFont="1" applyFill="1" applyBorder="1"/>
    <xf numFmtId="0" fontId="9" fillId="0" borderId="6" xfId="0" applyFont="1" applyFill="1" applyBorder="1" applyAlignment="1">
      <alignment horizontal="center" wrapText="1"/>
    </xf>
    <xf numFmtId="43" fontId="9" fillId="8" borderId="6" xfId="1" applyFont="1" applyFill="1" applyBorder="1" applyAlignment="1">
      <alignment horizontal="center"/>
    </xf>
    <xf numFmtId="0" fontId="3" fillId="0" borderId="7" xfId="0" applyFont="1" applyFill="1" applyBorder="1" applyAlignment="1">
      <alignment horizontal="left" wrapText="1"/>
    </xf>
    <xf numFmtId="14" fontId="8" fillId="0" borderId="16" xfId="0" applyNumberFormat="1" applyFont="1" applyFill="1" applyBorder="1" applyAlignment="1">
      <alignment horizontal="center" vertical="center"/>
    </xf>
    <xf numFmtId="164" fontId="8" fillId="0" borderId="19" xfId="1" applyNumberFormat="1" applyFont="1" applyFill="1" applyBorder="1" applyAlignment="1">
      <alignment horizontal="center" vertical="center"/>
    </xf>
    <xf numFmtId="43" fontId="9" fillId="0" borderId="10" xfId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43" fontId="9" fillId="4" borderId="7" xfId="1" applyFont="1" applyFill="1" applyBorder="1" applyAlignment="1">
      <alignment horizontal="center"/>
    </xf>
    <xf numFmtId="43" fontId="14" fillId="8" borderId="1" xfId="1" applyFont="1" applyFill="1" applyBorder="1" applyAlignment="1">
      <alignment horizontal="center" vertical="center"/>
    </xf>
    <xf numFmtId="164" fontId="3" fillId="0" borderId="0" xfId="1" applyNumberFormat="1" applyFont="1"/>
    <xf numFmtId="43" fontId="3" fillId="0" borderId="0" xfId="1" applyFont="1"/>
    <xf numFmtId="43" fontId="3" fillId="0" borderId="0" xfId="0" applyNumberFormat="1" applyFont="1"/>
    <xf numFmtId="164" fontId="9" fillId="0" borderId="7" xfId="1" applyNumberFormat="1" applyFont="1" applyFill="1" applyBorder="1"/>
    <xf numFmtId="164" fontId="9" fillId="0" borderId="6" xfId="1" applyNumberFormat="1" applyFont="1" applyFill="1" applyBorder="1"/>
    <xf numFmtId="43" fontId="9" fillId="0" borderId="12" xfId="1" applyFont="1" applyFill="1" applyBorder="1" applyAlignment="1">
      <alignment horizontal="center"/>
    </xf>
    <xf numFmtId="43" fontId="9" fillId="0" borderId="12" xfId="1" applyFont="1" applyFill="1" applyBorder="1"/>
    <xf numFmtId="14" fontId="8" fillId="0" borderId="23" xfId="0" applyNumberFormat="1" applyFont="1" applyFill="1" applyBorder="1" applyAlignment="1">
      <alignment horizontal="center" vertical="center"/>
    </xf>
    <xf numFmtId="43" fontId="8" fillId="0" borderId="24" xfId="1" applyFont="1" applyFill="1" applyBorder="1" applyAlignment="1">
      <alignment horizontal="right" vertical="center"/>
    </xf>
    <xf numFmtId="43" fontId="9" fillId="0" borderId="24" xfId="1" applyFont="1" applyFill="1" applyBorder="1"/>
    <xf numFmtId="43" fontId="9" fillId="8" borderId="24" xfId="1" applyFont="1" applyFill="1" applyBorder="1" applyAlignment="1">
      <alignment horizontal="center"/>
    </xf>
    <xf numFmtId="43" fontId="9" fillId="4" borderId="12" xfId="1" applyFont="1" applyFill="1" applyBorder="1" applyAlignment="1">
      <alignment horizontal="center"/>
    </xf>
    <xf numFmtId="43" fontId="9" fillId="8" borderId="24" xfId="1" applyFont="1" applyFill="1" applyBorder="1"/>
    <xf numFmtId="0" fontId="9" fillId="0" borderId="0" xfId="0" applyFont="1" applyFill="1" applyAlignment="1"/>
    <xf numFmtId="164" fontId="8" fillId="8" borderId="23" xfId="1" applyNumberFormat="1" applyFont="1" applyFill="1" applyBorder="1" applyAlignment="1">
      <alignment horizontal="center" vertical="center"/>
    </xf>
    <xf numFmtId="14" fontId="8" fillId="8" borderId="23" xfId="0" applyNumberFormat="1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left" wrapText="1"/>
    </xf>
    <xf numFmtId="43" fontId="8" fillId="8" borderId="24" xfId="1" applyFont="1" applyFill="1" applyBorder="1" applyAlignment="1">
      <alignment horizontal="right" vertical="center"/>
    </xf>
    <xf numFmtId="43" fontId="8" fillId="0" borderId="0" xfId="1" applyFont="1" applyFill="1" applyBorder="1" applyAlignment="1">
      <alignment horizontal="right" vertical="center"/>
    </xf>
    <xf numFmtId="43" fontId="9" fillId="0" borderId="0" xfId="1" applyFont="1" applyFill="1" applyBorder="1"/>
    <xf numFmtId="43" fontId="9" fillId="0" borderId="0" xfId="1" applyFont="1" applyFill="1" applyBorder="1" applyAlignment="1">
      <alignment horizontal="center"/>
    </xf>
    <xf numFmtId="43" fontId="8" fillId="0" borderId="20" xfId="1" applyFont="1" applyFill="1" applyBorder="1" applyAlignment="1">
      <alignment horizontal="right" vertical="center"/>
    </xf>
    <xf numFmtId="0" fontId="3" fillId="0" borderId="20" xfId="0" applyFont="1" applyFill="1" applyBorder="1" applyAlignment="1">
      <alignment horizontal="left" wrapText="1"/>
    </xf>
    <xf numFmtId="43" fontId="9" fillId="0" borderId="20" xfId="1" applyFont="1" applyFill="1" applyBorder="1"/>
    <xf numFmtId="43" fontId="9" fillId="0" borderId="20" xfId="1" applyFont="1" applyFill="1" applyBorder="1" applyAlignment="1">
      <alignment horizontal="center"/>
    </xf>
    <xf numFmtId="164" fontId="8" fillId="0" borderId="0" xfId="1" applyNumberFormat="1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9" fillId="0" borderId="0" xfId="0" applyFont="1" applyFill="1" applyBorder="1"/>
    <xf numFmtId="164" fontId="8" fillId="0" borderId="20" xfId="1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wrapText="1"/>
    </xf>
    <xf numFmtId="43" fontId="8" fillId="4" borderId="1" xfId="1" applyFont="1" applyFill="1" applyBorder="1" applyAlignment="1">
      <alignment horizontal="right" vertical="center"/>
    </xf>
    <xf numFmtId="43" fontId="9" fillId="8" borderId="10" xfId="1" applyFont="1" applyFill="1" applyBorder="1" applyAlignment="1">
      <alignment horizontal="center"/>
    </xf>
    <xf numFmtId="14" fontId="8" fillId="0" borderId="18" xfId="0" applyNumberFormat="1" applyFont="1" applyFill="1" applyBorder="1" applyAlignment="1">
      <alignment horizontal="center" vertical="center"/>
    </xf>
    <xf numFmtId="43" fontId="4" fillId="0" borderId="7" xfId="1" applyFont="1" applyFill="1" applyBorder="1" applyAlignment="1">
      <alignment horizontal="left" wrapText="1"/>
    </xf>
    <xf numFmtId="43" fontId="4" fillId="0" borderId="7" xfId="1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wrapText="1"/>
    </xf>
    <xf numFmtId="0" fontId="11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9" fillId="0" borderId="0" xfId="0" applyFont="1" applyFill="1" applyAlignment="1">
      <alignment wrapText="1"/>
    </xf>
    <xf numFmtId="43" fontId="9" fillId="8" borderId="1" xfId="1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43" fontId="9" fillId="0" borderId="24" xfId="1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43" fontId="8" fillId="0" borderId="38" xfId="1" applyFont="1" applyFill="1" applyBorder="1" applyAlignment="1">
      <alignment horizontal="right" vertical="center"/>
    </xf>
    <xf numFmtId="43" fontId="9" fillId="0" borderId="38" xfId="1" applyFont="1" applyFill="1" applyBorder="1" applyAlignment="1">
      <alignment horizontal="center"/>
    </xf>
    <xf numFmtId="164" fontId="14" fillId="0" borderId="0" xfId="1" applyNumberFormat="1" applyFont="1" applyFill="1" applyBorder="1" applyAlignment="1">
      <alignment horizontal="center" vertical="center"/>
    </xf>
    <xf numFmtId="43" fontId="8" fillId="4" borderId="6" xfId="1" applyFont="1" applyFill="1" applyBorder="1" applyAlignment="1">
      <alignment horizontal="right" vertical="center"/>
    </xf>
    <xf numFmtId="14" fontId="14" fillId="0" borderId="1" xfId="1" applyNumberFormat="1" applyFont="1" applyFill="1" applyBorder="1" applyAlignment="1">
      <alignment horizontal="center" vertical="center"/>
    </xf>
    <xf numFmtId="14" fontId="14" fillId="0" borderId="5" xfId="0" applyNumberFormat="1" applyFont="1" applyFill="1" applyBorder="1" applyAlignment="1">
      <alignment horizontal="center" vertical="center"/>
    </xf>
    <xf numFmtId="43" fontId="8" fillId="0" borderId="7" xfId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3" fontId="14" fillId="4" borderId="1" xfId="1" applyFont="1" applyFill="1" applyBorder="1" applyAlignment="1">
      <alignment horizontal="center" vertical="center"/>
    </xf>
    <xf numFmtId="14" fontId="14" fillId="0" borderId="2" xfId="0" applyNumberFormat="1" applyFont="1" applyFill="1" applyBorder="1" applyAlignment="1">
      <alignment vertical="center"/>
    </xf>
    <xf numFmtId="0" fontId="3" fillId="0" borderId="12" xfId="0" applyFont="1" applyFill="1" applyBorder="1" applyAlignment="1">
      <alignment horizontal="left" wrapText="1"/>
    </xf>
    <xf numFmtId="164" fontId="8" fillId="0" borderId="18" xfId="1" applyNumberFormat="1" applyFont="1" applyFill="1" applyBorder="1" applyAlignment="1">
      <alignment horizontal="center" vertical="center"/>
    </xf>
    <xf numFmtId="43" fontId="14" fillId="4" borderId="12" xfId="1" applyFont="1" applyFill="1" applyBorder="1" applyAlignment="1">
      <alignment horizontal="center" vertical="center"/>
    </xf>
    <xf numFmtId="0" fontId="3" fillId="0" borderId="0" xfId="0" applyFont="1" applyFill="1"/>
    <xf numFmtId="14" fontId="4" fillId="0" borderId="12" xfId="1" applyNumberFormat="1" applyFont="1" applyFill="1" applyBorder="1" applyAlignment="1">
      <alignment vertical="center"/>
    </xf>
    <xf numFmtId="0" fontId="3" fillId="0" borderId="0" xfId="0" applyFont="1" applyFill="1" applyBorder="1"/>
    <xf numFmtId="0" fontId="15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164" fontId="9" fillId="0" borderId="24" xfId="1" applyNumberFormat="1" applyFont="1" applyFill="1" applyBorder="1" applyAlignment="1">
      <alignment horizontal="center"/>
    </xf>
    <xf numFmtId="164" fontId="9" fillId="0" borderId="24" xfId="1" applyNumberFormat="1" applyFont="1" applyFill="1" applyBorder="1"/>
    <xf numFmtId="164" fontId="9" fillId="0" borderId="1" xfId="1" applyNumberFormat="1" applyFont="1" applyFill="1" applyBorder="1"/>
    <xf numFmtId="0" fontId="3" fillId="0" borderId="12" xfId="0" applyFont="1" applyFill="1" applyBorder="1" applyAlignment="1">
      <alignment horizontal="left" wrapText="1"/>
    </xf>
    <xf numFmtId="43" fontId="4" fillId="0" borderId="11" xfId="1" applyFont="1" applyFill="1" applyBorder="1" applyAlignment="1">
      <alignment horizontal="left" wrapText="1"/>
    </xf>
    <xf numFmtId="43" fontId="9" fillId="12" borderId="24" xfId="1" applyFont="1" applyFill="1" applyBorder="1" applyAlignment="1">
      <alignment horizontal="center"/>
    </xf>
    <xf numFmtId="43" fontId="9" fillId="12" borderId="7" xfId="1" applyFont="1" applyFill="1" applyBorder="1" applyAlignment="1">
      <alignment horizontal="center"/>
    </xf>
    <xf numFmtId="43" fontId="9" fillId="12" borderId="6" xfId="1" applyFont="1" applyFill="1" applyBorder="1" applyAlignment="1">
      <alignment horizontal="center"/>
    </xf>
    <xf numFmtId="164" fontId="9" fillId="0" borderId="7" xfId="1" applyNumberFormat="1" applyFont="1" applyFill="1" applyBorder="1" applyAlignment="1">
      <alignment horizontal="center"/>
    </xf>
    <xf numFmtId="164" fontId="9" fillId="0" borderId="6" xfId="1" applyNumberFormat="1" applyFont="1" applyFill="1" applyBorder="1" applyAlignment="1">
      <alignment horizontal="center"/>
    </xf>
    <xf numFmtId="43" fontId="9" fillId="0" borderId="10" xfId="1" applyFont="1" applyFill="1" applyBorder="1" applyAlignment="1">
      <alignment horizontal="center"/>
    </xf>
    <xf numFmtId="43" fontId="9" fillId="0" borderId="7" xfId="1" applyFont="1" applyFill="1" applyBorder="1" applyAlignment="1">
      <alignment horizontal="center"/>
    </xf>
    <xf numFmtId="43" fontId="9" fillId="8" borderId="13" xfId="1" applyFont="1" applyFill="1" applyBorder="1"/>
    <xf numFmtId="164" fontId="9" fillId="0" borderId="42" xfId="1" applyNumberFormat="1" applyFont="1" applyFill="1" applyBorder="1"/>
    <xf numFmtId="43" fontId="9" fillId="4" borderId="11" xfId="1" applyFont="1" applyFill="1" applyBorder="1" applyAlignment="1">
      <alignment horizontal="center"/>
    </xf>
    <xf numFmtId="164" fontId="9" fillId="12" borderId="1" xfId="1" applyNumberFormat="1" applyFont="1" applyFill="1" applyBorder="1"/>
    <xf numFmtId="164" fontId="9" fillId="0" borderId="12" xfId="1" applyNumberFormat="1" applyFont="1" applyFill="1" applyBorder="1"/>
    <xf numFmtId="164" fontId="9" fillId="0" borderId="38" xfId="1" applyNumberFormat="1" applyFont="1" applyFill="1" applyBorder="1" applyAlignment="1">
      <alignment horizontal="center"/>
    </xf>
    <xf numFmtId="43" fontId="8" fillId="4" borderId="7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wrapText="1"/>
    </xf>
    <xf numFmtId="0" fontId="9" fillId="0" borderId="0" xfId="0" applyFont="1" applyAlignment="1"/>
    <xf numFmtId="0" fontId="9" fillId="0" borderId="0" xfId="0" applyFont="1" applyFill="1" applyBorder="1" applyAlignment="1">
      <alignment wrapText="1"/>
    </xf>
    <xf numFmtId="43" fontId="4" fillId="0" borderId="0" xfId="1" applyFont="1" applyFill="1" applyBorder="1" applyAlignment="1">
      <alignment wrapText="1"/>
    </xf>
    <xf numFmtId="0" fontId="9" fillId="12" borderId="0" xfId="0" applyFont="1" applyFill="1"/>
    <xf numFmtId="0" fontId="3" fillId="12" borderId="0" xfId="0" applyFont="1" applyFill="1" applyAlignment="1">
      <alignment horizontal="left" wrapText="1"/>
    </xf>
    <xf numFmtId="0" fontId="3" fillId="12" borderId="0" xfId="0" applyFont="1" applyFill="1" applyAlignment="1">
      <alignment wrapText="1"/>
    </xf>
    <xf numFmtId="0" fontId="3" fillId="12" borderId="0" xfId="0" applyFont="1" applyFill="1"/>
    <xf numFmtId="43" fontId="9" fillId="12" borderId="0" xfId="1" applyFont="1" applyFill="1"/>
    <xf numFmtId="43" fontId="9" fillId="12" borderId="0" xfId="1" applyFont="1" applyFill="1" applyBorder="1"/>
    <xf numFmtId="0" fontId="3" fillId="12" borderId="0" xfId="0" applyFont="1" applyFill="1" applyBorder="1" applyAlignment="1">
      <alignment wrapText="1"/>
    </xf>
    <xf numFmtId="164" fontId="8" fillId="12" borderId="0" xfId="1" applyNumberFormat="1" applyFont="1" applyFill="1" applyBorder="1" applyAlignment="1">
      <alignment horizontal="center" vertical="center"/>
    </xf>
    <xf numFmtId="14" fontId="8" fillId="12" borderId="0" xfId="0" applyNumberFormat="1" applyFont="1" applyFill="1" applyBorder="1" applyAlignment="1">
      <alignment horizontal="center" vertical="center"/>
    </xf>
    <xf numFmtId="0" fontId="3" fillId="12" borderId="0" xfId="0" applyFont="1" applyFill="1" applyBorder="1" applyAlignment="1">
      <alignment horizontal="left" wrapText="1"/>
    </xf>
    <xf numFmtId="43" fontId="8" fillId="12" borderId="0" xfId="1" applyFont="1" applyFill="1" applyBorder="1" applyAlignment="1">
      <alignment horizontal="right" vertical="center"/>
    </xf>
    <xf numFmtId="43" fontId="9" fillId="12" borderId="0" xfId="1" applyFont="1" applyFill="1" applyBorder="1" applyAlignment="1">
      <alignment horizontal="center"/>
    </xf>
    <xf numFmtId="0" fontId="9" fillId="12" borderId="0" xfId="0" applyFont="1" applyFill="1" applyBorder="1"/>
    <xf numFmtId="0" fontId="3" fillId="12" borderId="0" xfId="0" applyFont="1" applyFill="1" applyBorder="1"/>
    <xf numFmtId="43" fontId="3" fillId="12" borderId="0" xfId="0" applyNumberFormat="1" applyFont="1" applyFill="1" applyBorder="1" applyAlignment="1">
      <alignment horizontal="left" wrapText="1"/>
    </xf>
    <xf numFmtId="164" fontId="9" fillId="0" borderId="0" xfId="0" applyNumberFormat="1" applyFont="1" applyFill="1" applyBorder="1"/>
    <xf numFmtId="164" fontId="9" fillId="12" borderId="0" xfId="0" applyNumberFormat="1" applyFont="1" applyFill="1" applyBorder="1"/>
    <xf numFmtId="43" fontId="10" fillId="0" borderId="0" xfId="1" applyFont="1" applyFill="1" applyBorder="1" applyAlignment="1"/>
    <xf numFmtId="0" fontId="4" fillId="0" borderId="1" xfId="0" applyFont="1" applyFill="1" applyBorder="1"/>
    <xf numFmtId="164" fontId="9" fillId="0" borderId="0" xfId="1" applyNumberFormat="1" applyFont="1" applyFill="1" applyBorder="1"/>
    <xf numFmtId="164" fontId="9" fillId="0" borderId="20" xfId="1" applyNumberFormat="1" applyFont="1" applyFill="1" applyBorder="1"/>
    <xf numFmtId="164" fontId="9" fillId="8" borderId="7" xfId="1" applyNumberFormat="1" applyFont="1" applyFill="1" applyBorder="1"/>
    <xf numFmtId="164" fontId="9" fillId="8" borderId="1" xfId="1" applyNumberFormat="1" applyFont="1" applyFill="1" applyBorder="1"/>
    <xf numFmtId="164" fontId="9" fillId="12" borderId="0" xfId="1" applyNumberFormat="1" applyFont="1" applyFill="1" applyBorder="1"/>
    <xf numFmtId="164" fontId="9" fillId="0" borderId="12" xfId="1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4" fontId="9" fillId="8" borderId="24" xfId="1" applyNumberFormat="1" applyFont="1" applyFill="1" applyBorder="1"/>
    <xf numFmtId="164" fontId="9" fillId="0" borderId="11" xfId="1" applyNumberFormat="1" applyFont="1" applyFill="1" applyBorder="1" applyAlignment="1">
      <alignment horizontal="center"/>
    </xf>
    <xf numFmtId="164" fontId="9" fillId="0" borderId="0" xfId="1" applyNumberFormat="1" applyFont="1" applyFill="1" applyBorder="1" applyAlignment="1">
      <alignment horizontal="center"/>
    </xf>
    <xf numFmtId="164" fontId="8" fillId="0" borderId="7" xfId="1" applyNumberFormat="1" applyFont="1" applyFill="1" applyBorder="1" applyAlignment="1">
      <alignment horizontal="center"/>
    </xf>
    <xf numFmtId="164" fontId="8" fillId="0" borderId="6" xfId="1" applyNumberFormat="1" applyFont="1" applyFill="1" applyBorder="1" applyAlignment="1">
      <alignment horizontal="center"/>
    </xf>
    <xf numFmtId="164" fontId="6" fillId="0" borderId="1" xfId="1" applyNumberFormat="1" applyFont="1" applyBorder="1"/>
    <xf numFmtId="164" fontId="9" fillId="0" borderId="0" xfId="1" applyNumberFormat="1" applyFont="1"/>
    <xf numFmtId="164" fontId="9" fillId="12" borderId="0" xfId="1" applyNumberFormat="1" applyFont="1" applyFill="1"/>
    <xf numFmtId="164" fontId="0" fillId="0" borderId="0" xfId="1" applyNumberFormat="1" applyFont="1"/>
    <xf numFmtId="164" fontId="9" fillId="8" borderId="6" xfId="1" applyNumberFormat="1" applyFont="1" applyFill="1" applyBorder="1"/>
    <xf numFmtId="164" fontId="9" fillId="0" borderId="20" xfId="1" applyNumberFormat="1" applyFont="1" applyFill="1" applyBorder="1" applyAlignment="1">
      <alignment horizontal="center"/>
    </xf>
    <xf numFmtId="164" fontId="9" fillId="12" borderId="0" xfId="1" applyNumberFormat="1" applyFont="1" applyFill="1" applyBorder="1" applyAlignment="1">
      <alignment horizontal="center"/>
    </xf>
    <xf numFmtId="164" fontId="9" fillId="8" borderId="24" xfId="1" applyNumberFormat="1" applyFont="1" applyFill="1" applyBorder="1" applyAlignment="1">
      <alignment horizontal="center"/>
    </xf>
    <xf numFmtId="164" fontId="8" fillId="12" borderId="0" xfId="1" applyNumberFormat="1" applyFont="1" applyFill="1" applyBorder="1" applyAlignment="1">
      <alignment horizontal="right" vertical="center"/>
    </xf>
    <xf numFmtId="164" fontId="9" fillId="4" borderId="12" xfId="1" applyNumberFormat="1" applyFont="1" applyFill="1" applyBorder="1" applyAlignment="1">
      <alignment horizontal="center"/>
    </xf>
    <xf numFmtId="164" fontId="9" fillId="12" borderId="24" xfId="1" applyNumberFormat="1" applyFont="1" applyFill="1" applyBorder="1" applyAlignment="1">
      <alignment horizontal="center"/>
    </xf>
    <xf numFmtId="164" fontId="9" fillId="12" borderId="7" xfId="1" applyNumberFormat="1" applyFont="1" applyFill="1" applyBorder="1" applyAlignment="1">
      <alignment horizontal="center"/>
    </xf>
    <xf numFmtId="164" fontId="9" fillId="12" borderId="6" xfId="1" applyNumberFormat="1" applyFont="1" applyFill="1" applyBorder="1" applyAlignment="1">
      <alignment horizontal="center"/>
    </xf>
    <xf numFmtId="164" fontId="9" fillId="0" borderId="2" xfId="1" applyNumberFormat="1" applyFont="1" applyFill="1" applyBorder="1" applyAlignment="1">
      <alignment horizontal="center"/>
    </xf>
    <xf numFmtId="164" fontId="9" fillId="0" borderId="14" xfId="1" applyNumberFormat="1" applyFont="1" applyFill="1" applyBorder="1" applyAlignment="1">
      <alignment horizontal="center"/>
    </xf>
    <xf numFmtId="164" fontId="9" fillId="0" borderId="28" xfId="1" applyNumberFormat="1" applyFont="1" applyFill="1" applyBorder="1" applyAlignment="1">
      <alignment horizontal="center"/>
    </xf>
    <xf numFmtId="164" fontId="9" fillId="0" borderId="29" xfId="1" applyNumberFormat="1" applyFont="1" applyFill="1" applyBorder="1" applyAlignment="1">
      <alignment horizontal="center"/>
    </xf>
    <xf numFmtId="164" fontId="9" fillId="0" borderId="15" xfId="1" applyNumberFormat="1" applyFont="1" applyFill="1" applyBorder="1" applyAlignment="1">
      <alignment horizontal="center"/>
    </xf>
    <xf numFmtId="164" fontId="9" fillId="8" borderId="33" xfId="1" applyNumberFormat="1" applyFont="1" applyFill="1" applyBorder="1"/>
    <xf numFmtId="164" fontId="9" fillId="0" borderId="36" xfId="1" applyNumberFormat="1" applyFont="1" applyFill="1" applyBorder="1" applyAlignment="1">
      <alignment horizontal="center"/>
    </xf>
    <xf numFmtId="164" fontId="9" fillId="0" borderId="34" xfId="1" applyNumberFormat="1" applyFont="1" applyFill="1" applyBorder="1" applyAlignment="1">
      <alignment horizontal="center"/>
    </xf>
    <xf numFmtId="164" fontId="9" fillId="0" borderId="39" xfId="1" applyNumberFormat="1" applyFont="1" applyFill="1" applyBorder="1" applyAlignment="1">
      <alignment horizontal="center"/>
    </xf>
    <xf numFmtId="164" fontId="8" fillId="0" borderId="14" xfId="1" applyNumberFormat="1" applyFont="1" applyFill="1" applyBorder="1" applyAlignment="1">
      <alignment horizontal="center"/>
    </xf>
    <xf numFmtId="164" fontId="8" fillId="0" borderId="15" xfId="1" applyNumberFormat="1" applyFont="1" applyFill="1" applyBorder="1" applyAlignment="1">
      <alignment horizontal="center"/>
    </xf>
    <xf numFmtId="164" fontId="9" fillId="0" borderId="41" xfId="1" applyNumberFormat="1" applyFont="1" applyFill="1" applyBorder="1" applyAlignment="1">
      <alignment horizontal="center"/>
    </xf>
    <xf numFmtId="43" fontId="9" fillId="12" borderId="1" xfId="1" applyFont="1" applyFill="1" applyBorder="1" applyAlignment="1">
      <alignment horizontal="center"/>
    </xf>
    <xf numFmtId="43" fontId="9" fillId="12" borderId="12" xfId="1" applyFont="1" applyFill="1" applyBorder="1" applyAlignment="1">
      <alignment horizontal="center"/>
    </xf>
    <xf numFmtId="43" fontId="9" fillId="0" borderId="18" xfId="1" applyFont="1" applyFill="1" applyBorder="1"/>
    <xf numFmtId="14" fontId="14" fillId="0" borderId="12" xfId="1" applyNumberFormat="1" applyFont="1" applyFill="1" applyBorder="1" applyAlignment="1">
      <alignment horizontal="center" vertical="center"/>
    </xf>
    <xf numFmtId="43" fontId="9" fillId="0" borderId="5" xfId="1" applyFont="1" applyFill="1" applyBorder="1"/>
    <xf numFmtId="43" fontId="9" fillId="0" borderId="16" xfId="1" applyFont="1" applyFill="1" applyBorder="1"/>
    <xf numFmtId="164" fontId="8" fillId="6" borderId="16" xfId="1" applyNumberFormat="1" applyFont="1" applyFill="1" applyBorder="1" applyAlignment="1">
      <alignment horizontal="center" vertical="center"/>
    </xf>
    <xf numFmtId="43" fontId="9" fillId="0" borderId="26" xfId="1" applyFont="1" applyFill="1" applyBorder="1"/>
    <xf numFmtId="164" fontId="9" fillId="0" borderId="10" xfId="1" applyNumberFormat="1" applyFont="1" applyFill="1" applyBorder="1" applyAlignment="1">
      <alignment horizontal="center"/>
    </xf>
    <xf numFmtId="43" fontId="9" fillId="12" borderId="11" xfId="1" applyFont="1" applyFill="1" applyBorder="1" applyAlignment="1">
      <alignment horizontal="center"/>
    </xf>
    <xf numFmtId="43" fontId="9" fillId="0" borderId="8" xfId="1" applyFont="1" applyFill="1" applyBorder="1"/>
    <xf numFmtId="43" fontId="9" fillId="0" borderId="16" xfId="1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textRotation="71"/>
    </xf>
    <xf numFmtId="164" fontId="10" fillId="0" borderId="0" xfId="1" applyNumberFormat="1" applyFont="1" applyFill="1" applyBorder="1" applyAlignment="1">
      <alignment textRotation="67"/>
    </xf>
    <xf numFmtId="164" fontId="9" fillId="0" borderId="48" xfId="1" applyNumberFormat="1" applyFont="1" applyFill="1" applyBorder="1" applyAlignment="1">
      <alignment horizontal="center"/>
    </xf>
    <xf numFmtId="0" fontId="3" fillId="0" borderId="24" xfId="0" applyFont="1" applyFill="1" applyBorder="1" applyAlignment="1">
      <alignment horizontal="left" wrapText="1"/>
    </xf>
    <xf numFmtId="43" fontId="8" fillId="12" borderId="1" xfId="1" applyFont="1" applyFill="1" applyBorder="1" applyAlignment="1">
      <alignment horizontal="right" vertical="center"/>
    </xf>
    <xf numFmtId="0" fontId="9" fillId="12" borderId="1" xfId="0" applyFont="1" applyFill="1" applyBorder="1" applyAlignment="1">
      <alignment horizontal="center" wrapText="1"/>
    </xf>
    <xf numFmtId="43" fontId="8" fillId="12" borderId="10" xfId="1" applyFont="1" applyFill="1" applyBorder="1" applyAlignment="1">
      <alignment horizontal="right" vertical="center"/>
    </xf>
    <xf numFmtId="43" fontId="14" fillId="12" borderId="1" xfId="1" applyFont="1" applyFill="1" applyBorder="1" applyAlignment="1">
      <alignment horizontal="center" vertical="center"/>
    </xf>
    <xf numFmtId="43" fontId="9" fillId="12" borderId="15" xfId="1" applyFont="1" applyFill="1" applyBorder="1" applyAlignment="1">
      <alignment horizontal="left" wrapText="1"/>
    </xf>
    <xf numFmtId="43" fontId="9" fillId="0" borderId="8" xfId="1" applyFont="1" applyFill="1" applyBorder="1" applyAlignment="1">
      <alignment horizontal="center"/>
    </xf>
    <xf numFmtId="43" fontId="9" fillId="0" borderId="26" xfId="1" applyFont="1" applyFill="1" applyBorder="1" applyAlignment="1">
      <alignment horizontal="center"/>
    </xf>
    <xf numFmtId="43" fontId="9" fillId="0" borderId="5" xfId="1" applyFont="1" applyFill="1" applyBorder="1" applyAlignment="1">
      <alignment horizontal="center"/>
    </xf>
    <xf numFmtId="164" fontId="9" fillId="8" borderId="43" xfId="1" applyNumberFormat="1" applyFont="1" applyFill="1" applyBorder="1"/>
    <xf numFmtId="164" fontId="9" fillId="12" borderId="11" xfId="1" applyNumberFormat="1" applyFont="1" applyFill="1" applyBorder="1" applyAlignment="1">
      <alignment horizontal="center"/>
    </xf>
    <xf numFmtId="164" fontId="9" fillId="12" borderId="1" xfId="1" applyNumberFormat="1" applyFont="1" applyFill="1" applyBorder="1" applyAlignment="1">
      <alignment horizontal="center"/>
    </xf>
    <xf numFmtId="43" fontId="9" fillId="12" borderId="12" xfId="1" applyFont="1" applyFill="1" applyBorder="1"/>
    <xf numFmtId="164" fontId="9" fillId="12" borderId="12" xfId="1" applyNumberFormat="1" applyFont="1" applyFill="1" applyBorder="1"/>
    <xf numFmtId="43" fontId="8" fillId="0" borderId="1" xfId="1" applyFont="1" applyBorder="1" applyAlignment="1">
      <alignment horizontal="center" vertical="center"/>
    </xf>
    <xf numFmtId="43" fontId="8" fillId="0" borderId="6" xfId="1" applyFont="1" applyBorder="1" applyAlignment="1">
      <alignment horizontal="center" vertical="center"/>
    </xf>
    <xf numFmtId="43" fontId="9" fillId="4" borderId="6" xfId="1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 wrapText="1"/>
    </xf>
    <xf numFmtId="14" fontId="8" fillId="0" borderId="7" xfId="1" applyNumberFormat="1" applyFont="1" applyFill="1" applyBorder="1" applyAlignment="1">
      <alignment horizontal="center" vertical="center"/>
    </xf>
    <xf numFmtId="0" fontId="8" fillId="0" borderId="7" xfId="0" applyFont="1" applyFill="1" applyBorder="1"/>
    <xf numFmtId="0" fontId="8" fillId="0" borderId="1" xfId="0" applyFont="1" applyFill="1" applyBorder="1"/>
    <xf numFmtId="0" fontId="8" fillId="0" borderId="6" xfId="0" applyFont="1" applyFill="1" applyBorder="1"/>
    <xf numFmtId="0" fontId="10" fillId="0" borderId="7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wrapText="1"/>
    </xf>
    <xf numFmtId="0" fontId="20" fillId="9" borderId="7" xfId="0" applyFont="1" applyFill="1" applyBorder="1" applyAlignment="1">
      <alignment horizontal="center" wrapText="1"/>
    </xf>
    <xf numFmtId="0" fontId="20" fillId="9" borderId="6" xfId="0" applyFont="1" applyFill="1" applyBorder="1" applyAlignment="1">
      <alignment horizontal="center" wrapText="1"/>
    </xf>
    <xf numFmtId="43" fontId="8" fillId="0" borderId="7" xfId="1" applyFont="1" applyFill="1" applyBorder="1"/>
    <xf numFmtId="14" fontId="14" fillId="0" borderId="7" xfId="1" applyNumberFormat="1" applyFont="1" applyFill="1" applyBorder="1" applyAlignment="1">
      <alignment horizontal="center" vertical="center"/>
    </xf>
    <xf numFmtId="164" fontId="21" fillId="2" borderId="8" xfId="1" applyNumberFormat="1" applyFont="1" applyFill="1" applyBorder="1" applyAlignment="1">
      <alignment horizontal="center" vertical="center"/>
    </xf>
    <xf numFmtId="164" fontId="21" fillId="2" borderId="5" xfId="1" applyNumberFormat="1" applyFont="1" applyFill="1" applyBorder="1" applyAlignment="1">
      <alignment horizontal="center" vertical="center"/>
    </xf>
    <xf numFmtId="164" fontId="21" fillId="2" borderId="16" xfId="1" applyNumberFormat="1" applyFont="1" applyFill="1" applyBorder="1" applyAlignment="1">
      <alignment horizontal="center" vertical="center"/>
    </xf>
    <xf numFmtId="164" fontId="21" fillId="6" borderId="8" xfId="1" applyNumberFormat="1" applyFont="1" applyFill="1" applyBorder="1" applyAlignment="1">
      <alignment horizontal="center" vertical="center"/>
    </xf>
    <xf numFmtId="164" fontId="21" fillId="6" borderId="16" xfId="1" applyNumberFormat="1" applyFont="1" applyFill="1" applyBorder="1" applyAlignment="1">
      <alignment horizontal="center" vertical="center"/>
    </xf>
    <xf numFmtId="164" fontId="19" fillId="6" borderId="18" xfId="1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vertical="center"/>
    </xf>
    <xf numFmtId="14" fontId="8" fillId="0" borderId="1" xfId="1" applyNumberFormat="1" applyFont="1" applyFill="1" applyBorder="1" applyAlignment="1">
      <alignment vertical="center"/>
    </xf>
    <xf numFmtId="43" fontId="8" fillId="0" borderId="7" xfId="1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wrapText="1"/>
    </xf>
    <xf numFmtId="43" fontId="8" fillId="0" borderId="1" xfId="1" applyFont="1" applyBorder="1" applyAlignment="1">
      <alignment horizontal="left" vertical="center" wrapText="1"/>
    </xf>
    <xf numFmtId="43" fontId="8" fillId="0" borderId="13" xfId="1" applyFont="1" applyFill="1" applyBorder="1"/>
    <xf numFmtId="43" fontId="8" fillId="0" borderId="1" xfId="1" applyFont="1" applyFill="1" applyBorder="1"/>
    <xf numFmtId="43" fontId="14" fillId="0" borderId="1" xfId="1" applyFont="1" applyFill="1" applyBorder="1" applyAlignment="1">
      <alignment horizontal="center" vertical="center"/>
    </xf>
    <xf numFmtId="43" fontId="14" fillId="0" borderId="6" xfId="1" applyFont="1" applyFill="1" applyBorder="1" applyAlignment="1">
      <alignment horizontal="center" vertical="center"/>
    </xf>
    <xf numFmtId="43" fontId="14" fillId="0" borderId="7" xfId="1" applyFont="1" applyFill="1" applyBorder="1" applyAlignment="1">
      <alignment horizontal="center" vertical="center"/>
    </xf>
    <xf numFmtId="43" fontId="9" fillId="0" borderId="7" xfId="1" applyFont="1" applyFill="1" applyBorder="1" applyAlignment="1">
      <alignment horizontal="left" vertical="center"/>
    </xf>
    <xf numFmtId="164" fontId="21" fillId="6" borderId="5" xfId="1" applyNumberFormat="1" applyFont="1" applyFill="1" applyBorder="1" applyAlignment="1">
      <alignment horizontal="center" vertical="center"/>
    </xf>
    <xf numFmtId="43" fontId="8" fillId="0" borderId="7" xfId="1" applyFont="1" applyFill="1" applyBorder="1" applyAlignment="1">
      <alignment horizontal="left" wrapText="1"/>
    </xf>
    <xf numFmtId="43" fontId="9" fillId="0" borderId="7" xfId="1" applyFont="1" applyFill="1" applyBorder="1" applyAlignment="1">
      <alignment horizontal="left"/>
    </xf>
    <xf numFmtId="43" fontId="9" fillId="14" borderId="7" xfId="1" applyFont="1" applyFill="1" applyBorder="1"/>
    <xf numFmtId="43" fontId="9" fillId="14" borderId="1" xfId="1" applyFont="1" applyFill="1" applyBorder="1"/>
    <xf numFmtId="43" fontId="9" fillId="14" borderId="6" xfId="1" applyFont="1" applyFill="1" applyBorder="1"/>
    <xf numFmtId="43" fontId="9" fillId="14" borderId="7" xfId="1" applyFont="1" applyFill="1" applyBorder="1" applyAlignment="1">
      <alignment horizontal="center"/>
    </xf>
    <xf numFmtId="43" fontId="9" fillId="14" borderId="1" xfId="1" applyFont="1" applyFill="1" applyBorder="1" applyAlignment="1">
      <alignment horizontal="center"/>
    </xf>
    <xf numFmtId="43" fontId="9" fillId="14" borderId="6" xfId="1" applyFont="1" applyFill="1" applyBorder="1" applyAlignment="1">
      <alignment horizontal="center"/>
    </xf>
    <xf numFmtId="164" fontId="9" fillId="14" borderId="7" xfId="1" applyNumberFormat="1" applyFont="1" applyFill="1" applyBorder="1" applyAlignment="1">
      <alignment horizontal="center"/>
    </xf>
    <xf numFmtId="164" fontId="9" fillId="14" borderId="6" xfId="1" applyNumberFormat="1" applyFont="1" applyFill="1" applyBorder="1" applyAlignment="1">
      <alignment horizontal="center"/>
    </xf>
    <xf numFmtId="43" fontId="3" fillId="14" borderId="7" xfId="1" applyFont="1" applyFill="1" applyBorder="1" applyAlignment="1">
      <alignment horizontal="left" wrapText="1"/>
    </xf>
    <xf numFmtId="43" fontId="8" fillId="14" borderId="1" xfId="1" applyFont="1" applyFill="1" applyBorder="1" applyAlignment="1">
      <alignment horizontal="right" vertical="center"/>
    </xf>
    <xf numFmtId="14" fontId="14" fillId="0" borderId="6" xfId="1" applyNumberFormat="1" applyFont="1" applyFill="1" applyBorder="1" applyAlignment="1">
      <alignment vertical="center"/>
    </xf>
    <xf numFmtId="0" fontId="3" fillId="12" borderId="12" xfId="0" applyFont="1" applyFill="1" applyBorder="1" applyAlignment="1">
      <alignment horizontal="left" wrapText="1"/>
    </xf>
    <xf numFmtId="43" fontId="14" fillId="0" borderId="43" xfId="1" applyFont="1" applyFill="1" applyBorder="1" applyAlignment="1">
      <alignment horizontal="center" vertical="center"/>
    </xf>
    <xf numFmtId="43" fontId="14" fillId="0" borderId="2" xfId="1" applyFont="1" applyFill="1" applyBorder="1" applyAlignment="1">
      <alignment horizontal="center" vertical="center"/>
    </xf>
    <xf numFmtId="43" fontId="14" fillId="0" borderId="15" xfId="1" applyFont="1" applyFill="1" applyBorder="1" applyAlignment="1">
      <alignment horizontal="center" vertical="center"/>
    </xf>
    <xf numFmtId="43" fontId="14" fillId="8" borderId="43" xfId="1" applyFont="1" applyFill="1" applyBorder="1" applyAlignment="1">
      <alignment horizontal="center" vertical="center"/>
    </xf>
    <xf numFmtId="43" fontId="4" fillId="8" borderId="15" xfId="1" applyFont="1" applyFill="1" applyBorder="1" applyAlignment="1">
      <alignment horizontal="right" vertical="center"/>
    </xf>
    <xf numFmtId="43" fontId="9" fillId="0" borderId="14" xfId="1" applyFont="1" applyFill="1" applyBorder="1" applyAlignment="1">
      <alignment horizontal="center"/>
    </xf>
    <xf numFmtId="43" fontId="9" fillId="0" borderId="2" xfId="1" applyFont="1" applyFill="1" applyBorder="1" applyAlignment="1">
      <alignment horizontal="center"/>
    </xf>
    <xf numFmtId="43" fontId="9" fillId="0" borderId="42" xfId="1" applyFont="1" applyFill="1" applyBorder="1" applyAlignment="1">
      <alignment horizontal="center"/>
    </xf>
    <xf numFmtId="43" fontId="9" fillId="0" borderId="23" xfId="1" applyFont="1" applyFill="1" applyBorder="1"/>
    <xf numFmtId="43" fontId="14" fillId="12" borderId="24" xfId="1" applyFont="1" applyFill="1" applyBorder="1" applyAlignment="1">
      <alignment horizontal="center" vertical="center"/>
    </xf>
    <xf numFmtId="164" fontId="9" fillId="12" borderId="24" xfId="1" applyNumberFormat="1" applyFont="1" applyFill="1" applyBorder="1"/>
    <xf numFmtId="164" fontId="9" fillId="12" borderId="12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164" fontId="3" fillId="0" borderId="1" xfId="1" applyNumberFormat="1" applyFont="1" applyBorder="1"/>
    <xf numFmtId="43" fontId="3" fillId="0" borderId="1" xfId="1" applyFont="1" applyBorder="1"/>
    <xf numFmtId="0" fontId="11" fillId="0" borderId="1" xfId="0" applyFont="1" applyBorder="1" applyAlignment="1">
      <alignment horizontal="center"/>
    </xf>
    <xf numFmtId="164" fontId="15" fillId="0" borderId="1" xfId="1" applyNumberFormat="1" applyFont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/>
    <xf numFmtId="14" fontId="3" fillId="0" borderId="0" xfId="0" applyNumberFormat="1" applyFont="1"/>
    <xf numFmtId="14" fontId="4" fillId="0" borderId="1" xfId="0" applyNumberFormat="1" applyFont="1" applyBorder="1"/>
    <xf numFmtId="14" fontId="3" fillId="0" borderId="7" xfId="0" applyNumberFormat="1" applyFont="1" applyBorder="1"/>
    <xf numFmtId="164" fontId="3" fillId="0" borderId="7" xfId="1" applyNumberFormat="1" applyFont="1" applyBorder="1"/>
    <xf numFmtId="0" fontId="3" fillId="0" borderId="7" xfId="0" applyFont="1" applyBorder="1"/>
    <xf numFmtId="14" fontId="3" fillId="0" borderId="6" xfId="0" applyNumberFormat="1" applyFont="1" applyBorder="1" applyAlignment="1">
      <alignment horizontal="center"/>
    </xf>
    <xf numFmtId="164" fontId="3" fillId="0" borderId="6" xfId="1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3" fillId="10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4" borderId="6" xfId="0" applyFont="1" applyFill="1" applyBorder="1"/>
    <xf numFmtId="14" fontId="11" fillId="0" borderId="1" xfId="0" applyNumberFormat="1" applyFont="1" applyBorder="1"/>
    <xf numFmtId="14" fontId="15" fillId="5" borderId="1" xfId="0" applyNumberFormat="1" applyFont="1" applyFill="1" applyBorder="1"/>
    <xf numFmtId="164" fontId="11" fillId="0" borderId="1" xfId="1" applyNumberFormat="1" applyFont="1" applyBorder="1"/>
    <xf numFmtId="164" fontId="15" fillId="5" borderId="1" xfId="1" applyNumberFormat="1" applyFont="1" applyFill="1" applyBorder="1"/>
    <xf numFmtId="14" fontId="3" fillId="5" borderId="6" xfId="0" applyNumberFormat="1" applyFont="1" applyFill="1" applyBorder="1" applyAlignment="1">
      <alignment horizontal="center"/>
    </xf>
    <xf numFmtId="14" fontId="3" fillId="4" borderId="6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 wrapText="1"/>
    </xf>
    <xf numFmtId="164" fontId="3" fillId="4" borderId="1" xfId="1" applyNumberFormat="1" applyFont="1" applyFill="1" applyBorder="1"/>
    <xf numFmtId="14" fontId="8" fillId="0" borderId="12" xfId="1" applyNumberFormat="1" applyFont="1" applyFill="1" applyBorder="1" applyAlignment="1">
      <alignment vertical="center"/>
    </xf>
    <xf numFmtId="0" fontId="8" fillId="0" borderId="12" xfId="0" applyFont="1" applyFill="1" applyBorder="1"/>
    <xf numFmtId="0" fontId="20" fillId="9" borderId="12" xfId="0" applyFont="1" applyFill="1" applyBorder="1" applyAlignment="1">
      <alignment horizontal="center" wrapText="1"/>
    </xf>
    <xf numFmtId="43" fontId="8" fillId="4" borderId="12" xfId="1" applyFont="1" applyFill="1" applyBorder="1"/>
    <xf numFmtId="0" fontId="8" fillId="0" borderId="24" xfId="0" applyFont="1" applyFill="1" applyBorder="1"/>
    <xf numFmtId="43" fontId="8" fillId="0" borderId="24" xfId="1" applyFont="1" applyBorder="1" applyAlignment="1">
      <alignment horizontal="left" vertical="center" wrapText="1"/>
    </xf>
    <xf numFmtId="0" fontId="20" fillId="9" borderId="24" xfId="0" applyFont="1" applyFill="1" applyBorder="1" applyAlignment="1">
      <alignment horizontal="center" wrapText="1"/>
    </xf>
    <xf numFmtId="164" fontId="21" fillId="2" borderId="5" xfId="1" applyNumberFormat="1" applyFont="1" applyFill="1" applyBorder="1" applyAlignment="1">
      <alignment vertical="center"/>
    </xf>
    <xf numFmtId="164" fontId="9" fillId="2" borderId="5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wrapText="1"/>
    </xf>
    <xf numFmtId="43" fontId="14" fillId="8" borderId="7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3" fontId="8" fillId="14" borderId="7" xfId="1" applyFont="1" applyFill="1" applyBorder="1" applyAlignment="1">
      <alignment horizontal="right" vertical="center"/>
    </xf>
    <xf numFmtId="43" fontId="8" fillId="14" borderId="6" xfId="1" applyFont="1" applyFill="1" applyBorder="1" applyAlignment="1">
      <alignment horizontal="right" vertical="center"/>
    </xf>
    <xf numFmtId="14" fontId="8" fillId="0" borderId="6" xfId="0" applyNumberFormat="1" applyFont="1" applyFill="1" applyBorder="1" applyAlignment="1">
      <alignment horizontal="center" vertical="center"/>
    </xf>
    <xf numFmtId="43" fontId="8" fillId="0" borderId="14" xfId="1" applyFont="1" applyFill="1" applyBorder="1" applyAlignment="1">
      <alignment horizontal="center"/>
    </xf>
    <xf numFmtId="14" fontId="8" fillId="0" borderId="11" xfId="1" applyNumberFormat="1" applyFont="1" applyFill="1" applyBorder="1" applyAlignment="1">
      <alignment horizontal="center" vertical="center"/>
    </xf>
    <xf numFmtId="14" fontId="3" fillId="0" borderId="1" xfId="1" applyNumberFormat="1" applyFont="1" applyBorder="1"/>
    <xf numFmtId="0" fontId="3" fillId="0" borderId="1" xfId="0" applyFont="1" applyFill="1" applyBorder="1" applyAlignment="1"/>
    <xf numFmtId="43" fontId="3" fillId="0" borderId="7" xfId="1" applyFont="1" applyBorder="1"/>
    <xf numFmtId="0" fontId="3" fillId="0" borderId="6" xfId="0" applyFont="1" applyBorder="1"/>
    <xf numFmtId="0" fontId="3" fillId="0" borderId="6" xfId="0" applyFont="1" applyBorder="1" applyAlignment="1">
      <alignment wrapText="1"/>
    </xf>
    <xf numFmtId="0" fontId="3" fillId="0" borderId="6" xfId="0" applyFont="1" applyFill="1" applyBorder="1"/>
    <xf numFmtId="43" fontId="3" fillId="11" borderId="7" xfId="1" applyFont="1" applyFill="1" applyBorder="1"/>
    <xf numFmtId="43" fontId="3" fillId="0" borderId="7" xfId="0" applyNumberFormat="1" applyFont="1" applyBorder="1"/>
    <xf numFmtId="43" fontId="3" fillId="0" borderId="1" xfId="0" applyNumberFormat="1" applyFont="1" applyBorder="1"/>
    <xf numFmtId="43" fontId="3" fillId="5" borderId="1" xfId="1" applyFont="1" applyFill="1" applyBorder="1"/>
    <xf numFmtId="43" fontId="3" fillId="5" borderId="7" xfId="0" applyNumberFormat="1" applyFont="1" applyFill="1" applyBorder="1"/>
    <xf numFmtId="0" fontId="3" fillId="5" borderId="7" xfId="0" applyFont="1" applyFill="1" applyBorder="1"/>
    <xf numFmtId="43" fontId="3" fillId="5" borderId="1" xfId="0" applyNumberFormat="1" applyFont="1" applyFill="1" applyBorder="1"/>
    <xf numFmtId="43" fontId="3" fillId="0" borderId="7" xfId="1" applyFont="1" applyFill="1" applyBorder="1"/>
    <xf numFmtId="0" fontId="3" fillId="0" borderId="7" xfId="0" applyFont="1" applyFill="1" applyBorder="1"/>
    <xf numFmtId="0" fontId="24" fillId="0" borderId="0" xfId="0" quotePrefix="1" applyFont="1"/>
    <xf numFmtId="164" fontId="21" fillId="2" borderId="26" xfId="1" applyNumberFormat="1" applyFont="1" applyFill="1" applyBorder="1" applyAlignment="1">
      <alignment horizontal="center" vertical="center"/>
    </xf>
    <xf numFmtId="0" fontId="8" fillId="0" borderId="10" xfId="0" applyFont="1" applyFill="1" applyBorder="1"/>
    <xf numFmtId="43" fontId="9" fillId="12" borderId="10" xfId="1" applyFont="1" applyFill="1" applyBorder="1" applyAlignment="1">
      <alignment horizontal="center"/>
    </xf>
    <xf numFmtId="164" fontId="9" fillId="12" borderId="10" xfId="1" applyNumberFormat="1" applyFont="1" applyFill="1" applyBorder="1" applyAlignment="1">
      <alignment horizontal="center"/>
    </xf>
    <xf numFmtId="14" fontId="15" fillId="0" borderId="1" xfId="0" applyNumberFormat="1" applyFont="1" applyBorder="1"/>
    <xf numFmtId="164" fontId="3" fillId="14" borderId="1" xfId="1" applyNumberFormat="1" applyFont="1" applyFill="1" applyBorder="1"/>
    <xf numFmtId="43" fontId="3" fillId="4" borderId="1" xfId="1" applyFont="1" applyFill="1" applyBorder="1"/>
    <xf numFmtId="43" fontId="3" fillId="0" borderId="6" xfId="1" applyFont="1" applyBorder="1"/>
    <xf numFmtId="43" fontId="3" fillId="5" borderId="6" xfId="1" applyFont="1" applyFill="1" applyBorder="1"/>
    <xf numFmtId="0" fontId="3" fillId="6" borderId="1" xfId="0" applyFont="1" applyFill="1" applyBorder="1"/>
    <xf numFmtId="164" fontId="3" fillId="12" borderId="1" xfId="1" applyNumberFormat="1" applyFont="1" applyFill="1" applyBorder="1"/>
    <xf numFmtId="0" fontId="3" fillId="12" borderId="1" xfId="0" applyFont="1" applyFill="1" applyBorder="1"/>
    <xf numFmtId="43" fontId="3" fillId="10" borderId="1" xfId="1" applyFont="1" applyFill="1" applyBorder="1" applyAlignment="1">
      <alignment horizontal="center"/>
    </xf>
    <xf numFmtId="164" fontId="21" fillId="2" borderId="18" xfId="1" applyNumberFormat="1" applyFont="1" applyFill="1" applyBorder="1" applyAlignment="1">
      <alignment horizontal="center" vertical="center"/>
    </xf>
    <xf numFmtId="164" fontId="8" fillId="6" borderId="16" xfId="1" applyNumberFormat="1" applyFont="1" applyFill="1" applyBorder="1" applyAlignment="1">
      <alignment vertical="center"/>
    </xf>
    <xf numFmtId="164" fontId="9" fillId="2" borderId="18" xfId="1" applyNumberFormat="1" applyFont="1" applyFill="1" applyBorder="1" applyAlignment="1">
      <alignment horizontal="center" vertical="center"/>
    </xf>
    <xf numFmtId="164" fontId="8" fillId="2" borderId="16" xfId="1" applyNumberFormat="1" applyFont="1" applyFill="1" applyBorder="1" applyAlignment="1">
      <alignment horizontal="center" vertical="center"/>
    </xf>
    <xf numFmtId="164" fontId="9" fillId="0" borderId="43" xfId="1" applyNumberFormat="1" applyFont="1" applyFill="1" applyBorder="1" applyAlignment="1">
      <alignment horizontal="center"/>
    </xf>
    <xf numFmtId="164" fontId="9" fillId="0" borderId="42" xfId="1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43" fontId="3" fillId="5" borderId="7" xfId="1" applyFont="1" applyFill="1" applyBorder="1"/>
    <xf numFmtId="14" fontId="3" fillId="0" borderId="1" xfId="0" applyNumberFormat="1" applyFont="1" applyFill="1" applyBorder="1"/>
    <xf numFmtId="14" fontId="3" fillId="0" borderId="7" xfId="1" applyNumberFormat="1" applyFont="1" applyFill="1" applyBorder="1"/>
    <xf numFmtId="0" fontId="3" fillId="0" borderId="7" xfId="0" applyFont="1" applyFill="1" applyBorder="1" applyAlignment="1">
      <alignment horizontal="center"/>
    </xf>
    <xf numFmtId="0" fontId="3" fillId="0" borderId="1" xfId="0" applyFont="1" applyFill="1" applyBorder="1"/>
    <xf numFmtId="43" fontId="3" fillId="0" borderId="1" xfId="1" applyFont="1" applyFill="1" applyBorder="1"/>
    <xf numFmtId="14" fontId="3" fillId="0" borderId="1" xfId="1" applyNumberFormat="1" applyFont="1" applyFill="1" applyBorder="1"/>
    <xf numFmtId="14" fontId="3" fillId="0" borderId="6" xfId="0" applyNumberFormat="1" applyFont="1" applyFill="1" applyBorder="1"/>
    <xf numFmtId="43" fontId="3" fillId="0" borderId="6" xfId="1" applyFont="1" applyFill="1" applyBorder="1"/>
    <xf numFmtId="14" fontId="3" fillId="0" borderId="6" xfId="1" applyNumberFormat="1" applyFont="1" applyFill="1" applyBorder="1"/>
    <xf numFmtId="0" fontId="3" fillId="0" borderId="6" xfId="0" applyFont="1" applyFill="1" applyBorder="1" applyAlignment="1">
      <alignment horizontal="center"/>
    </xf>
    <xf numFmtId="14" fontId="3" fillId="6" borderId="1" xfId="0" applyNumberFormat="1" applyFont="1" applyFill="1" applyBorder="1"/>
    <xf numFmtId="14" fontId="3" fillId="6" borderId="7" xfId="0" applyNumberFormat="1" applyFont="1" applyFill="1" applyBorder="1"/>
    <xf numFmtId="14" fontId="3" fillId="6" borderId="7" xfId="1" applyNumberFormat="1" applyFont="1" applyFill="1" applyBorder="1"/>
    <xf numFmtId="0" fontId="3" fillId="5" borderId="1" xfId="0" applyFont="1" applyFill="1" applyBorder="1" applyAlignment="1">
      <alignment horizontal="right"/>
    </xf>
    <xf numFmtId="0" fontId="3" fillId="4" borderId="7" xfId="0" applyFont="1" applyFill="1" applyBorder="1"/>
    <xf numFmtId="43" fontId="3" fillId="0" borderId="6" xfId="0" applyNumberFormat="1" applyFont="1" applyBorder="1"/>
    <xf numFmtId="14" fontId="3" fillId="0" borderId="7" xfId="1" applyNumberFormat="1" applyFont="1" applyBorder="1"/>
    <xf numFmtId="0" fontId="3" fillId="6" borderId="6" xfId="0" applyFont="1" applyFill="1" applyBorder="1"/>
    <xf numFmtId="14" fontId="3" fillId="6" borderId="1" xfId="1" applyNumberFormat="1" applyFont="1" applyFill="1" applyBorder="1"/>
    <xf numFmtId="14" fontId="3" fillId="6" borderId="6" xfId="1" applyNumberFormat="1" applyFont="1" applyFill="1" applyBorder="1"/>
    <xf numFmtId="164" fontId="21" fillId="6" borderId="8" xfId="3" applyNumberFormat="1" applyFont="1" applyFill="1" applyBorder="1" applyAlignment="1">
      <alignment vertical="center"/>
    </xf>
    <xf numFmtId="14" fontId="8" fillId="0" borderId="7" xfId="3" applyNumberFormat="1" applyFont="1" applyFill="1" applyBorder="1" applyAlignment="1">
      <alignment vertical="center"/>
    </xf>
    <xf numFmtId="164" fontId="21" fillId="6" borderId="5" xfId="3" applyNumberFormat="1" applyFont="1" applyFill="1" applyBorder="1" applyAlignment="1">
      <alignment vertical="center"/>
    </xf>
    <xf numFmtId="14" fontId="8" fillId="0" borderId="1" xfId="3" applyNumberFormat="1" applyFont="1" applyFill="1" applyBorder="1" applyAlignment="1">
      <alignment vertical="center"/>
    </xf>
    <xf numFmtId="164" fontId="21" fillId="6" borderId="16" xfId="3" applyNumberFormat="1" applyFont="1" applyFill="1" applyBorder="1" applyAlignment="1">
      <alignment vertical="center"/>
    </xf>
    <xf numFmtId="14" fontId="8" fillId="0" borderId="6" xfId="3" applyNumberFormat="1" applyFont="1" applyFill="1" applyBorder="1" applyAlignment="1">
      <alignment vertical="center"/>
    </xf>
    <xf numFmtId="14" fontId="3" fillId="12" borderId="1" xfId="0" applyNumberFormat="1" applyFont="1" applyFill="1" applyBorder="1"/>
    <xf numFmtId="14" fontId="3" fillId="0" borderId="1" xfId="1" applyNumberFormat="1" applyFont="1" applyBorder="1" applyAlignment="1">
      <alignment horizontal="center"/>
    </xf>
    <xf numFmtId="14" fontId="3" fillId="0" borderId="0" xfId="1" applyNumberFormat="1" applyFont="1"/>
    <xf numFmtId="0" fontId="11" fillId="12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14" fontId="3" fillId="2" borderId="7" xfId="1" applyNumberFormat="1" applyFont="1" applyFill="1" applyBorder="1"/>
    <xf numFmtId="0" fontId="3" fillId="4" borderId="7" xfId="0" quotePrefix="1" applyFont="1" applyFill="1" applyBorder="1"/>
    <xf numFmtId="14" fontId="3" fillId="2" borderId="6" xfId="1" applyNumberFormat="1" applyFont="1" applyFill="1" applyBorder="1"/>
    <xf numFmtId="0" fontId="3" fillId="5" borderId="7" xfId="0" quotePrefix="1" applyFont="1" applyFill="1" applyBorder="1"/>
    <xf numFmtId="14" fontId="3" fillId="0" borderId="6" xfId="1" applyNumberFormat="1" applyFont="1" applyBorder="1"/>
    <xf numFmtId="43" fontId="3" fillId="4" borderId="7" xfId="1" applyFont="1" applyFill="1" applyBorder="1"/>
    <xf numFmtId="164" fontId="15" fillId="12" borderId="1" xfId="1" applyNumberFormat="1" applyFont="1" applyFill="1" applyBorder="1" applyAlignment="1">
      <alignment horizontal="center"/>
    </xf>
    <xf numFmtId="43" fontId="3" fillId="12" borderId="1" xfId="1" applyFont="1" applyFill="1" applyBorder="1"/>
    <xf numFmtId="14" fontId="3" fillId="0" borderId="6" xfId="0" applyNumberFormat="1" applyFont="1" applyBorder="1"/>
    <xf numFmtId="43" fontId="3" fillId="15" borderId="1" xfId="1" applyFont="1" applyFill="1" applyBorder="1" applyAlignment="1">
      <alignment horizontal="center"/>
    </xf>
    <xf numFmtId="43" fontId="15" fillId="15" borderId="0" xfId="1" applyFont="1" applyFill="1"/>
    <xf numFmtId="164" fontId="21" fillId="6" borderId="26" xfId="1" applyNumberFormat="1" applyFont="1" applyFill="1" applyBorder="1" applyAlignment="1">
      <alignment horizontal="center" vertical="center"/>
    </xf>
    <xf numFmtId="14" fontId="14" fillId="0" borderId="11" xfId="1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wrapText="1"/>
    </xf>
    <xf numFmtId="43" fontId="8" fillId="0" borderId="1" xfId="1" applyFont="1" applyFill="1" applyBorder="1" applyAlignment="1">
      <alignment horizontal="center"/>
    </xf>
    <xf numFmtId="43" fontId="9" fillId="0" borderId="41" xfId="1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 wrapText="1"/>
    </xf>
    <xf numFmtId="43" fontId="3" fillId="15" borderId="6" xfId="1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4" fontId="3" fillId="4" borderId="1" xfId="1" applyNumberFormat="1" applyFont="1" applyFill="1" applyBorder="1" applyAlignment="1">
      <alignment horizontal="center"/>
    </xf>
    <xf numFmtId="14" fontId="3" fillId="4" borderId="1" xfId="0" applyNumberFormat="1" applyFont="1" applyFill="1" applyBorder="1"/>
    <xf numFmtId="164" fontId="3" fillId="0" borderId="1" xfId="1" applyNumberFormat="1" applyFont="1" applyFill="1" applyBorder="1"/>
    <xf numFmtId="0" fontId="11" fillId="0" borderId="1" xfId="0" applyFont="1" applyFill="1" applyBorder="1" applyAlignment="1">
      <alignment horizontal="center"/>
    </xf>
    <xf numFmtId="14" fontId="8" fillId="0" borderId="11" xfId="1" applyNumberFormat="1" applyFont="1" applyFill="1" applyBorder="1" applyAlignment="1">
      <alignment vertical="center"/>
    </xf>
    <xf numFmtId="164" fontId="9" fillId="6" borderId="18" xfId="1" applyNumberFormat="1" applyFont="1" applyFill="1" applyBorder="1" applyAlignment="1">
      <alignment horizontal="center" vertical="center"/>
    </xf>
    <xf numFmtId="14" fontId="14" fillId="0" borderId="12" xfId="1" applyNumberFormat="1" applyFont="1" applyFill="1" applyBorder="1" applyAlignment="1">
      <alignment vertical="center"/>
    </xf>
    <xf numFmtId="43" fontId="14" fillId="0" borderId="12" xfId="1" applyFont="1" applyFill="1" applyBorder="1" applyAlignment="1">
      <alignment horizontal="center" vertical="center"/>
    </xf>
    <xf numFmtId="14" fontId="14" fillId="0" borderId="1" xfId="1" applyNumberFormat="1" applyFont="1" applyFill="1" applyBorder="1" applyAlignment="1">
      <alignment vertical="center"/>
    </xf>
    <xf numFmtId="43" fontId="8" fillId="0" borderId="24" xfId="3" applyFont="1" applyFill="1" applyBorder="1"/>
    <xf numFmtId="43" fontId="8" fillId="0" borderId="1" xfId="3" applyFont="1" applyFill="1" applyBorder="1"/>
    <xf numFmtId="43" fontId="8" fillId="4" borderId="1" xfId="3" applyFont="1" applyFill="1" applyBorder="1"/>
    <xf numFmtId="43" fontId="8" fillId="4" borderId="7" xfId="3" applyFont="1" applyFill="1" applyBorder="1"/>
    <xf numFmtId="43" fontId="8" fillId="4" borderId="6" xfId="3" applyFont="1" applyFill="1" applyBorder="1"/>
    <xf numFmtId="43" fontId="8" fillId="0" borderId="7" xfId="3" applyFont="1" applyFill="1" applyBorder="1"/>
    <xf numFmtId="43" fontId="9" fillId="0" borderId="1" xfId="3" applyFont="1" applyFill="1" applyBorder="1" applyAlignment="1">
      <alignment horizontal="right" vertical="center"/>
    </xf>
    <xf numFmtId="43" fontId="8" fillId="0" borderId="6" xfId="3" applyFont="1" applyFill="1" applyBorder="1"/>
    <xf numFmtId="43" fontId="9" fillId="0" borderId="7" xfId="3" applyFont="1" applyFill="1" applyBorder="1" applyAlignment="1">
      <alignment horizontal="right" vertical="center"/>
    </xf>
    <xf numFmtId="43" fontId="9" fillId="4" borderId="7" xfId="3" applyFont="1" applyFill="1" applyBorder="1" applyAlignment="1">
      <alignment horizontal="right" vertical="center"/>
    </xf>
    <xf numFmtId="43" fontId="9" fillId="4" borderId="6" xfId="3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wrapText="1"/>
    </xf>
    <xf numFmtId="164" fontId="8" fillId="6" borderId="5" xfId="1" applyNumberFormat="1" applyFont="1" applyFill="1" applyBorder="1" applyAlignment="1">
      <alignment vertical="center"/>
    </xf>
    <xf numFmtId="164" fontId="9" fillId="6" borderId="5" xfId="1" applyNumberFormat="1" applyFont="1" applyFill="1" applyBorder="1" applyAlignment="1">
      <alignment horizontal="center" vertical="center"/>
    </xf>
    <xf numFmtId="43" fontId="9" fillId="0" borderId="0" xfId="1" applyFont="1" applyFill="1"/>
    <xf numFmtId="164" fontId="9" fillId="0" borderId="0" xfId="1" applyNumberFormat="1" applyFont="1" applyFill="1"/>
    <xf numFmtId="164" fontId="9" fillId="4" borderId="1" xfId="1" applyNumberFormat="1" applyFont="1" applyFill="1" applyBorder="1" applyAlignment="1">
      <alignment horizontal="center"/>
    </xf>
    <xf numFmtId="43" fontId="9" fillId="4" borderId="2" xfId="1" applyFont="1" applyFill="1" applyBorder="1" applyAlignment="1">
      <alignment horizontal="center"/>
    </xf>
    <xf numFmtId="43" fontId="9" fillId="4" borderId="42" xfId="1" applyFont="1" applyFill="1" applyBorder="1" applyAlignment="1">
      <alignment horizontal="center"/>
    </xf>
    <xf numFmtId="43" fontId="9" fillId="0" borderId="18" xfId="1" applyFont="1" applyFill="1" applyBorder="1" applyAlignment="1">
      <alignment horizontal="center"/>
    </xf>
    <xf numFmtId="43" fontId="9" fillId="0" borderId="23" xfId="1" applyFont="1" applyFill="1" applyBorder="1" applyAlignment="1">
      <alignment horizontal="center"/>
    </xf>
    <xf numFmtId="43" fontId="9" fillId="4" borderId="5" xfId="1" applyFont="1" applyFill="1" applyBorder="1" applyAlignment="1">
      <alignment horizontal="center"/>
    </xf>
    <xf numFmtId="43" fontId="9" fillId="4" borderId="18" xfId="1" applyFont="1" applyFill="1" applyBorder="1" applyAlignment="1">
      <alignment horizontal="center"/>
    </xf>
    <xf numFmtId="164" fontId="9" fillId="4" borderId="2" xfId="1" applyNumberFormat="1" applyFont="1" applyFill="1" applyBorder="1" applyAlignment="1">
      <alignment horizontal="center"/>
    </xf>
    <xf numFmtId="164" fontId="9" fillId="4" borderId="15" xfId="1" applyNumberFormat="1" applyFont="1" applyFill="1" applyBorder="1" applyAlignment="1">
      <alignment horizontal="center"/>
    </xf>
    <xf numFmtId="0" fontId="3" fillId="12" borderId="24" xfId="0" applyFont="1" applyFill="1" applyBorder="1" applyAlignment="1">
      <alignment horizontal="left" wrapText="1"/>
    </xf>
    <xf numFmtId="43" fontId="8" fillId="12" borderId="24" xfId="1" applyFont="1" applyFill="1" applyBorder="1" applyAlignment="1">
      <alignment horizontal="right" vertical="center"/>
    </xf>
    <xf numFmtId="14" fontId="3" fillId="14" borderId="1" xfId="0" applyNumberFormat="1" applyFont="1" applyFill="1" applyBorder="1"/>
    <xf numFmtId="14" fontId="3" fillId="4" borderId="1" xfId="0" applyNumberFormat="1" applyFont="1" applyFill="1" applyBorder="1" applyAlignment="1">
      <alignment horizontal="center"/>
    </xf>
    <xf numFmtId="43" fontId="8" fillId="14" borderId="11" xfId="1" applyFont="1" applyFill="1" applyBorder="1" applyAlignment="1">
      <alignment horizontal="right" vertical="center"/>
    </xf>
    <xf numFmtId="43" fontId="14" fillId="8" borderId="10" xfId="1" applyFont="1" applyFill="1" applyBorder="1" applyAlignment="1">
      <alignment horizontal="center" vertical="center"/>
    </xf>
    <xf numFmtId="164" fontId="9" fillId="8" borderId="10" xfId="1" applyNumberFormat="1" applyFont="1" applyFill="1" applyBorder="1"/>
    <xf numFmtId="43" fontId="9" fillId="0" borderId="6" xfId="3" applyFont="1" applyFill="1" applyBorder="1" applyAlignment="1">
      <alignment horizontal="left" vertical="center"/>
    </xf>
    <xf numFmtId="43" fontId="9" fillId="0" borderId="24" xfId="3" applyFont="1" applyFill="1" applyBorder="1" applyAlignment="1">
      <alignment horizontal="left" vertical="center"/>
    </xf>
    <xf numFmtId="43" fontId="3" fillId="0" borderId="1" xfId="3" applyFont="1" applyFill="1" applyBorder="1" applyAlignment="1">
      <alignment horizontal="left" vertical="center"/>
    </xf>
    <xf numFmtId="43" fontId="9" fillId="0" borderId="7" xfId="3" applyFont="1" applyFill="1" applyBorder="1" applyAlignment="1">
      <alignment horizontal="left" vertical="center"/>
    </xf>
    <xf numFmtId="43" fontId="9" fillId="0" borderId="1" xfId="3" applyFont="1" applyFill="1" applyBorder="1" applyAlignment="1">
      <alignment horizontal="left" vertical="center"/>
    </xf>
    <xf numFmtId="164" fontId="8" fillId="2" borderId="5" xfId="1" applyNumberFormat="1" applyFont="1" applyFill="1" applyBorder="1" applyAlignment="1">
      <alignment horizontal="center" vertical="center"/>
    </xf>
    <xf numFmtId="164" fontId="9" fillId="0" borderId="16" xfId="3" applyNumberFormat="1" applyFont="1" applyFill="1" applyBorder="1" applyAlignment="1">
      <alignment horizontal="center" vertical="center"/>
    </xf>
    <xf numFmtId="164" fontId="9" fillId="2" borderId="16" xfId="3" applyNumberFormat="1" applyFont="1" applyFill="1" applyBorder="1" applyAlignment="1">
      <alignment horizontal="center" vertical="center"/>
    </xf>
    <xf numFmtId="164" fontId="9" fillId="6" borderId="8" xfId="3" applyNumberFormat="1" applyFont="1" applyFill="1" applyBorder="1" applyAlignment="1">
      <alignment horizontal="center" vertical="center"/>
    </xf>
    <xf numFmtId="164" fontId="9" fillId="6" borderId="5" xfId="3" applyNumberFormat="1" applyFont="1" applyFill="1" applyBorder="1" applyAlignment="1">
      <alignment horizontal="center" vertical="center"/>
    </xf>
    <xf numFmtId="164" fontId="9" fillId="6" borderId="16" xfId="3" applyNumberFormat="1" applyFont="1" applyFill="1" applyBorder="1" applyAlignment="1">
      <alignment horizontal="center" vertical="center"/>
    </xf>
    <xf numFmtId="164" fontId="9" fillId="2" borderId="8" xfId="3" applyNumberFormat="1" applyFont="1" applyFill="1" applyBorder="1" applyAlignment="1">
      <alignment horizontal="center" vertical="center"/>
    </xf>
    <xf numFmtId="164" fontId="9" fillId="2" borderId="5" xfId="3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wrapText="1"/>
    </xf>
    <xf numFmtId="43" fontId="23" fillId="0" borderId="12" xfId="1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wrapText="1"/>
    </xf>
    <xf numFmtId="0" fontId="10" fillId="0" borderId="24" xfId="0" applyFont="1" applyFill="1" applyBorder="1" applyAlignment="1">
      <alignment horizontal="center" wrapText="1"/>
    </xf>
    <xf numFmtId="43" fontId="8" fillId="0" borderId="13" xfId="3" applyFont="1" applyFill="1" applyBorder="1"/>
    <xf numFmtId="43" fontId="8" fillId="0" borderId="10" xfId="3" applyFont="1" applyFill="1" applyBorder="1"/>
    <xf numFmtId="43" fontId="8" fillId="4" borderId="10" xfId="3" applyFont="1" applyFill="1" applyBorder="1"/>
    <xf numFmtId="43" fontId="9" fillId="0" borderId="6" xfId="3" applyFont="1" applyFill="1" applyBorder="1" applyAlignment="1">
      <alignment horizontal="right" vertical="center"/>
    </xf>
    <xf numFmtId="43" fontId="9" fillId="0" borderId="24" xfId="3" applyFont="1" applyFill="1" applyBorder="1" applyAlignment="1">
      <alignment horizontal="right" vertical="center"/>
    </xf>
    <xf numFmtId="43" fontId="9" fillId="4" borderId="1" xfId="3" applyFont="1" applyFill="1" applyBorder="1" applyAlignment="1">
      <alignment horizontal="right" vertical="center"/>
    </xf>
    <xf numFmtId="43" fontId="8" fillId="14" borderId="12" xfId="1" applyFont="1" applyFill="1" applyBorder="1" applyAlignment="1">
      <alignment horizontal="right" vertical="center"/>
    </xf>
    <xf numFmtId="43" fontId="3" fillId="0" borderId="6" xfId="3" applyFont="1" applyFill="1" applyBorder="1"/>
    <xf numFmtId="43" fontId="3" fillId="0" borderId="1" xfId="3" applyFont="1" applyFill="1" applyBorder="1"/>
    <xf numFmtId="43" fontId="8" fillId="0" borderId="10" xfId="1" applyFont="1" applyFill="1" applyBorder="1" applyAlignment="1">
      <alignment horizontal="center"/>
    </xf>
    <xf numFmtId="43" fontId="8" fillId="0" borderId="55" xfId="1" applyFont="1" applyFill="1" applyBorder="1" applyAlignment="1">
      <alignment horizontal="center"/>
    </xf>
    <xf numFmtId="43" fontId="8" fillId="0" borderId="15" xfId="1" applyFont="1" applyFill="1" applyBorder="1" applyAlignment="1">
      <alignment horizontal="center"/>
    </xf>
    <xf numFmtId="43" fontId="8" fillId="0" borderId="8" xfId="1" applyFont="1" applyFill="1" applyBorder="1" applyAlignment="1">
      <alignment horizontal="center"/>
    </xf>
    <xf numFmtId="43" fontId="8" fillId="0" borderId="19" xfId="1" applyFont="1" applyFill="1" applyBorder="1"/>
    <xf numFmtId="164" fontId="8" fillId="0" borderId="10" xfId="1" applyNumberFormat="1" applyFont="1" applyFill="1" applyBorder="1" applyAlignment="1">
      <alignment horizontal="center"/>
    </xf>
    <xf numFmtId="43" fontId="8" fillId="0" borderId="21" xfId="1" applyFont="1" applyFill="1" applyBorder="1"/>
    <xf numFmtId="164" fontId="17" fillId="5" borderId="27" xfId="1" applyNumberFormat="1" applyFont="1" applyFill="1" applyBorder="1" applyAlignment="1">
      <alignment horizontal="center"/>
    </xf>
    <xf numFmtId="43" fontId="14" fillId="8" borderId="6" xfId="1" applyFont="1" applyFill="1" applyBorder="1" applyAlignment="1">
      <alignment horizontal="center" vertical="center"/>
    </xf>
    <xf numFmtId="43" fontId="3" fillId="11" borderId="1" xfId="1" applyFont="1" applyFill="1" applyBorder="1"/>
    <xf numFmtId="0" fontId="10" fillId="0" borderId="11" xfId="0" applyFont="1" applyFill="1" applyBorder="1" applyAlignment="1">
      <alignment horizontal="center" wrapText="1"/>
    </xf>
    <xf numFmtId="43" fontId="9" fillId="0" borderId="1" xfId="1" applyFont="1" applyFill="1" applyBorder="1" applyAlignment="1"/>
    <xf numFmtId="164" fontId="9" fillId="6" borderId="19" xfId="3" applyNumberFormat="1" applyFont="1" applyFill="1" applyBorder="1" applyAlignment="1">
      <alignment horizontal="center" vertical="center"/>
    </xf>
    <xf numFmtId="14" fontId="8" fillId="0" borderId="10" xfId="3" applyNumberFormat="1" applyFont="1" applyFill="1" applyBorder="1" applyAlignment="1">
      <alignment vertical="center"/>
    </xf>
    <xf numFmtId="43" fontId="8" fillId="14" borderId="10" xfId="1" applyFont="1" applyFill="1" applyBorder="1" applyAlignment="1">
      <alignment horizontal="right" vertical="center"/>
    </xf>
    <xf numFmtId="43" fontId="3" fillId="0" borderId="7" xfId="3" applyFont="1" applyFill="1" applyBorder="1" applyAlignment="1">
      <alignment horizontal="left" vertical="center"/>
    </xf>
    <xf numFmtId="43" fontId="9" fillId="5" borderId="10" xfId="3" applyFont="1" applyFill="1" applyBorder="1" applyAlignment="1">
      <alignment horizontal="right" vertical="center"/>
    </xf>
    <xf numFmtId="43" fontId="10" fillId="5" borderId="6" xfId="3" applyFont="1" applyFill="1" applyBorder="1" applyAlignment="1">
      <alignment horizontal="center" vertical="center"/>
    </xf>
    <xf numFmtId="43" fontId="9" fillId="5" borderId="11" xfId="3" applyFont="1" applyFill="1" applyBorder="1" applyAlignment="1">
      <alignment horizontal="right" vertical="center"/>
    </xf>
    <xf numFmtId="0" fontId="22" fillId="0" borderId="1" xfId="0" applyFont="1" applyFill="1" applyBorder="1" applyAlignment="1">
      <alignment wrapText="1"/>
    </xf>
    <xf numFmtId="43" fontId="9" fillId="5" borderId="3" xfId="1" applyFont="1" applyFill="1" applyBorder="1" applyAlignment="1"/>
    <xf numFmtId="43" fontId="9" fillId="5" borderId="2" xfId="1" applyFont="1" applyFill="1" applyBorder="1" applyAlignment="1"/>
    <xf numFmtId="43" fontId="9" fillId="5" borderId="5" xfId="1" applyFont="1" applyFill="1" applyBorder="1" applyAlignment="1"/>
    <xf numFmtId="43" fontId="8" fillId="0" borderId="4" xfId="1" applyFont="1" applyFill="1" applyBorder="1"/>
    <xf numFmtId="164" fontId="8" fillId="0" borderId="1" xfId="1" applyNumberFormat="1" applyFont="1" applyFill="1" applyBorder="1" applyAlignment="1">
      <alignment horizontal="center"/>
    </xf>
    <xf numFmtId="164" fontId="8" fillId="0" borderId="34" xfId="1" applyNumberFormat="1" applyFont="1" applyFill="1" applyBorder="1" applyAlignment="1">
      <alignment horizontal="center"/>
    </xf>
    <xf numFmtId="43" fontId="8" fillId="0" borderId="34" xfId="1" applyFont="1" applyFill="1" applyBorder="1" applyAlignment="1">
      <alignment horizontal="center"/>
    </xf>
    <xf numFmtId="43" fontId="10" fillId="0" borderId="20" xfId="1" applyFont="1" applyFill="1" applyBorder="1" applyAlignment="1">
      <alignment wrapText="1"/>
    </xf>
    <xf numFmtId="14" fontId="8" fillId="0" borderId="19" xfId="0" applyNumberFormat="1" applyFont="1" applyFill="1" applyBorder="1" applyAlignment="1">
      <alignment horizontal="center" vertical="center"/>
    </xf>
    <xf numFmtId="43" fontId="14" fillId="12" borderId="55" xfId="1" applyFont="1" applyFill="1" applyBorder="1" applyAlignment="1">
      <alignment horizontal="center" vertical="center"/>
    </xf>
    <xf numFmtId="164" fontId="8" fillId="4" borderId="1" xfId="3" applyNumberFormat="1" applyFont="1" applyFill="1" applyBorder="1"/>
    <xf numFmtId="43" fontId="9" fillId="4" borderId="10" xfId="1" applyFont="1" applyFill="1" applyBorder="1" applyAlignment="1">
      <alignment horizontal="center"/>
    </xf>
    <xf numFmtId="164" fontId="8" fillId="4" borderId="1" xfId="3" applyNumberFormat="1" applyFont="1" applyFill="1" applyBorder="1" applyAlignment="1">
      <alignment horizontal="center"/>
    </xf>
    <xf numFmtId="164" fontId="8" fillId="4" borderId="6" xfId="3" applyNumberFormat="1" applyFont="1" applyFill="1" applyBorder="1" applyAlignment="1">
      <alignment horizontal="center"/>
    </xf>
    <xf numFmtId="43" fontId="9" fillId="12" borderId="24" xfId="1" applyFont="1" applyFill="1" applyBorder="1"/>
    <xf numFmtId="0" fontId="8" fillId="9" borderId="1" xfId="0" applyFont="1" applyFill="1" applyBorder="1"/>
    <xf numFmtId="0" fontId="4" fillId="0" borderId="1" xfId="0" applyFont="1" applyFill="1" applyBorder="1" applyAlignment="1">
      <alignment horizontal="center"/>
    </xf>
    <xf numFmtId="43" fontId="9" fillId="14" borderId="11" xfId="1" applyFont="1" applyFill="1" applyBorder="1" applyAlignment="1">
      <alignment horizontal="center"/>
    </xf>
    <xf numFmtId="164" fontId="9" fillId="14" borderId="11" xfId="1" applyNumberFormat="1" applyFont="1" applyFill="1" applyBorder="1" applyAlignment="1">
      <alignment horizontal="center"/>
    </xf>
    <xf numFmtId="43" fontId="9" fillId="14" borderId="10" xfId="1" applyFont="1" applyFill="1" applyBorder="1" applyAlignment="1">
      <alignment horizontal="center"/>
    </xf>
    <xf numFmtId="43" fontId="9" fillId="14" borderId="10" xfId="1" applyFont="1" applyFill="1" applyBorder="1"/>
    <xf numFmtId="164" fontId="21" fillId="6" borderId="1" xfId="3" applyNumberFormat="1" applyFont="1" applyFill="1" applyBorder="1" applyAlignment="1">
      <alignment horizontal="center" vertical="center"/>
    </xf>
    <xf numFmtId="14" fontId="8" fillId="0" borderId="1" xfId="3" applyNumberFormat="1" applyFont="1" applyFill="1" applyBorder="1" applyAlignment="1">
      <alignment horizontal="center" vertical="center"/>
    </xf>
    <xf numFmtId="164" fontId="21" fillId="6" borderId="6" xfId="3" applyNumberFormat="1" applyFont="1" applyFill="1" applyBorder="1" applyAlignment="1">
      <alignment horizontal="center" vertical="center"/>
    </xf>
    <xf numFmtId="14" fontId="8" fillId="0" borderId="6" xfId="3" applyNumberFormat="1" applyFont="1" applyFill="1" applyBorder="1" applyAlignment="1">
      <alignment horizontal="center" vertical="center"/>
    </xf>
    <xf numFmtId="164" fontId="21" fillId="2" borderId="7" xfId="3" applyNumberFormat="1" applyFont="1" applyFill="1" applyBorder="1" applyAlignment="1">
      <alignment horizontal="center" vertical="center"/>
    </xf>
    <xf numFmtId="14" fontId="8" fillId="0" borderId="7" xfId="3" applyNumberFormat="1" applyFont="1" applyFill="1" applyBorder="1" applyAlignment="1">
      <alignment horizontal="center" vertical="center"/>
    </xf>
    <xf numFmtId="164" fontId="21" fillId="2" borderId="1" xfId="3" applyNumberFormat="1" applyFont="1" applyFill="1" applyBorder="1" applyAlignment="1">
      <alignment horizontal="center" vertical="center"/>
    </xf>
    <xf numFmtId="164" fontId="21" fillId="2" borderId="6" xfId="3" applyNumberFormat="1" applyFont="1" applyFill="1" applyBorder="1" applyAlignment="1">
      <alignment horizontal="center" vertical="center"/>
    </xf>
    <xf numFmtId="164" fontId="21" fillId="6" borderId="7" xfId="3" applyNumberFormat="1" applyFont="1" applyFill="1" applyBorder="1" applyAlignment="1">
      <alignment horizontal="center" vertical="center"/>
    </xf>
    <xf numFmtId="14" fontId="10" fillId="0" borderId="1" xfId="3" applyNumberFormat="1" applyFont="1" applyFill="1" applyBorder="1" applyAlignment="1">
      <alignment horizontal="center" vertical="center"/>
    </xf>
    <xf numFmtId="164" fontId="4" fillId="4" borderId="1" xfId="3" applyNumberFormat="1" applyFont="1" applyFill="1" applyBorder="1" applyAlignment="1">
      <alignment horizontal="center"/>
    </xf>
    <xf numFmtId="164" fontId="4" fillId="4" borderId="7" xfId="3" applyNumberFormat="1" applyFont="1" applyFill="1" applyBorder="1" applyAlignment="1">
      <alignment horizontal="center"/>
    </xf>
    <xf numFmtId="164" fontId="4" fillId="4" borderId="6" xfId="3" applyNumberFormat="1" applyFont="1" applyFill="1" applyBorder="1" applyAlignment="1">
      <alignment horizontal="center"/>
    </xf>
    <xf numFmtId="164" fontId="9" fillId="14" borderId="1" xfId="1" applyNumberFormat="1" applyFont="1" applyFill="1" applyBorder="1" applyAlignment="1">
      <alignment horizontal="center"/>
    </xf>
    <xf numFmtId="43" fontId="9" fillId="14" borderId="11" xfId="1" applyFont="1" applyFill="1" applyBorder="1"/>
    <xf numFmtId="164" fontId="3" fillId="11" borderId="1" xfId="1" applyNumberFormat="1" applyFont="1" applyFill="1" applyBorder="1"/>
    <xf numFmtId="14" fontId="4" fillId="0" borderId="1" xfId="3" applyNumberFormat="1" applyFont="1" applyFill="1" applyBorder="1" applyAlignment="1">
      <alignment horizontal="center" vertical="center"/>
    </xf>
    <xf numFmtId="14" fontId="4" fillId="0" borderId="6" xfId="3" applyNumberFormat="1" applyFont="1" applyFill="1" applyBorder="1" applyAlignment="1">
      <alignment horizontal="center" vertical="center"/>
    </xf>
    <xf numFmtId="43" fontId="8" fillId="0" borderId="11" xfId="3" applyFont="1" applyFill="1" applyBorder="1"/>
    <xf numFmtId="43" fontId="3" fillId="14" borderId="1" xfId="1" applyFont="1" applyFill="1" applyBorder="1" applyAlignment="1">
      <alignment horizontal="left" wrapText="1"/>
    </xf>
    <xf numFmtId="14" fontId="8" fillId="0" borderId="11" xfId="3" applyNumberFormat="1" applyFont="1" applyFill="1" applyBorder="1" applyAlignment="1">
      <alignment vertical="center"/>
    </xf>
    <xf numFmtId="43" fontId="3" fillId="14" borderId="6" xfId="1" applyFont="1" applyFill="1" applyBorder="1" applyAlignment="1">
      <alignment horizontal="left" wrapText="1"/>
    </xf>
    <xf numFmtId="43" fontId="9" fillId="0" borderId="7" xfId="1" applyFont="1" applyFill="1" applyBorder="1" applyAlignment="1">
      <alignment horizontal="center" wrapText="1"/>
    </xf>
    <xf numFmtId="43" fontId="9" fillId="0" borderId="21" xfId="1" applyFont="1" applyFill="1" applyBorder="1" applyAlignment="1">
      <alignment horizontal="center"/>
    </xf>
    <xf numFmtId="164" fontId="21" fillId="2" borderId="26" xfId="3" applyNumberFormat="1" applyFont="1" applyFill="1" applyBorder="1" applyAlignment="1">
      <alignment vertical="center"/>
    </xf>
    <xf numFmtId="164" fontId="21" fillId="2" borderId="16" xfId="3" applyNumberFormat="1" applyFont="1" applyFill="1" applyBorder="1" applyAlignment="1">
      <alignment vertical="center"/>
    </xf>
    <xf numFmtId="164" fontId="8" fillId="6" borderId="5" xfId="1" applyNumberFormat="1" applyFont="1" applyFill="1" applyBorder="1" applyAlignment="1">
      <alignment horizontal="center" vertical="center"/>
    </xf>
    <xf numFmtId="164" fontId="19" fillId="2" borderId="5" xfId="3" applyNumberFormat="1" applyFont="1" applyFill="1" applyBorder="1" applyAlignment="1">
      <alignment horizontal="center" vertical="center"/>
    </xf>
    <xf numFmtId="164" fontId="19" fillId="2" borderId="16" xfId="3" applyNumberFormat="1" applyFont="1" applyFill="1" applyBorder="1" applyAlignment="1">
      <alignment horizontal="center" vertical="center"/>
    </xf>
    <xf numFmtId="43" fontId="4" fillId="0" borderId="1" xfId="1" applyFont="1" applyBorder="1" applyAlignment="1">
      <alignment horizontal="center"/>
    </xf>
    <xf numFmtId="43" fontId="4" fillId="4" borderId="1" xfId="1" applyFont="1" applyFill="1" applyBorder="1" applyAlignment="1">
      <alignment horizontal="center"/>
    </xf>
    <xf numFmtId="43" fontId="14" fillId="8" borderId="14" xfId="1" applyFont="1" applyFill="1" applyBorder="1" applyAlignment="1">
      <alignment horizontal="center" vertical="center"/>
    </xf>
    <xf numFmtId="43" fontId="14" fillId="12" borderId="7" xfId="1" applyFont="1" applyFill="1" applyBorder="1" applyAlignment="1">
      <alignment horizontal="center" vertical="center"/>
    </xf>
    <xf numFmtId="164" fontId="9" fillId="12" borderId="7" xfId="1" applyNumberFormat="1" applyFont="1" applyFill="1" applyBorder="1"/>
    <xf numFmtId="43" fontId="8" fillId="0" borderId="11" xfId="1" applyFont="1" applyFill="1" applyBorder="1"/>
    <xf numFmtId="43" fontId="8" fillId="0" borderId="24" xfId="1" applyFont="1" applyFill="1" applyBorder="1"/>
    <xf numFmtId="43" fontId="14" fillId="8" borderId="33" xfId="1" applyFont="1" applyFill="1" applyBorder="1" applyAlignment="1">
      <alignment horizontal="center" vertical="center"/>
    </xf>
    <xf numFmtId="43" fontId="9" fillId="0" borderId="19" xfId="1" applyFont="1" applyFill="1" applyBorder="1"/>
    <xf numFmtId="164" fontId="9" fillId="0" borderId="55" xfId="1" applyNumberFormat="1" applyFont="1" applyFill="1" applyBorder="1" applyAlignment="1">
      <alignment horizontal="center"/>
    </xf>
    <xf numFmtId="0" fontId="3" fillId="12" borderId="1" xfId="0" applyFont="1" applyFill="1" applyBorder="1" applyAlignment="1">
      <alignment horizontal="left" wrapText="1"/>
    </xf>
    <xf numFmtId="43" fontId="4" fillId="12" borderId="11" xfId="1" applyFont="1" applyFill="1" applyBorder="1" applyAlignment="1">
      <alignment horizontal="left" vertical="center" wrapText="1"/>
    </xf>
    <xf numFmtId="43" fontId="14" fillId="8" borderId="41" xfId="1" applyFont="1" applyFill="1" applyBorder="1" applyAlignment="1">
      <alignment horizontal="center" vertical="center"/>
    </xf>
    <xf numFmtId="43" fontId="14" fillId="12" borderId="11" xfId="1" applyFont="1" applyFill="1" applyBorder="1" applyAlignment="1">
      <alignment horizontal="center" vertical="center"/>
    </xf>
    <xf numFmtId="164" fontId="9" fillId="12" borderId="11" xfId="1" applyNumberFormat="1" applyFont="1" applyFill="1" applyBorder="1"/>
    <xf numFmtId="0" fontId="3" fillId="12" borderId="6" xfId="0" applyFont="1" applyFill="1" applyBorder="1" applyAlignment="1">
      <alignment horizontal="left" wrapText="1"/>
    </xf>
    <xf numFmtId="43" fontId="4" fillId="12" borderId="1" xfId="1" applyFont="1" applyFill="1" applyBorder="1" applyAlignment="1">
      <alignment horizontal="left" vertical="center" wrapText="1"/>
    </xf>
    <xf numFmtId="43" fontId="9" fillId="8" borderId="12" xfId="1" applyFont="1" applyFill="1" applyBorder="1" applyAlignment="1">
      <alignment horizontal="center"/>
    </xf>
    <xf numFmtId="43" fontId="9" fillId="0" borderId="15" xfId="1" applyFont="1" applyFill="1" applyBorder="1" applyAlignment="1">
      <alignment horizontal="center"/>
    </xf>
    <xf numFmtId="164" fontId="21" fillId="2" borderId="16" xfId="1" applyNumberFormat="1" applyFont="1" applyFill="1" applyBorder="1" applyAlignment="1">
      <alignment vertical="center"/>
    </xf>
    <xf numFmtId="164" fontId="21" fillId="6" borderId="5" xfId="1" applyNumberFormat="1" applyFont="1" applyFill="1" applyBorder="1" applyAlignment="1">
      <alignment vertical="center"/>
    </xf>
    <xf numFmtId="164" fontId="21" fillId="6" borderId="16" xfId="1" applyNumberFormat="1" applyFont="1" applyFill="1" applyBorder="1" applyAlignment="1">
      <alignment vertical="center"/>
    </xf>
    <xf numFmtId="164" fontId="3" fillId="9" borderId="1" xfId="1" applyNumberFormat="1" applyFont="1" applyFill="1" applyBorder="1"/>
    <xf numFmtId="164" fontId="3" fillId="10" borderId="1" xfId="1" applyNumberFormat="1" applyFont="1" applyFill="1" applyBorder="1"/>
    <xf numFmtId="14" fontId="11" fillId="0" borderId="1" xfId="0" applyNumberFormat="1" applyFont="1" applyFill="1" applyBorder="1"/>
    <xf numFmtId="0" fontId="3" fillId="14" borderId="1" xfId="0" applyFont="1" applyFill="1" applyBorder="1"/>
    <xf numFmtId="43" fontId="3" fillId="14" borderId="1" xfId="1" applyFont="1" applyFill="1" applyBorder="1"/>
    <xf numFmtId="14" fontId="11" fillId="0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/>
    <xf numFmtId="43" fontId="4" fillId="0" borderId="1" xfId="1" applyFont="1" applyFill="1" applyBorder="1"/>
    <xf numFmtId="0" fontId="4" fillId="0" borderId="0" xfId="0" applyFont="1" applyFill="1"/>
    <xf numFmtId="0" fontId="11" fillId="14" borderId="1" xfId="0" applyFont="1" applyFill="1" applyBorder="1" applyAlignment="1">
      <alignment horizontal="center"/>
    </xf>
    <xf numFmtId="43" fontId="3" fillId="0" borderId="1" xfId="0" applyNumberFormat="1" applyFont="1" applyFill="1" applyBorder="1"/>
    <xf numFmtId="43" fontId="4" fillId="0" borderId="1" xfId="1" applyFont="1" applyFill="1" applyBorder="1" applyAlignment="1">
      <alignment horizontal="center"/>
    </xf>
    <xf numFmtId="43" fontId="4" fillId="0" borderId="1" xfId="0" applyNumberFormat="1" applyFont="1" applyFill="1" applyBorder="1"/>
    <xf numFmtId="0" fontId="3" fillId="14" borderId="0" xfId="0" applyFont="1" applyFill="1"/>
    <xf numFmtId="164" fontId="21" fillId="6" borderId="4" xfId="3" applyNumberFormat="1" applyFont="1" applyFill="1" applyBorder="1" applyAlignment="1">
      <alignment horizontal="center" vertical="center"/>
    </xf>
    <xf numFmtId="0" fontId="8" fillId="12" borderId="1" xfId="0" applyFont="1" applyFill="1" applyBorder="1"/>
    <xf numFmtId="164" fontId="21" fillId="6" borderId="40" xfId="3" applyNumberFormat="1" applyFont="1" applyFill="1" applyBorder="1" applyAlignment="1">
      <alignment horizontal="center" vertical="center"/>
    </xf>
    <xf numFmtId="0" fontId="8" fillId="12" borderId="7" xfId="0" applyFont="1" applyFill="1" applyBorder="1"/>
    <xf numFmtId="164" fontId="21" fillId="6" borderId="21" xfId="3" applyNumberFormat="1" applyFont="1" applyFill="1" applyBorder="1" applyAlignment="1">
      <alignment horizontal="center" vertical="center"/>
    </xf>
    <xf numFmtId="164" fontId="8" fillId="4" borderId="7" xfId="3" applyNumberFormat="1" applyFont="1" applyFill="1" applyBorder="1" applyAlignment="1">
      <alignment horizontal="center"/>
    </xf>
    <xf numFmtId="43" fontId="9" fillId="0" borderId="1" xfId="1" applyFont="1" applyFill="1" applyBorder="1" applyAlignment="1">
      <alignment wrapText="1"/>
    </xf>
    <xf numFmtId="43" fontId="9" fillId="0" borderId="6" xfId="1" applyFont="1" applyFill="1" applyBorder="1" applyAlignment="1">
      <alignment wrapText="1"/>
    </xf>
    <xf numFmtId="43" fontId="9" fillId="0" borderId="28" xfId="1" applyFont="1" applyFill="1" applyBorder="1" applyAlignment="1">
      <alignment wrapText="1"/>
    </xf>
    <xf numFmtId="43" fontId="9" fillId="0" borderId="7" xfId="1" applyFont="1" applyFill="1" applyBorder="1" applyAlignment="1">
      <alignment wrapText="1"/>
    </xf>
    <xf numFmtId="43" fontId="9" fillId="0" borderId="14" xfId="1" applyFont="1" applyFill="1" applyBorder="1" applyAlignment="1">
      <alignment wrapText="1"/>
    </xf>
    <xf numFmtId="43" fontId="9" fillId="12" borderId="7" xfId="1" applyFont="1" applyFill="1" applyBorder="1" applyAlignment="1">
      <alignment wrapText="1"/>
    </xf>
    <xf numFmtId="43" fontId="9" fillId="12" borderId="1" xfId="1" applyFont="1" applyFill="1" applyBorder="1" applyAlignment="1">
      <alignment wrapText="1"/>
    </xf>
    <xf numFmtId="43" fontId="9" fillId="12" borderId="6" xfId="1" applyFont="1" applyFill="1" applyBorder="1" applyAlignment="1">
      <alignment wrapText="1"/>
    </xf>
    <xf numFmtId="164" fontId="9" fillId="0" borderId="7" xfId="1" applyNumberFormat="1" applyFont="1" applyFill="1" applyBorder="1" applyAlignment="1">
      <alignment wrapText="1"/>
    </xf>
    <xf numFmtId="164" fontId="9" fillId="0" borderId="1" xfId="1" applyNumberFormat="1" applyFont="1" applyFill="1" applyBorder="1" applyAlignment="1">
      <alignment wrapText="1"/>
    </xf>
    <xf numFmtId="164" fontId="9" fillId="0" borderId="6" xfId="1" applyNumberFormat="1" applyFont="1" applyFill="1" applyBorder="1" applyAlignment="1">
      <alignment wrapText="1"/>
    </xf>
    <xf numFmtId="43" fontId="9" fillId="12" borderId="38" xfId="1" applyFont="1" applyFill="1" applyBorder="1" applyAlignment="1">
      <alignment horizontal="center"/>
    </xf>
    <xf numFmtId="0" fontId="20" fillId="9" borderId="1" xfId="0" applyFont="1" applyFill="1" applyBorder="1" applyAlignment="1">
      <alignment horizontal="center" wrapText="1"/>
    </xf>
    <xf numFmtId="164" fontId="21" fillId="6" borderId="8" xfId="3" applyNumberFormat="1" applyFont="1" applyFill="1" applyBorder="1" applyAlignment="1">
      <alignment horizontal="center" vertical="center"/>
    </xf>
    <xf numFmtId="14" fontId="14" fillId="0" borderId="7" xfId="3" applyNumberFormat="1" applyFont="1" applyFill="1" applyBorder="1" applyAlignment="1">
      <alignment horizontal="center" vertical="center"/>
    </xf>
    <xf numFmtId="164" fontId="21" fillId="6" borderId="5" xfId="3" applyNumberFormat="1" applyFont="1" applyFill="1" applyBorder="1" applyAlignment="1">
      <alignment horizontal="center" vertical="center"/>
    </xf>
    <xf numFmtId="14" fontId="14" fillId="0" borderId="1" xfId="3" applyNumberFormat="1" applyFont="1" applyFill="1" applyBorder="1" applyAlignment="1">
      <alignment horizontal="center" vertical="center"/>
    </xf>
    <xf numFmtId="164" fontId="8" fillId="6" borderId="5" xfId="3" applyNumberFormat="1" applyFont="1" applyFill="1" applyBorder="1" applyAlignment="1">
      <alignment vertical="center"/>
    </xf>
    <xf numFmtId="14" fontId="14" fillId="0" borderId="1" xfId="3" applyNumberFormat="1" applyFont="1" applyFill="1" applyBorder="1" applyAlignment="1">
      <alignment vertical="center"/>
    </xf>
    <xf numFmtId="164" fontId="8" fillId="6" borderId="8" xfId="3" applyNumberFormat="1" applyFont="1" applyFill="1" applyBorder="1" applyAlignment="1">
      <alignment vertical="center"/>
    </xf>
    <xf numFmtId="14" fontId="14" fillId="0" borderId="7" xfId="3" applyNumberFormat="1" applyFont="1" applyFill="1" applyBorder="1" applyAlignment="1">
      <alignment vertical="center"/>
    </xf>
    <xf numFmtId="164" fontId="8" fillId="6" borderId="16" xfId="3" applyNumberFormat="1" applyFont="1" applyFill="1" applyBorder="1" applyAlignment="1">
      <alignment vertical="center"/>
    </xf>
    <xf numFmtId="14" fontId="14" fillId="0" borderId="6" xfId="3" applyNumberFormat="1" applyFont="1" applyFill="1" applyBorder="1" applyAlignment="1">
      <alignment vertical="center"/>
    </xf>
    <xf numFmtId="164" fontId="8" fillId="2" borderId="8" xfId="3" applyNumberFormat="1" applyFont="1" applyFill="1" applyBorder="1" applyAlignment="1">
      <alignment vertical="center"/>
    </xf>
    <xf numFmtId="164" fontId="8" fillId="2" borderId="5" xfId="3" applyNumberFormat="1" applyFont="1" applyFill="1" applyBorder="1" applyAlignment="1">
      <alignment vertical="center"/>
    </xf>
    <xf numFmtId="164" fontId="8" fillId="2" borderId="8" xfId="3" applyNumberFormat="1" applyFont="1" applyFill="1" applyBorder="1" applyAlignment="1">
      <alignment horizontal="center" vertical="center"/>
    </xf>
    <xf numFmtId="164" fontId="21" fillId="2" borderId="5" xfId="3" applyNumberFormat="1" applyFont="1" applyFill="1" applyBorder="1" applyAlignment="1">
      <alignment vertical="center"/>
    </xf>
    <xf numFmtId="164" fontId="21" fillId="2" borderId="8" xfId="3" applyNumberFormat="1" applyFont="1" applyFill="1" applyBorder="1" applyAlignment="1">
      <alignment vertical="center"/>
    </xf>
    <xf numFmtId="164" fontId="9" fillId="6" borderId="18" xfId="3" applyNumberFormat="1" applyFont="1" applyFill="1" applyBorder="1" applyAlignment="1">
      <alignment horizontal="center" vertical="center"/>
    </xf>
    <xf numFmtId="14" fontId="8" fillId="0" borderId="12" xfId="3" applyNumberFormat="1" applyFont="1" applyFill="1" applyBorder="1" applyAlignment="1">
      <alignment vertical="center"/>
    </xf>
    <xf numFmtId="43" fontId="9" fillId="0" borderId="12" xfId="3" applyFont="1" applyFill="1" applyBorder="1" applyAlignment="1">
      <alignment horizontal="left" vertical="center"/>
    </xf>
    <xf numFmtId="43" fontId="3" fillId="0" borderId="7" xfId="3" applyFont="1" applyFill="1" applyBorder="1"/>
    <xf numFmtId="164" fontId="9" fillId="0" borderId="14" xfId="1" applyNumberFormat="1" applyFont="1" applyFill="1" applyBorder="1" applyAlignment="1">
      <alignment wrapText="1"/>
    </xf>
    <xf numFmtId="164" fontId="9" fillId="0" borderId="2" xfId="1" applyNumberFormat="1" applyFont="1" applyFill="1" applyBorder="1" applyAlignment="1">
      <alignment wrapText="1"/>
    </xf>
    <xf numFmtId="164" fontId="9" fillId="0" borderId="15" xfId="1" applyNumberFormat="1" applyFont="1" applyFill="1" applyBorder="1" applyAlignment="1">
      <alignment wrapText="1"/>
    </xf>
    <xf numFmtId="43" fontId="9" fillId="0" borderId="8" xfId="1" applyFont="1" applyFill="1" applyBorder="1" applyAlignment="1">
      <alignment wrapText="1"/>
    </xf>
    <xf numFmtId="43" fontId="9" fillId="0" borderId="5" xfId="1" applyFont="1" applyFill="1" applyBorder="1" applyAlignment="1">
      <alignment wrapText="1"/>
    </xf>
    <xf numFmtId="43" fontId="9" fillId="0" borderId="16" xfId="1" applyFont="1" applyFill="1" applyBorder="1" applyAlignment="1">
      <alignment wrapText="1"/>
    </xf>
    <xf numFmtId="43" fontId="9" fillId="0" borderId="1" xfId="3" applyFont="1" applyFill="1" applyBorder="1"/>
    <xf numFmtId="43" fontId="8" fillId="12" borderId="7" xfId="1" applyFont="1" applyFill="1" applyBorder="1" applyAlignment="1">
      <alignment horizontal="left" vertical="center" wrapText="1"/>
    </xf>
    <xf numFmtId="0" fontId="20" fillId="12" borderId="7" xfId="0" applyFont="1" applyFill="1" applyBorder="1" applyAlignment="1">
      <alignment horizontal="center" wrapText="1"/>
    </xf>
    <xf numFmtId="0" fontId="20" fillId="12" borderId="1" xfId="0" applyFont="1" applyFill="1" applyBorder="1" applyAlignment="1">
      <alignment horizontal="center" wrapText="1"/>
    </xf>
    <xf numFmtId="0" fontId="20" fillId="12" borderId="6" xfId="0" applyFont="1" applyFill="1" applyBorder="1" applyAlignment="1">
      <alignment horizontal="center" wrapText="1"/>
    </xf>
    <xf numFmtId="0" fontId="20" fillId="9" borderId="14" xfId="0" applyFont="1" applyFill="1" applyBorder="1" applyAlignment="1">
      <alignment horizontal="center" wrapText="1"/>
    </xf>
    <xf numFmtId="0" fontId="20" fillId="9" borderId="2" xfId="0" applyFont="1" applyFill="1" applyBorder="1" applyAlignment="1">
      <alignment horizontal="center" wrapText="1"/>
    </xf>
    <xf numFmtId="43" fontId="8" fillId="0" borderId="14" xfId="3" applyFont="1" applyFill="1" applyBorder="1"/>
    <xf numFmtId="0" fontId="20" fillId="9" borderId="15" xfId="0" applyFont="1" applyFill="1" applyBorder="1" applyAlignment="1">
      <alignment horizontal="center" wrapText="1"/>
    </xf>
    <xf numFmtId="43" fontId="8" fillId="12" borderId="14" xfId="3" applyFont="1" applyFill="1" applyBorder="1"/>
    <xf numFmtId="0" fontId="20" fillId="12" borderId="14" xfId="0" applyFont="1" applyFill="1" applyBorder="1" applyAlignment="1">
      <alignment horizontal="center" wrapText="1"/>
    </xf>
    <xf numFmtId="0" fontId="20" fillId="12" borderId="2" xfId="0" applyFont="1" applyFill="1" applyBorder="1" applyAlignment="1">
      <alignment horizontal="center" wrapText="1"/>
    </xf>
    <xf numFmtId="0" fontId="20" fillId="12" borderId="15" xfId="0" applyFont="1" applyFill="1" applyBorder="1" applyAlignment="1">
      <alignment horizontal="center" wrapText="1"/>
    </xf>
    <xf numFmtId="164" fontId="4" fillId="4" borderId="1" xfId="1" applyNumberFormat="1" applyFont="1" applyFill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43" fontId="3" fillId="4" borderId="1" xfId="0" applyNumberFormat="1" applyFont="1" applyFill="1" applyBorder="1"/>
    <xf numFmtId="164" fontId="4" fillId="0" borderId="1" xfId="1" applyNumberFormat="1" applyFont="1" applyBorder="1"/>
    <xf numFmtId="43" fontId="4" fillId="0" borderId="1" xfId="0" applyNumberFormat="1" applyFont="1" applyBorder="1" applyAlignment="1">
      <alignment horizontal="center"/>
    </xf>
    <xf numFmtId="164" fontId="3" fillId="9" borderId="1" xfId="1" applyNumberFormat="1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left"/>
    </xf>
    <xf numFmtId="164" fontId="21" fillId="0" borderId="38" xfId="3" applyNumberFormat="1" applyFont="1" applyFill="1" applyBorder="1" applyAlignment="1">
      <alignment horizontal="center" vertical="center"/>
    </xf>
    <xf numFmtId="0" fontId="14" fillId="0" borderId="1" xfId="0" applyFont="1" applyFill="1" applyBorder="1"/>
    <xf numFmtId="14" fontId="10" fillId="5" borderId="1" xfId="3" applyNumberFormat="1" applyFont="1" applyFill="1" applyBorder="1" applyAlignment="1">
      <alignment horizontal="center" vertical="center"/>
    </xf>
    <xf numFmtId="43" fontId="8" fillId="0" borderId="1" xfId="1" applyFont="1" applyFill="1" applyBorder="1" applyAlignment="1">
      <alignment horizontal="left" wrapText="1"/>
    </xf>
    <xf numFmtId="0" fontId="8" fillId="0" borderId="38" xfId="0" applyFont="1" applyFill="1" applyBorder="1" applyAlignment="1">
      <alignment horizontal="center" wrapText="1"/>
    </xf>
    <xf numFmtId="164" fontId="4" fillId="4" borderId="38" xfId="3" applyNumberFormat="1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wrapText="1"/>
    </xf>
    <xf numFmtId="0" fontId="9" fillId="4" borderId="15" xfId="0" applyFont="1" applyFill="1" applyBorder="1" applyAlignment="1">
      <alignment horizontal="center" wrapText="1"/>
    </xf>
    <xf numFmtId="0" fontId="9" fillId="4" borderId="48" xfId="0" applyFont="1" applyFill="1" applyBorder="1" applyAlignment="1">
      <alignment horizontal="center" wrapText="1"/>
    </xf>
    <xf numFmtId="0" fontId="12" fillId="0" borderId="14" xfId="0" applyFont="1" applyFill="1" applyBorder="1" applyAlignment="1">
      <alignment horizontal="center" wrapText="1"/>
    </xf>
    <xf numFmtId="43" fontId="9" fillId="14" borderId="38" xfId="1" applyFont="1" applyFill="1" applyBorder="1" applyAlignment="1">
      <alignment horizontal="center"/>
    </xf>
    <xf numFmtId="164" fontId="9" fillId="14" borderId="38" xfId="1" applyNumberFormat="1" applyFont="1" applyFill="1" applyBorder="1" applyAlignment="1">
      <alignment horizontal="center"/>
    </xf>
    <xf numFmtId="43" fontId="9" fillId="14" borderId="38" xfId="1" applyFont="1" applyFill="1" applyBorder="1"/>
    <xf numFmtId="164" fontId="10" fillId="5" borderId="27" xfId="1" applyNumberFormat="1" applyFont="1" applyFill="1" applyBorder="1" applyAlignment="1"/>
    <xf numFmtId="164" fontId="21" fillId="6" borderId="16" xfId="3" applyNumberFormat="1" applyFont="1" applyFill="1" applyBorder="1" applyAlignment="1">
      <alignment horizontal="center" vertical="center"/>
    </xf>
    <xf numFmtId="164" fontId="21" fillId="2" borderId="8" xfId="3" applyNumberFormat="1" applyFont="1" applyFill="1" applyBorder="1" applyAlignment="1">
      <alignment horizontal="center" vertical="center"/>
    </xf>
    <xf numFmtId="164" fontId="21" fillId="2" borderId="5" xfId="3" applyNumberFormat="1" applyFont="1" applyFill="1" applyBorder="1" applyAlignment="1">
      <alignment horizontal="center" vertical="center"/>
    </xf>
    <xf numFmtId="164" fontId="21" fillId="2" borderId="16" xfId="3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wrapText="1"/>
    </xf>
    <xf numFmtId="43" fontId="4" fillId="0" borderId="1" xfId="0" applyNumberFormat="1" applyFont="1" applyFill="1" applyBorder="1" applyAlignment="1">
      <alignment horizontal="center"/>
    </xf>
    <xf numFmtId="43" fontId="8" fillId="0" borderId="2" xfId="1" applyFont="1" applyBorder="1" applyAlignment="1">
      <alignment horizontal="right" vertical="center"/>
    </xf>
    <xf numFmtId="43" fontId="9" fillId="0" borderId="37" xfId="1" applyFont="1" applyFill="1" applyBorder="1" applyAlignment="1">
      <alignment horizontal="center"/>
    </xf>
    <xf numFmtId="43" fontId="9" fillId="0" borderId="37" xfId="1" applyFont="1" applyFill="1" applyBorder="1"/>
    <xf numFmtId="43" fontId="9" fillId="0" borderId="7" xfId="3" applyFont="1" applyFill="1" applyBorder="1"/>
    <xf numFmtId="43" fontId="9" fillId="0" borderId="6" xfId="3" applyFont="1" applyFill="1" applyBorder="1"/>
    <xf numFmtId="14" fontId="24" fillId="5" borderId="1" xfId="0" applyNumberFormat="1" applyFont="1" applyFill="1" applyBorder="1"/>
    <xf numFmtId="164" fontId="3" fillId="15" borderId="1" xfId="1" applyNumberFormat="1" applyFont="1" applyFill="1" applyBorder="1"/>
    <xf numFmtId="164" fontId="28" fillId="5" borderId="1" xfId="1" applyNumberFormat="1" applyFont="1" applyFill="1" applyBorder="1"/>
    <xf numFmtId="14" fontId="3" fillId="0" borderId="1" xfId="1" applyNumberFormat="1" applyFont="1" applyFill="1" applyBorder="1" applyAlignment="1">
      <alignment horizontal="center"/>
    </xf>
    <xf numFmtId="14" fontId="4" fillId="0" borderId="1" xfId="0" applyNumberFormat="1" applyFont="1" applyFill="1" applyBorder="1"/>
    <xf numFmtId="164" fontId="3" fillId="0" borderId="1" xfId="1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4" fillId="0" borderId="1" xfId="0" applyFont="1" applyFill="1" applyBorder="1"/>
    <xf numFmtId="43" fontId="9" fillId="0" borderId="10" xfId="3" applyFont="1" applyFill="1" applyBorder="1" applyAlignment="1">
      <alignment horizontal="right" vertical="center"/>
    </xf>
    <xf numFmtId="0" fontId="10" fillId="4" borderId="7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 wrapText="1"/>
    </xf>
    <xf numFmtId="0" fontId="10" fillId="4" borderId="15" xfId="0" applyFont="1" applyFill="1" applyBorder="1" applyAlignment="1">
      <alignment horizontal="center" wrapText="1"/>
    </xf>
    <xf numFmtId="0" fontId="3" fillId="0" borderId="5" xfId="0" applyFont="1" applyBorder="1"/>
    <xf numFmtId="164" fontId="3" fillId="0" borderId="0" xfId="0" applyNumberFormat="1" applyFont="1"/>
    <xf numFmtId="0" fontId="3" fillId="0" borderId="13" xfId="0" applyFont="1" applyFill="1" applyBorder="1" applyAlignment="1">
      <alignment horizontal="center" textRotation="53" wrapText="1"/>
    </xf>
    <xf numFmtId="0" fontId="3" fillId="0" borderId="11" xfId="0" applyFont="1" applyFill="1" applyBorder="1" applyAlignment="1">
      <alignment horizontal="center" textRotation="53" wrapText="1"/>
    </xf>
    <xf numFmtId="0" fontId="18" fillId="10" borderId="0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textRotation="53" wrapText="1"/>
    </xf>
    <xf numFmtId="164" fontId="6" fillId="6" borderId="9" xfId="1" applyNumberFormat="1" applyFont="1" applyFill="1" applyBorder="1" applyAlignment="1">
      <alignment horizontal="right"/>
    </xf>
    <xf numFmtId="14" fontId="4" fillId="0" borderId="7" xfId="3" applyNumberFormat="1" applyFont="1" applyFill="1" applyBorder="1" applyAlignment="1">
      <alignment horizontal="center" vertical="center"/>
    </xf>
    <xf numFmtId="0" fontId="8" fillId="3" borderId="6" xfId="0" applyFont="1" applyFill="1" applyBorder="1"/>
    <xf numFmtId="164" fontId="19" fillId="6" borderId="8" xfId="3" applyNumberFormat="1" applyFont="1" applyFill="1" applyBorder="1" applyAlignment="1">
      <alignment horizontal="center" vertical="center"/>
    </xf>
    <xf numFmtId="164" fontId="19" fillId="6" borderId="5" xfId="3" applyNumberFormat="1" applyFont="1" applyFill="1" applyBorder="1" applyAlignment="1">
      <alignment horizontal="center" vertical="center"/>
    </xf>
    <xf numFmtId="164" fontId="19" fillId="6" borderId="16" xfId="3" applyNumberFormat="1" applyFont="1" applyFill="1" applyBorder="1" applyAlignment="1">
      <alignment horizontal="center" vertical="center"/>
    </xf>
    <xf numFmtId="0" fontId="10" fillId="11" borderId="6" xfId="0" applyFont="1" applyFill="1" applyBorder="1" applyAlignment="1">
      <alignment horizontal="center" wrapText="1"/>
    </xf>
    <xf numFmtId="0" fontId="20" fillId="11" borderId="6" xfId="0" applyFont="1" applyFill="1" applyBorder="1" applyAlignment="1">
      <alignment horizontal="center" wrapText="1"/>
    </xf>
    <xf numFmtId="43" fontId="8" fillId="0" borderId="12" xfId="1" applyFont="1" applyFill="1" applyBorder="1"/>
    <xf numFmtId="43" fontId="8" fillId="4" borderId="1" xfId="1" applyFont="1" applyFill="1" applyBorder="1" applyAlignment="1">
      <alignment horizontal="center"/>
    </xf>
    <xf numFmtId="43" fontId="8" fillId="4" borderId="1" xfId="1" applyFont="1" applyFill="1" applyBorder="1"/>
    <xf numFmtId="43" fontId="8" fillId="4" borderId="7" xfId="1" applyFont="1" applyFill="1" applyBorder="1"/>
    <xf numFmtId="43" fontId="8" fillId="11" borderId="6" xfId="1" applyFont="1" applyFill="1" applyBorder="1" applyAlignment="1">
      <alignment horizontal="right" vertical="center"/>
    </xf>
    <xf numFmtId="164" fontId="8" fillId="4" borderId="14" xfId="3" applyNumberFormat="1" applyFont="1" applyFill="1" applyBorder="1" applyAlignment="1">
      <alignment horizontal="center"/>
    </xf>
    <xf numFmtId="164" fontId="8" fillId="4" borderId="2" xfId="3" applyNumberFormat="1" applyFont="1" applyFill="1" applyBorder="1" applyAlignment="1">
      <alignment horizontal="center"/>
    </xf>
    <xf numFmtId="164" fontId="8" fillId="4" borderId="15" xfId="3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wrapText="1"/>
    </xf>
    <xf numFmtId="43" fontId="9" fillId="0" borderId="2" xfId="1" applyFont="1" applyFill="1" applyBorder="1" applyAlignment="1">
      <alignment wrapText="1"/>
    </xf>
    <xf numFmtId="43" fontId="9" fillId="0" borderId="15" xfId="1" applyFont="1" applyFill="1" applyBorder="1" applyAlignment="1">
      <alignment wrapText="1"/>
    </xf>
    <xf numFmtId="43" fontId="9" fillId="0" borderId="21" xfId="1" applyFont="1" applyFill="1" applyBorder="1" applyAlignment="1">
      <alignment wrapText="1"/>
    </xf>
    <xf numFmtId="43" fontId="9" fillId="11" borderId="6" xfId="1" applyFont="1" applyFill="1" applyBorder="1" applyAlignment="1">
      <alignment horizontal="center"/>
    </xf>
    <xf numFmtId="164" fontId="9" fillId="11" borderId="6" xfId="1" applyNumberFormat="1" applyFont="1" applyFill="1" applyBorder="1" applyAlignment="1">
      <alignment horizontal="center"/>
    </xf>
    <xf numFmtId="164" fontId="9" fillId="11" borderId="15" xfId="1" applyNumberFormat="1" applyFont="1" applyFill="1" applyBorder="1" applyAlignment="1">
      <alignment horizontal="center"/>
    </xf>
    <xf numFmtId="43" fontId="9" fillId="11" borderId="16" xfId="1" applyFont="1" applyFill="1" applyBorder="1" applyAlignment="1">
      <alignment horizontal="center"/>
    </xf>
    <xf numFmtId="43" fontId="9" fillId="4" borderId="7" xfId="1" applyFont="1" applyFill="1" applyBorder="1" applyAlignment="1">
      <alignment horizontal="center" wrapText="1"/>
    </xf>
    <xf numFmtId="43" fontId="9" fillId="4" borderId="6" xfId="1" applyFont="1" applyFill="1" applyBorder="1" applyAlignment="1">
      <alignment horizontal="center" wrapText="1"/>
    </xf>
    <xf numFmtId="0" fontId="2" fillId="11" borderId="0" xfId="0" applyFont="1" applyFill="1" applyBorder="1" applyAlignment="1">
      <alignment wrapText="1"/>
    </xf>
    <xf numFmtId="0" fontId="3" fillId="0" borderId="55" xfId="0" applyFont="1" applyFill="1" applyBorder="1" applyAlignment="1">
      <alignment horizontal="left" wrapText="1"/>
    </xf>
    <xf numFmtId="0" fontId="9" fillId="0" borderId="12" xfId="0" applyFont="1" applyFill="1" applyBorder="1" applyAlignment="1">
      <alignment wrapText="1"/>
    </xf>
    <xf numFmtId="0" fontId="20" fillId="11" borderId="15" xfId="0" applyFont="1" applyFill="1" applyBorder="1" applyAlignment="1">
      <alignment horizontal="center" wrapText="1"/>
    </xf>
    <xf numFmtId="0" fontId="9" fillId="0" borderId="61" xfId="0" applyFont="1" applyBorder="1" applyAlignment="1"/>
    <xf numFmtId="0" fontId="9" fillId="0" borderId="62" xfId="0" applyFont="1" applyBorder="1" applyAlignment="1"/>
    <xf numFmtId="43" fontId="9" fillId="5" borderId="3" xfId="1" applyFont="1" applyFill="1" applyBorder="1" applyAlignment="1">
      <alignment horizontal="center"/>
    </xf>
    <xf numFmtId="43" fontId="9" fillId="5" borderId="47" xfId="1" applyFont="1" applyFill="1" applyBorder="1" applyAlignment="1">
      <alignment horizontal="center" wrapText="1"/>
    </xf>
    <xf numFmtId="43" fontId="9" fillId="5" borderId="9" xfId="1" applyFont="1" applyFill="1" applyBorder="1" applyAlignment="1">
      <alignment horizontal="center" wrapText="1"/>
    </xf>
    <xf numFmtId="43" fontId="9" fillId="5" borderId="56" xfId="1" applyFont="1" applyFill="1" applyBorder="1" applyAlignment="1">
      <alignment horizontal="center"/>
    </xf>
    <xf numFmtId="43" fontId="9" fillId="5" borderId="9" xfId="1" applyFont="1" applyFill="1" applyBorder="1" applyAlignment="1">
      <alignment horizontal="center"/>
    </xf>
    <xf numFmtId="43" fontId="9" fillId="5" borderId="0" xfId="1" applyFont="1" applyFill="1" applyBorder="1" applyAlignment="1">
      <alignment horizontal="center"/>
    </xf>
    <xf numFmtId="43" fontId="9" fillId="5" borderId="20" xfId="1" applyFont="1" applyFill="1" applyBorder="1" applyAlignment="1">
      <alignment horizontal="center"/>
    </xf>
    <xf numFmtId="43" fontId="9" fillId="5" borderId="47" xfId="1" applyFont="1" applyFill="1" applyBorder="1" applyAlignment="1">
      <alignment horizontal="center"/>
    </xf>
    <xf numFmtId="43" fontId="9" fillId="5" borderId="0" xfId="1" applyFont="1" applyFill="1" applyBorder="1" applyAlignment="1">
      <alignment horizontal="center" wrapText="1"/>
    </xf>
    <xf numFmtId="43" fontId="9" fillId="5" borderId="20" xfId="1" applyFont="1" applyFill="1" applyBorder="1" applyAlignment="1">
      <alignment horizontal="center" wrapText="1"/>
    </xf>
    <xf numFmtId="43" fontId="9" fillId="5" borderId="56" xfId="1" applyFont="1" applyFill="1" applyBorder="1" applyAlignment="1">
      <alignment horizontal="center" wrapText="1"/>
    </xf>
    <xf numFmtId="0" fontId="14" fillId="0" borderId="0" xfId="0" applyFont="1" applyFill="1"/>
    <xf numFmtId="0" fontId="7" fillId="3" borderId="6" xfId="0" applyFont="1" applyFill="1" applyBorder="1" applyAlignment="1">
      <alignment horizontal="center"/>
    </xf>
    <xf numFmtId="14" fontId="24" fillId="0" borderId="1" xfId="0" applyNumberFormat="1" applyFont="1" applyBorder="1"/>
    <xf numFmtId="164" fontId="11" fillId="0" borderId="1" xfId="1" applyNumberFormat="1" applyFont="1" applyFill="1" applyBorder="1"/>
    <xf numFmtId="164" fontId="21" fillId="2" borderId="40" xfId="3" applyNumberFormat="1" applyFont="1" applyFill="1" applyBorder="1" applyAlignment="1">
      <alignment horizontal="center" vertical="center"/>
    </xf>
    <xf numFmtId="164" fontId="21" fillId="2" borderId="21" xfId="3" applyNumberFormat="1" applyFont="1" applyFill="1" applyBorder="1" applyAlignment="1">
      <alignment horizontal="center" vertical="center"/>
    </xf>
    <xf numFmtId="14" fontId="14" fillId="0" borderId="6" xfId="3" applyNumberFormat="1" applyFont="1" applyFill="1" applyBorder="1" applyAlignment="1">
      <alignment horizontal="center" vertical="center"/>
    </xf>
    <xf numFmtId="43" fontId="14" fillId="0" borderId="1" xfId="1" applyFont="1" applyFill="1" applyBorder="1" applyAlignment="1">
      <alignment horizontal="center"/>
    </xf>
    <xf numFmtId="164" fontId="14" fillId="0" borderId="1" xfId="1" applyNumberFormat="1" applyFont="1" applyFill="1" applyBorder="1" applyAlignment="1">
      <alignment horizontal="center"/>
    </xf>
    <xf numFmtId="43" fontId="9" fillId="0" borderId="21" xfId="1" applyFont="1" applyFill="1" applyBorder="1"/>
    <xf numFmtId="164" fontId="15" fillId="0" borderId="1" xfId="1" applyNumberFormat="1" applyFont="1" applyFill="1" applyBorder="1" applyAlignment="1">
      <alignment horizontal="center"/>
    </xf>
    <xf numFmtId="0" fontId="9" fillId="0" borderId="20" xfId="0" applyFont="1" applyFill="1" applyBorder="1"/>
    <xf numFmtId="164" fontId="8" fillId="0" borderId="0" xfId="1" applyNumberFormat="1" applyFont="1" applyFill="1" applyBorder="1" applyAlignment="1">
      <alignment horizontal="right" vertical="center"/>
    </xf>
    <xf numFmtId="164" fontId="8" fillId="2" borderId="5" xfId="3" applyNumberFormat="1" applyFont="1" applyFill="1" applyBorder="1" applyAlignment="1">
      <alignment horizontal="center" vertical="center"/>
    </xf>
    <xf numFmtId="43" fontId="8" fillId="0" borderId="43" xfId="3" applyFont="1" applyFill="1" applyBorder="1"/>
    <xf numFmtId="43" fontId="8" fillId="0" borderId="29" xfId="3" applyFont="1" applyFill="1" applyBorder="1"/>
    <xf numFmtId="0" fontId="8" fillId="12" borderId="14" xfId="0" applyFont="1" applyFill="1" applyBorder="1"/>
    <xf numFmtId="43" fontId="9" fillId="0" borderId="28" xfId="1" applyFont="1" applyFill="1" applyBorder="1" applyAlignment="1">
      <alignment horizontal="center"/>
    </xf>
    <xf numFmtId="43" fontId="3" fillId="12" borderId="1" xfId="3" applyFont="1" applyFill="1" applyBorder="1"/>
    <xf numFmtId="43" fontId="3" fillId="12" borderId="6" xfId="3" applyFont="1" applyFill="1" applyBorder="1"/>
    <xf numFmtId="43" fontId="3" fillId="12" borderId="7" xfId="3" applyFont="1" applyFill="1" applyBorder="1"/>
    <xf numFmtId="43" fontId="14" fillId="12" borderId="1" xfId="1" applyFont="1" applyFill="1" applyBorder="1" applyAlignment="1">
      <alignment horizontal="center"/>
    </xf>
    <xf numFmtId="164" fontId="14" fillId="12" borderId="1" xfId="1" applyNumberFormat="1" applyFont="1" applyFill="1" applyBorder="1" applyAlignment="1">
      <alignment horizontal="center"/>
    </xf>
    <xf numFmtId="14" fontId="8" fillId="0" borderId="38" xfId="3" applyNumberFormat="1" applyFont="1" applyFill="1" applyBorder="1" applyAlignment="1">
      <alignment horizontal="center" vertical="center"/>
    </xf>
    <xf numFmtId="0" fontId="8" fillId="0" borderId="38" xfId="0" applyFont="1" applyFill="1" applyBorder="1"/>
    <xf numFmtId="14" fontId="8" fillId="0" borderId="12" xfId="3" applyNumberFormat="1" applyFont="1" applyFill="1" applyBorder="1" applyAlignment="1">
      <alignment horizontal="center" vertical="center"/>
    </xf>
    <xf numFmtId="164" fontId="21" fillId="0" borderId="37" xfId="3" applyNumberFormat="1" applyFont="1" applyFill="1" applyBorder="1" applyAlignment="1">
      <alignment horizontal="center" vertical="center"/>
    </xf>
    <xf numFmtId="164" fontId="21" fillId="0" borderId="18" xfId="3" applyNumberFormat="1" applyFont="1" applyFill="1" applyBorder="1" applyAlignment="1">
      <alignment horizontal="center" vertical="center"/>
    </xf>
    <xf numFmtId="164" fontId="4" fillId="4" borderId="12" xfId="3" applyNumberFormat="1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 wrapText="1"/>
    </xf>
    <xf numFmtId="43" fontId="8" fillId="0" borderId="1" xfId="1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center" wrapText="1"/>
    </xf>
    <xf numFmtId="0" fontId="9" fillId="4" borderId="42" xfId="0" applyFont="1" applyFill="1" applyBorder="1" applyAlignment="1">
      <alignment horizontal="center" wrapText="1"/>
    </xf>
    <xf numFmtId="43" fontId="9" fillId="12" borderId="1" xfId="1" applyFont="1" applyFill="1" applyBorder="1" applyAlignment="1"/>
    <xf numFmtId="43" fontId="9" fillId="12" borderId="7" xfId="1" applyFont="1" applyFill="1" applyBorder="1" applyAlignment="1"/>
    <xf numFmtId="43" fontId="9" fillId="0" borderId="7" xfId="1" applyFont="1" applyFill="1" applyBorder="1" applyAlignment="1"/>
    <xf numFmtId="43" fontId="9" fillId="12" borderId="6" xfId="1" applyFont="1" applyFill="1" applyBorder="1" applyAlignment="1"/>
    <xf numFmtId="43" fontId="9" fillId="0" borderId="6" xfId="1" applyFont="1" applyFill="1" applyBorder="1" applyAlignment="1"/>
    <xf numFmtId="43" fontId="9" fillId="12" borderId="38" xfId="1" applyFont="1" applyFill="1" applyBorder="1" applyAlignment="1"/>
    <xf numFmtId="43" fontId="9" fillId="0" borderId="38" xfId="1" applyFont="1" applyFill="1" applyBorder="1" applyAlignment="1"/>
    <xf numFmtId="43" fontId="9" fillId="0" borderId="1" xfId="1" applyFont="1" applyFill="1" applyBorder="1" applyAlignment="1">
      <alignment horizontal="left"/>
    </xf>
    <xf numFmtId="164" fontId="21" fillId="0" borderId="16" xfId="3" applyNumberFormat="1" applyFont="1" applyFill="1" applyBorder="1" applyAlignment="1">
      <alignment horizontal="center" vertical="center"/>
    </xf>
    <xf numFmtId="164" fontId="21" fillId="0" borderId="8" xfId="3" applyNumberFormat="1" applyFont="1" applyFill="1" applyBorder="1" applyAlignment="1">
      <alignment horizontal="center" vertical="center"/>
    </xf>
    <xf numFmtId="43" fontId="9" fillId="4" borderId="1" xfId="1" applyFont="1" applyFill="1" applyBorder="1" applyAlignment="1">
      <alignment horizontal="center" wrapText="1"/>
    </xf>
    <xf numFmtId="43" fontId="14" fillId="8" borderId="2" xfId="1" applyFont="1" applyFill="1" applyBorder="1" applyAlignment="1">
      <alignment horizontal="center" vertical="center"/>
    </xf>
    <xf numFmtId="43" fontId="8" fillId="0" borderId="24" xfId="1" applyFont="1" applyFill="1" applyBorder="1" applyAlignment="1">
      <alignment horizontal="center" vertical="center"/>
    </xf>
    <xf numFmtId="164" fontId="9" fillId="6" borderId="1" xfId="3" applyNumberFormat="1" applyFont="1" applyFill="1" applyBorder="1" applyAlignment="1">
      <alignment horizontal="center" vertical="center"/>
    </xf>
    <xf numFmtId="164" fontId="9" fillId="2" borderId="7" xfId="3" applyNumberFormat="1" applyFont="1" applyFill="1" applyBorder="1" applyAlignment="1">
      <alignment horizontal="center" vertical="center"/>
    </xf>
    <xf numFmtId="164" fontId="9" fillId="2" borderId="1" xfId="3" applyNumberFormat="1" applyFont="1" applyFill="1" applyBorder="1" applyAlignment="1">
      <alignment horizontal="center" vertical="center"/>
    </xf>
    <xf numFmtId="0" fontId="8" fillId="9" borderId="6" xfId="0" applyFont="1" applyFill="1" applyBorder="1"/>
    <xf numFmtId="43" fontId="8" fillId="0" borderId="14" xfId="1" applyFont="1" applyBorder="1" applyAlignment="1">
      <alignment horizontal="right" vertical="center"/>
    </xf>
    <xf numFmtId="43" fontId="8" fillId="0" borderId="1" xfId="1" applyFont="1" applyFill="1" applyBorder="1" applyAlignment="1">
      <alignment horizontal="center" vertical="center"/>
    </xf>
    <xf numFmtId="164" fontId="9" fillId="12" borderId="6" xfId="1" applyNumberFormat="1" applyFont="1" applyFill="1" applyBorder="1"/>
    <xf numFmtId="0" fontId="30" fillId="0" borderId="1" xfId="0" applyFont="1" applyFill="1" applyBorder="1" applyAlignment="1">
      <alignment horizontal="center"/>
    </xf>
    <xf numFmtId="164" fontId="9" fillId="6" borderId="7" xfId="3" applyNumberFormat="1" applyFont="1" applyFill="1" applyBorder="1" applyAlignment="1">
      <alignment horizontal="center" vertical="center"/>
    </xf>
    <xf numFmtId="164" fontId="9" fillId="6" borderId="6" xfId="3" applyNumberFormat="1" applyFont="1" applyFill="1" applyBorder="1" applyAlignment="1">
      <alignment horizontal="center" vertical="center"/>
    </xf>
    <xf numFmtId="164" fontId="9" fillId="2" borderId="6" xfId="3" applyNumberFormat="1" applyFont="1" applyFill="1" applyBorder="1" applyAlignment="1">
      <alignment horizontal="center" vertical="center"/>
    </xf>
    <xf numFmtId="0" fontId="8" fillId="14" borderId="1" xfId="0" applyFont="1" applyFill="1" applyBorder="1"/>
    <xf numFmtId="0" fontId="20" fillId="14" borderId="7" xfId="0" applyFont="1" applyFill="1" applyBorder="1" applyAlignment="1">
      <alignment horizontal="center" wrapText="1"/>
    </xf>
    <xf numFmtId="0" fontId="20" fillId="14" borderId="6" xfId="0" applyFont="1" applyFill="1" applyBorder="1" applyAlignment="1">
      <alignment horizontal="center" wrapText="1"/>
    </xf>
    <xf numFmtId="0" fontId="20" fillId="14" borderId="1" xfId="0" applyFont="1" applyFill="1" applyBorder="1" applyAlignment="1">
      <alignment horizontal="center" wrapText="1"/>
    </xf>
    <xf numFmtId="43" fontId="14" fillId="4" borderId="13" xfId="1" applyFont="1" applyFill="1" applyBorder="1" applyAlignment="1">
      <alignment horizontal="center" vertical="center"/>
    </xf>
    <xf numFmtId="43" fontId="14" fillId="4" borderId="29" xfId="1" applyFont="1" applyFill="1" applyBorder="1" applyAlignment="1">
      <alignment horizontal="center" vertical="center"/>
    </xf>
    <xf numFmtId="43" fontId="14" fillId="4" borderId="2" xfId="1" applyFont="1" applyFill="1" applyBorder="1" applyAlignment="1">
      <alignment horizontal="center" vertical="center"/>
    </xf>
    <xf numFmtId="43" fontId="14" fillId="4" borderId="42" xfId="1" applyFont="1" applyFill="1" applyBorder="1" applyAlignment="1">
      <alignment horizontal="center" vertical="center"/>
    </xf>
    <xf numFmtId="43" fontId="8" fillId="12" borderId="2" xfId="1" applyFont="1" applyFill="1" applyBorder="1" applyAlignment="1">
      <alignment horizontal="right" vertical="center"/>
    </xf>
    <xf numFmtId="9" fontId="3" fillId="0" borderId="1" xfId="0" applyNumberFormat="1" applyFont="1" applyBorder="1" applyAlignment="1">
      <alignment horizontal="center"/>
    </xf>
    <xf numFmtId="14" fontId="4" fillId="0" borderId="1" xfId="1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/>
    <xf numFmtId="43" fontId="4" fillId="0" borderId="1" xfId="1" applyFont="1" applyBorder="1"/>
    <xf numFmtId="0" fontId="4" fillId="0" borderId="0" xfId="0" applyFont="1"/>
    <xf numFmtId="14" fontId="4" fillId="12" borderId="1" xfId="0" applyNumberFormat="1" applyFont="1" applyFill="1" applyBorder="1"/>
    <xf numFmtId="43" fontId="3" fillId="12" borderId="1" xfId="0" applyNumberFormat="1" applyFont="1" applyFill="1" applyBorder="1"/>
    <xf numFmtId="0" fontId="4" fillId="12" borderId="1" xfId="0" applyFont="1" applyFill="1" applyBorder="1"/>
    <xf numFmtId="43" fontId="4" fillId="12" borderId="1" xfId="1" applyFont="1" applyFill="1" applyBorder="1"/>
    <xf numFmtId="164" fontId="4" fillId="12" borderId="1" xfId="1" applyNumberFormat="1" applyFont="1" applyFill="1" applyBorder="1"/>
    <xf numFmtId="164" fontId="4" fillId="4" borderId="1" xfId="1" applyNumberFormat="1" applyFont="1" applyFill="1" applyBorder="1"/>
    <xf numFmtId="43" fontId="4" fillId="4" borderId="1" xfId="1" applyFont="1" applyFill="1" applyBorder="1"/>
    <xf numFmtId="0" fontId="8" fillId="17" borderId="1" xfId="0" applyFont="1" applyFill="1" applyBorder="1"/>
    <xf numFmtId="0" fontId="8" fillId="17" borderId="6" xfId="0" applyFont="1" applyFill="1" applyBorder="1"/>
    <xf numFmtId="164" fontId="21" fillId="2" borderId="4" xfId="3" applyNumberFormat="1" applyFont="1" applyFill="1" applyBorder="1" applyAlignment="1">
      <alignment horizontal="center" vertical="center"/>
    </xf>
    <xf numFmtId="43" fontId="8" fillId="0" borderId="43" xfId="1" applyFont="1" applyFill="1" applyBorder="1" applyAlignment="1">
      <alignment horizontal="right" vertical="center"/>
    </xf>
    <xf numFmtId="164" fontId="9" fillId="0" borderId="28" xfId="1" applyNumberFormat="1" applyFont="1" applyFill="1" applyBorder="1" applyAlignment="1">
      <alignment wrapText="1"/>
    </xf>
    <xf numFmtId="164" fontId="8" fillId="6" borderId="4" xfId="3" applyNumberFormat="1" applyFont="1" applyFill="1" applyBorder="1" applyAlignment="1">
      <alignment horizontal="center" vertical="center"/>
    </xf>
    <xf numFmtId="164" fontId="9" fillId="9" borderId="1" xfId="1" applyNumberFormat="1" applyFont="1" applyFill="1" applyBorder="1" applyAlignment="1">
      <alignment wrapText="1"/>
    </xf>
    <xf numFmtId="164" fontId="4" fillId="9" borderId="1" xfId="1" applyNumberFormat="1" applyFont="1" applyFill="1" applyBorder="1"/>
    <xf numFmtId="0" fontId="8" fillId="10" borderId="6" xfId="0" applyFont="1" applyFill="1" applyBorder="1"/>
    <xf numFmtId="43" fontId="8" fillId="0" borderId="14" xfId="1" applyFont="1" applyFill="1" applyBorder="1" applyAlignment="1">
      <alignment horizontal="right" vertical="center"/>
    </xf>
    <xf numFmtId="164" fontId="4" fillId="0" borderId="1" xfId="1" applyNumberFormat="1" applyFont="1" applyFill="1" applyBorder="1" applyAlignment="1">
      <alignment horizontal="center"/>
    </xf>
    <xf numFmtId="43" fontId="11" fillId="0" borderId="1" xfId="1" applyFont="1" applyFill="1" applyBorder="1"/>
    <xf numFmtId="0" fontId="11" fillId="0" borderId="1" xfId="0" applyFont="1" applyFill="1" applyBorder="1"/>
    <xf numFmtId="164" fontId="31" fillId="0" borderId="1" xfId="1" applyNumberFormat="1" applyFont="1" applyFill="1" applyBorder="1" applyAlignment="1">
      <alignment horizontal="center"/>
    </xf>
    <xf numFmtId="0" fontId="8" fillId="10" borderId="1" xfId="0" applyFont="1" applyFill="1" applyBorder="1"/>
    <xf numFmtId="0" fontId="20" fillId="9" borderId="28" xfId="0" applyFont="1" applyFill="1" applyBorder="1" applyAlignment="1">
      <alignment horizontal="center" wrapText="1"/>
    </xf>
    <xf numFmtId="43" fontId="8" fillId="9" borderId="1" xfId="3" applyFont="1" applyFill="1" applyBorder="1"/>
    <xf numFmtId="43" fontId="8" fillId="10" borderId="1" xfId="3" applyFont="1" applyFill="1" applyBorder="1"/>
    <xf numFmtId="43" fontId="8" fillId="9" borderId="6" xfId="3" applyFont="1" applyFill="1" applyBorder="1"/>
    <xf numFmtId="43" fontId="9" fillId="0" borderId="8" xfId="3" applyFont="1" applyFill="1" applyBorder="1"/>
    <xf numFmtId="43" fontId="9" fillId="0" borderId="5" xfId="3" applyFont="1" applyFill="1" applyBorder="1"/>
    <xf numFmtId="164" fontId="8" fillId="2" borderId="4" xfId="3" applyNumberFormat="1" applyFont="1" applyFill="1" applyBorder="1" applyAlignment="1">
      <alignment horizontal="center" vertical="center"/>
    </xf>
    <xf numFmtId="164" fontId="8" fillId="2" borderId="21" xfId="3" applyNumberFormat="1" applyFont="1" applyFill="1" applyBorder="1" applyAlignment="1">
      <alignment horizontal="center" vertical="center"/>
    </xf>
    <xf numFmtId="14" fontId="3" fillId="7" borderId="1" xfId="0" applyNumberFormat="1" applyFont="1" applyFill="1" applyBorder="1"/>
    <xf numFmtId="0" fontId="8" fillId="0" borderId="1" xfId="0" applyFont="1" applyFill="1" applyBorder="1" applyAlignment="1">
      <alignment horizontal="center"/>
    </xf>
    <xf numFmtId="43" fontId="8" fillId="4" borderId="6" xfId="1" applyFont="1" applyFill="1" applyBorder="1"/>
    <xf numFmtId="43" fontId="8" fillId="0" borderId="2" xfId="1" applyFont="1" applyFill="1" applyBorder="1"/>
    <xf numFmtId="43" fontId="14" fillId="0" borderId="7" xfId="1" applyFont="1" applyFill="1" applyBorder="1" applyAlignment="1">
      <alignment horizontal="center"/>
    </xf>
    <xf numFmtId="164" fontId="14" fillId="0" borderId="14" xfId="1" applyNumberFormat="1" applyFont="1" applyFill="1" applyBorder="1" applyAlignment="1">
      <alignment horizontal="center"/>
    </xf>
    <xf numFmtId="43" fontId="14" fillId="0" borderId="8" xfId="1" applyFont="1" applyFill="1" applyBorder="1"/>
    <xf numFmtId="164" fontId="14" fillId="0" borderId="7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wrapText="1"/>
    </xf>
    <xf numFmtId="164" fontId="3" fillId="12" borderId="0" xfId="1" applyNumberFormat="1" applyFont="1" applyFill="1" applyBorder="1" applyAlignment="1">
      <alignment wrapText="1"/>
    </xf>
    <xf numFmtId="164" fontId="3" fillId="0" borderId="0" xfId="1" applyNumberFormat="1" applyFont="1" applyBorder="1" applyAlignment="1">
      <alignment wrapText="1"/>
    </xf>
    <xf numFmtId="164" fontId="3" fillId="0" borderId="0" xfId="1" applyNumberFormat="1" applyFont="1" applyAlignment="1">
      <alignment wrapText="1"/>
    </xf>
    <xf numFmtId="164" fontId="29" fillId="0" borderId="0" xfId="1" applyNumberFormat="1" applyFont="1" applyFill="1" applyBorder="1" applyAlignment="1">
      <alignment wrapText="1"/>
    </xf>
    <xf numFmtId="0" fontId="4" fillId="12" borderId="1" xfId="0" applyFont="1" applyFill="1" applyBorder="1" applyAlignment="1">
      <alignment horizontal="center"/>
    </xf>
    <xf numFmtId="43" fontId="4" fillId="12" borderId="1" xfId="1" applyFont="1" applyFill="1" applyBorder="1" applyAlignment="1">
      <alignment horizontal="center"/>
    </xf>
    <xf numFmtId="164" fontId="31" fillId="12" borderId="1" xfId="1" applyNumberFormat="1" applyFont="1" applyFill="1" applyBorder="1" applyAlignment="1">
      <alignment horizontal="center"/>
    </xf>
    <xf numFmtId="0" fontId="4" fillId="11" borderId="1" xfId="0" applyFont="1" applyFill="1" applyBorder="1"/>
    <xf numFmtId="14" fontId="3" fillId="9" borderId="1" xfId="0" applyNumberFormat="1" applyFont="1" applyFill="1" applyBorder="1"/>
    <xf numFmtId="14" fontId="4" fillId="9" borderId="1" xfId="0" applyNumberFormat="1" applyFont="1" applyFill="1" applyBorder="1"/>
    <xf numFmtId="0" fontId="4" fillId="9" borderId="1" xfId="0" applyFont="1" applyFill="1" applyBorder="1"/>
    <xf numFmtId="0" fontId="4" fillId="15" borderId="1" xfId="0" applyFont="1" applyFill="1" applyBorder="1"/>
    <xf numFmtId="0" fontId="3" fillId="15" borderId="0" xfId="0" applyFont="1" applyFill="1"/>
    <xf numFmtId="43" fontId="4" fillId="0" borderId="3" xfId="1" applyFont="1" applyFill="1" applyBorder="1" applyAlignment="1">
      <alignment horizontal="center"/>
    </xf>
    <xf numFmtId="0" fontId="4" fillId="14" borderId="1" xfId="0" applyFont="1" applyFill="1" applyBorder="1" applyAlignment="1">
      <alignment horizontal="center"/>
    </xf>
    <xf numFmtId="43" fontId="10" fillId="5" borderId="13" xfId="1" applyFont="1" applyFill="1" applyBorder="1" applyAlignment="1">
      <alignment horizontal="center" textRotation="69"/>
    </xf>
    <xf numFmtId="43" fontId="10" fillId="5" borderId="11" xfId="1" applyFont="1" applyFill="1" applyBorder="1" applyAlignment="1">
      <alignment horizontal="center" textRotation="69"/>
    </xf>
    <xf numFmtId="43" fontId="10" fillId="5" borderId="12" xfId="1" applyFont="1" applyFill="1" applyBorder="1" applyAlignment="1">
      <alignment horizontal="center" textRotation="69"/>
    </xf>
    <xf numFmtId="0" fontId="8" fillId="9" borderId="7" xfId="0" applyFont="1" applyFill="1" applyBorder="1"/>
    <xf numFmtId="0" fontId="8" fillId="10" borderId="7" xfId="0" applyFont="1" applyFill="1" applyBorder="1"/>
    <xf numFmtId="164" fontId="8" fillId="6" borderId="21" xfId="3" applyNumberFormat="1" applyFont="1" applyFill="1" applyBorder="1" applyAlignment="1">
      <alignment horizontal="center" vertical="center"/>
    </xf>
    <xf numFmtId="43" fontId="8" fillId="0" borderId="2" xfId="3" applyFont="1" applyFill="1" applyBorder="1"/>
    <xf numFmtId="43" fontId="9" fillId="0" borderId="10" xfId="3" applyFont="1" applyFill="1" applyBorder="1"/>
    <xf numFmtId="43" fontId="9" fillId="0" borderId="12" xfId="3" applyFont="1" applyFill="1" applyBorder="1"/>
    <xf numFmtId="164" fontId="10" fillId="5" borderId="1" xfId="1" applyNumberFormat="1" applyFont="1" applyFill="1" applyBorder="1"/>
    <xf numFmtId="43" fontId="9" fillId="0" borderId="0" xfId="0" applyNumberFormat="1" applyFont="1"/>
    <xf numFmtId="43" fontId="8" fillId="8" borderId="10" xfId="1" applyFont="1" applyFill="1" applyBorder="1" applyAlignment="1">
      <alignment horizontal="right" vertical="center"/>
    </xf>
    <xf numFmtId="0" fontId="7" fillId="6" borderId="6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wrapText="1"/>
    </xf>
    <xf numFmtId="0" fontId="7" fillId="4" borderId="6" xfId="0" applyFont="1" applyFill="1" applyBorder="1" applyAlignment="1">
      <alignment horizontal="center" wrapText="1"/>
    </xf>
    <xf numFmtId="43" fontId="7" fillId="4" borderId="6" xfId="1" applyFont="1" applyFill="1" applyBorder="1" applyAlignment="1">
      <alignment horizontal="center" wrapText="1"/>
    </xf>
    <xf numFmtId="164" fontId="7" fillId="7" borderId="6" xfId="1" applyNumberFormat="1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0" fontId="7" fillId="7" borderId="6" xfId="0" applyFont="1" applyFill="1" applyBorder="1" applyAlignment="1">
      <alignment horizontal="center" wrapText="1"/>
    </xf>
    <xf numFmtId="164" fontId="7" fillId="0" borderId="6" xfId="1" applyNumberFormat="1" applyFont="1" applyBorder="1" applyAlignment="1">
      <alignment horizontal="center" wrapText="1"/>
    </xf>
    <xf numFmtId="0" fontId="7" fillId="0" borderId="42" xfId="0" applyFont="1" applyBorder="1" applyAlignment="1">
      <alignment horizontal="center" wrapText="1"/>
    </xf>
    <xf numFmtId="0" fontId="22" fillId="0" borderId="6" xfId="0" applyFont="1" applyBorder="1"/>
    <xf numFmtId="164" fontId="22" fillId="0" borderId="6" xfId="1" applyNumberFormat="1" applyFont="1" applyBorder="1"/>
    <xf numFmtId="0" fontId="22" fillId="0" borderId="10" xfId="0" applyFont="1" applyBorder="1" applyAlignment="1">
      <alignment wrapText="1"/>
    </xf>
    <xf numFmtId="0" fontId="22" fillId="0" borderId="0" xfId="0" applyFont="1"/>
    <xf numFmtId="43" fontId="14" fillId="0" borderId="5" xfId="1" applyFont="1" applyFill="1" applyBorder="1" applyAlignment="1">
      <alignment horizontal="center"/>
    </xf>
    <xf numFmtId="164" fontId="14" fillId="0" borderId="2" xfId="1" applyNumberFormat="1" applyFont="1" applyFill="1" applyBorder="1" applyAlignment="1">
      <alignment horizontal="center"/>
    </xf>
    <xf numFmtId="164" fontId="3" fillId="0" borderId="41" xfId="3" applyNumberFormat="1" applyFont="1" applyFill="1" applyBorder="1"/>
    <xf numFmtId="164" fontId="3" fillId="0" borderId="41" xfId="3" applyNumberFormat="1" applyFont="1" applyFill="1" applyBorder="1" applyAlignment="1"/>
    <xf numFmtId="14" fontId="3" fillId="6" borderId="6" xfId="0" applyNumberFormat="1" applyFont="1" applyFill="1" applyBorder="1" applyAlignment="1">
      <alignment horizontal="center"/>
    </xf>
    <xf numFmtId="0" fontId="4" fillId="0" borderId="7" xfId="0" applyFont="1" applyBorder="1"/>
    <xf numFmtId="164" fontId="4" fillId="4" borderId="14" xfId="3" applyNumberFormat="1" applyFont="1" applyFill="1" applyBorder="1" applyAlignment="1">
      <alignment horizontal="center"/>
    </xf>
    <xf numFmtId="164" fontId="4" fillId="4" borderId="2" xfId="3" applyNumberFormat="1" applyFont="1" applyFill="1" applyBorder="1" applyAlignment="1">
      <alignment horizontal="center"/>
    </xf>
    <xf numFmtId="164" fontId="4" fillId="4" borderId="15" xfId="3" applyNumberFormat="1" applyFont="1" applyFill="1" applyBorder="1" applyAlignment="1">
      <alignment horizontal="center"/>
    </xf>
    <xf numFmtId="43" fontId="9" fillId="0" borderId="19" xfId="1" applyFont="1" applyFill="1" applyBorder="1" applyAlignment="1">
      <alignment horizontal="center"/>
    </xf>
    <xf numFmtId="164" fontId="9" fillId="0" borderId="41" xfId="1" applyNumberFormat="1" applyFont="1" applyFill="1" applyBorder="1" applyAlignment="1"/>
    <xf numFmtId="164" fontId="9" fillId="0" borderId="2" xfId="1" applyNumberFormat="1" applyFont="1" applyFill="1" applyBorder="1" applyAlignment="1"/>
    <xf numFmtId="164" fontId="9" fillId="0" borderId="14" xfId="1" applyNumberFormat="1" applyFont="1" applyFill="1" applyBorder="1" applyAlignment="1"/>
    <xf numFmtId="43" fontId="9" fillId="0" borderId="48" xfId="1" applyFont="1" applyFill="1" applyBorder="1" applyAlignment="1"/>
    <xf numFmtId="43" fontId="9" fillId="0" borderId="29" xfId="1" applyFont="1" applyFill="1" applyBorder="1" applyAlignment="1"/>
    <xf numFmtId="43" fontId="9" fillId="0" borderId="2" xfId="1" applyFont="1" applyFill="1" applyBorder="1" applyAlignment="1"/>
    <xf numFmtId="43" fontId="9" fillId="0" borderId="42" xfId="1" applyFont="1" applyFill="1" applyBorder="1" applyAlignment="1"/>
    <xf numFmtId="43" fontId="9" fillId="0" borderId="15" xfId="1" applyFont="1" applyFill="1" applyBorder="1" applyAlignment="1"/>
    <xf numFmtId="43" fontId="14" fillId="0" borderId="38" xfId="1" applyFont="1" applyFill="1" applyBorder="1" applyAlignment="1">
      <alignment horizontal="center"/>
    </xf>
    <xf numFmtId="164" fontId="14" fillId="0" borderId="38" xfId="1" applyNumberFormat="1" applyFont="1" applyFill="1" applyBorder="1" applyAlignment="1">
      <alignment horizontal="center"/>
    </xf>
    <xf numFmtId="164" fontId="21" fillId="0" borderId="8" xfId="1" applyNumberFormat="1" applyFont="1" applyFill="1" applyBorder="1" applyAlignment="1">
      <alignment horizontal="center" vertical="center"/>
    </xf>
    <xf numFmtId="164" fontId="21" fillId="2" borderId="1" xfId="3" applyNumberFormat="1" applyFont="1" applyFill="1" applyBorder="1" applyAlignment="1">
      <alignment vertical="center"/>
    </xf>
    <xf numFmtId="164" fontId="21" fillId="2" borderId="6" xfId="3" applyNumberFormat="1" applyFont="1" applyFill="1" applyBorder="1" applyAlignment="1">
      <alignment vertical="center"/>
    </xf>
    <xf numFmtId="164" fontId="8" fillId="6" borderId="1" xfId="3" applyNumberFormat="1" applyFont="1" applyFill="1" applyBorder="1" applyAlignment="1">
      <alignment vertical="center"/>
    </xf>
    <xf numFmtId="164" fontId="8" fillId="6" borderId="7" xfId="3" applyNumberFormat="1" applyFont="1" applyFill="1" applyBorder="1" applyAlignment="1">
      <alignment vertical="center"/>
    </xf>
    <xf numFmtId="164" fontId="8" fillId="6" borderId="6" xfId="3" applyNumberFormat="1" applyFont="1" applyFill="1" applyBorder="1" applyAlignment="1">
      <alignment vertical="center"/>
    </xf>
    <xf numFmtId="164" fontId="9" fillId="6" borderId="21" xfId="3" applyNumberFormat="1" applyFont="1" applyFill="1" applyBorder="1" applyAlignment="1">
      <alignment horizontal="center" vertical="center"/>
    </xf>
    <xf numFmtId="164" fontId="8" fillId="2" borderId="22" xfId="1" applyNumberFormat="1" applyFont="1" applyFill="1" applyBorder="1" applyAlignment="1">
      <alignment vertical="center"/>
    </xf>
    <xf numFmtId="164" fontId="8" fillId="2" borderId="25" xfId="1" applyNumberFormat="1" applyFont="1" applyFill="1" applyBorder="1" applyAlignment="1">
      <alignment vertical="center"/>
    </xf>
    <xf numFmtId="164" fontId="8" fillId="2" borderId="1" xfId="1" applyNumberFormat="1" applyFont="1" applyFill="1" applyBorder="1" applyAlignment="1">
      <alignment vertical="center"/>
    </xf>
    <xf numFmtId="43" fontId="9" fillId="3" borderId="1" xfId="3" applyFont="1" applyFill="1" applyBorder="1" applyAlignment="1">
      <alignment horizontal="left" vertical="center"/>
    </xf>
    <xf numFmtId="0" fontId="4" fillId="0" borderId="7" xfId="0" applyFont="1" applyFill="1" applyBorder="1"/>
    <xf numFmtId="43" fontId="9" fillId="5" borderId="55" xfId="1" applyFont="1" applyFill="1" applyBorder="1" applyAlignment="1">
      <alignment horizontal="center"/>
    </xf>
    <xf numFmtId="43" fontId="9" fillId="5" borderId="56" xfId="1" applyFont="1" applyFill="1" applyBorder="1" applyAlignment="1">
      <alignment horizontal="center"/>
    </xf>
    <xf numFmtId="43" fontId="9" fillId="5" borderId="19" xfId="1" applyFont="1" applyFill="1" applyBorder="1" applyAlignment="1">
      <alignment horizontal="center"/>
    </xf>
    <xf numFmtId="43" fontId="9" fillId="5" borderId="42" xfId="1" applyFont="1" applyFill="1" applyBorder="1" applyAlignment="1">
      <alignment horizontal="center"/>
    </xf>
    <xf numFmtId="43" fontId="9" fillId="5" borderId="20" xfId="1" applyFont="1" applyFill="1" applyBorder="1" applyAlignment="1">
      <alignment horizontal="center"/>
    </xf>
    <xf numFmtId="43" fontId="9" fillId="5" borderId="18" xfId="1" applyFont="1" applyFill="1" applyBorder="1" applyAlignment="1">
      <alignment horizontal="center"/>
    </xf>
    <xf numFmtId="43" fontId="9" fillId="5" borderId="60" xfId="1" applyFont="1" applyFill="1" applyBorder="1" applyAlignment="1">
      <alignment horizontal="center"/>
    </xf>
    <xf numFmtId="43" fontId="9" fillId="5" borderId="50" xfId="1" applyFont="1" applyFill="1" applyBorder="1" applyAlignment="1">
      <alignment horizontal="center"/>
    </xf>
    <xf numFmtId="43" fontId="9" fillId="5" borderId="0" xfId="1" applyFont="1" applyFill="1" applyBorder="1" applyAlignment="1">
      <alignment horizontal="center"/>
    </xf>
    <xf numFmtId="43" fontId="9" fillId="5" borderId="26" xfId="1" applyFont="1" applyFill="1" applyBorder="1" applyAlignment="1">
      <alignment horizontal="center"/>
    </xf>
    <xf numFmtId="43" fontId="9" fillId="5" borderId="51" xfId="1" applyFont="1" applyFill="1" applyBorder="1" applyAlignment="1">
      <alignment horizontal="center"/>
    </xf>
    <xf numFmtId="43" fontId="9" fillId="5" borderId="58" xfId="1" applyFont="1" applyFill="1" applyBorder="1" applyAlignment="1">
      <alignment horizontal="center"/>
    </xf>
    <xf numFmtId="43" fontId="9" fillId="5" borderId="46" xfId="1" applyFont="1" applyFill="1" applyBorder="1" applyAlignment="1">
      <alignment horizontal="center"/>
    </xf>
    <xf numFmtId="43" fontId="9" fillId="5" borderId="44" xfId="1" applyFont="1" applyFill="1" applyBorder="1" applyAlignment="1">
      <alignment horizontal="center"/>
    </xf>
    <xf numFmtId="43" fontId="9" fillId="5" borderId="52" xfId="1" applyFont="1" applyFill="1" applyBorder="1" applyAlignment="1">
      <alignment horizontal="center"/>
    </xf>
    <xf numFmtId="43" fontId="9" fillId="5" borderId="3" xfId="1" applyFont="1" applyFill="1" applyBorder="1" applyAlignment="1">
      <alignment horizontal="center"/>
    </xf>
    <xf numFmtId="43" fontId="9" fillId="5" borderId="59" xfId="1" applyFont="1" applyFill="1" applyBorder="1" applyAlignment="1">
      <alignment horizontal="center"/>
    </xf>
    <xf numFmtId="43" fontId="10" fillId="5" borderId="49" xfId="1" applyFont="1" applyFill="1" applyBorder="1" applyAlignment="1">
      <alignment horizontal="center"/>
    </xf>
    <xf numFmtId="43" fontId="10" fillId="5" borderId="45" xfId="1" applyFont="1" applyFill="1" applyBorder="1" applyAlignment="1">
      <alignment horizontal="center"/>
    </xf>
    <xf numFmtId="43" fontId="10" fillId="5" borderId="50" xfId="1" applyFont="1" applyFill="1" applyBorder="1" applyAlignment="1">
      <alignment horizontal="center"/>
    </xf>
    <xf numFmtId="43" fontId="10" fillId="5" borderId="44" xfId="1" applyFont="1" applyFill="1" applyBorder="1" applyAlignment="1">
      <alignment horizontal="center"/>
    </xf>
    <xf numFmtId="43" fontId="10" fillId="5" borderId="51" xfId="1" applyFont="1" applyFill="1" applyBorder="1" applyAlignment="1">
      <alignment horizontal="center"/>
    </xf>
    <xf numFmtId="43" fontId="10" fillId="5" borderId="46" xfId="1" applyFont="1" applyFill="1" applyBorder="1" applyAlignment="1">
      <alignment horizontal="center"/>
    </xf>
    <xf numFmtId="43" fontId="9" fillId="5" borderId="60" xfId="1" applyFont="1" applyFill="1" applyBorder="1" applyAlignment="1">
      <alignment horizontal="center" wrapText="1"/>
    </xf>
    <xf numFmtId="43" fontId="9" fillId="5" borderId="56" xfId="1" applyFont="1" applyFill="1" applyBorder="1" applyAlignment="1">
      <alignment horizontal="center" wrapText="1"/>
    </xf>
    <xf numFmtId="43" fontId="9" fillId="5" borderId="19" xfId="1" applyFont="1" applyFill="1" applyBorder="1" applyAlignment="1">
      <alignment horizontal="center" wrapText="1"/>
    </xf>
    <xf numFmtId="43" fontId="9" fillId="5" borderId="50" xfId="1" applyFont="1" applyFill="1" applyBorder="1" applyAlignment="1">
      <alignment horizontal="center" wrapText="1"/>
    </xf>
    <xf numFmtId="43" fontId="9" fillId="5" borderId="0" xfId="1" applyFont="1" applyFill="1" applyBorder="1" applyAlignment="1">
      <alignment horizontal="center" wrapText="1"/>
    </xf>
    <xf numFmtId="43" fontId="9" fillId="5" borderId="26" xfId="1" applyFont="1" applyFill="1" applyBorder="1" applyAlignment="1">
      <alignment horizontal="center" wrapText="1"/>
    </xf>
    <xf numFmtId="43" fontId="9" fillId="5" borderId="53" xfId="1" applyFont="1" applyFill="1" applyBorder="1" applyAlignment="1">
      <alignment horizontal="center" wrapText="1"/>
    </xf>
    <xf numFmtId="43" fontId="9" fillId="5" borderId="9" xfId="1" applyFont="1" applyFill="1" applyBorder="1" applyAlignment="1">
      <alignment horizontal="center" wrapText="1"/>
    </xf>
    <xf numFmtId="43" fontId="9" fillId="5" borderId="8" xfId="1" applyFont="1" applyFill="1" applyBorder="1" applyAlignment="1">
      <alignment horizontal="center" wrapText="1"/>
    </xf>
    <xf numFmtId="43" fontId="9" fillId="5" borderId="5" xfId="1" applyFont="1" applyFill="1" applyBorder="1" applyAlignment="1">
      <alignment horizontal="center"/>
    </xf>
    <xf numFmtId="43" fontId="9" fillId="5" borderId="29" xfId="1" applyFont="1" applyFill="1" applyBorder="1" applyAlignment="1">
      <alignment horizontal="center" wrapText="1"/>
    </xf>
    <xf numFmtId="43" fontId="9" fillId="5" borderId="47" xfId="1" applyFont="1" applyFill="1" applyBorder="1" applyAlignment="1">
      <alignment horizontal="center" wrapText="1"/>
    </xf>
    <xf numFmtId="43" fontId="9" fillId="5" borderId="17" xfId="1" applyFont="1" applyFill="1" applyBorder="1" applyAlignment="1">
      <alignment horizontal="center" wrapText="1"/>
    </xf>
    <xf numFmtId="43" fontId="9" fillId="5" borderId="41" xfId="1" applyFont="1" applyFill="1" applyBorder="1" applyAlignment="1">
      <alignment horizontal="center" wrapText="1"/>
    </xf>
    <xf numFmtId="43" fontId="9" fillId="5" borderId="14" xfId="1" applyFont="1" applyFill="1" applyBorder="1" applyAlignment="1">
      <alignment horizontal="center" wrapText="1"/>
    </xf>
    <xf numFmtId="43" fontId="9" fillId="5" borderId="45" xfId="1" applyFont="1" applyFill="1" applyBorder="1" applyAlignment="1">
      <alignment horizontal="center" wrapText="1"/>
    </xf>
    <xf numFmtId="43" fontId="9" fillId="5" borderId="44" xfId="1" applyFont="1" applyFill="1" applyBorder="1" applyAlignment="1">
      <alignment horizontal="center" wrapText="1"/>
    </xf>
    <xf numFmtId="43" fontId="9" fillId="5" borderId="54" xfId="1" applyFont="1" applyFill="1" applyBorder="1" applyAlignment="1">
      <alignment horizontal="center" wrapText="1"/>
    </xf>
    <xf numFmtId="43" fontId="9" fillId="5" borderId="2" xfId="1" applyFont="1" applyFill="1" applyBorder="1" applyAlignment="1">
      <alignment horizontal="center"/>
    </xf>
    <xf numFmtId="43" fontId="9" fillId="5" borderId="55" xfId="1" applyFont="1" applyFill="1" applyBorder="1" applyAlignment="1">
      <alignment horizontal="center" wrapText="1"/>
    </xf>
    <xf numFmtId="43" fontId="9" fillId="5" borderId="58" xfId="1" applyFont="1" applyFill="1" applyBorder="1" applyAlignment="1">
      <alignment horizontal="center" wrapText="1"/>
    </xf>
    <xf numFmtId="43" fontId="9" fillId="5" borderId="14" xfId="1" applyFont="1" applyFill="1" applyBorder="1" applyAlignment="1">
      <alignment horizontal="center"/>
    </xf>
    <xf numFmtId="43" fontId="9" fillId="5" borderId="9" xfId="1" applyFont="1" applyFill="1" applyBorder="1" applyAlignment="1">
      <alignment horizontal="center"/>
    </xf>
    <xf numFmtId="43" fontId="9" fillId="5" borderId="54" xfId="1" applyFont="1" applyFill="1" applyBorder="1" applyAlignment="1">
      <alignment horizontal="center"/>
    </xf>
    <xf numFmtId="43" fontId="9" fillId="5" borderId="41" xfId="1" applyFont="1" applyFill="1" applyBorder="1" applyAlignment="1">
      <alignment horizontal="center"/>
    </xf>
    <xf numFmtId="43" fontId="9" fillId="5" borderId="51" xfId="1" applyFont="1" applyFill="1" applyBorder="1" applyAlignment="1">
      <alignment horizontal="center" wrapText="1"/>
    </xf>
    <xf numFmtId="43" fontId="9" fillId="5" borderId="20" xfId="1" applyFont="1" applyFill="1" applyBorder="1" applyAlignment="1">
      <alignment horizontal="center" wrapText="1"/>
    </xf>
    <xf numFmtId="43" fontId="9" fillId="5" borderId="46" xfId="1" applyFont="1" applyFill="1" applyBorder="1" applyAlignment="1">
      <alignment horizontal="center" wrapText="1"/>
    </xf>
    <xf numFmtId="14" fontId="12" fillId="0" borderId="30" xfId="1" applyNumberFormat="1" applyFont="1" applyFill="1" applyBorder="1" applyAlignment="1">
      <alignment horizontal="center"/>
    </xf>
    <xf numFmtId="14" fontId="12" fillId="0" borderId="32" xfId="1" applyNumberFormat="1" applyFont="1" applyFill="1" applyBorder="1" applyAlignment="1">
      <alignment horizontal="center"/>
    </xf>
    <xf numFmtId="14" fontId="12" fillId="0" borderId="31" xfId="1" applyNumberFormat="1" applyFont="1" applyFill="1" applyBorder="1" applyAlignment="1">
      <alignment horizontal="center"/>
    </xf>
    <xf numFmtId="164" fontId="10" fillId="5" borderId="30" xfId="1" applyNumberFormat="1" applyFont="1" applyFill="1" applyBorder="1" applyAlignment="1">
      <alignment horizontal="center"/>
    </xf>
    <xf numFmtId="164" fontId="10" fillId="5" borderId="32" xfId="1" applyNumberFormat="1" applyFont="1" applyFill="1" applyBorder="1" applyAlignment="1">
      <alignment horizontal="center"/>
    </xf>
    <xf numFmtId="164" fontId="10" fillId="5" borderId="31" xfId="1" applyNumberFormat="1" applyFont="1" applyFill="1" applyBorder="1" applyAlignment="1">
      <alignment horizontal="center"/>
    </xf>
    <xf numFmtId="164" fontId="17" fillId="5" borderId="30" xfId="1" applyNumberFormat="1" applyFont="1" applyFill="1" applyBorder="1" applyAlignment="1">
      <alignment horizontal="center"/>
    </xf>
    <xf numFmtId="164" fontId="17" fillId="5" borderId="32" xfId="1" applyNumberFormat="1" applyFont="1" applyFill="1" applyBorder="1" applyAlignment="1">
      <alignment horizontal="center"/>
    </xf>
    <xf numFmtId="164" fontId="17" fillId="5" borderId="31" xfId="1" applyNumberFormat="1" applyFont="1" applyFill="1" applyBorder="1" applyAlignment="1">
      <alignment horizontal="center"/>
    </xf>
    <xf numFmtId="0" fontId="14" fillId="0" borderId="32" xfId="0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164" fontId="3" fillId="0" borderId="30" xfId="3" applyNumberFormat="1" applyFont="1" applyFill="1" applyBorder="1" applyAlignment="1">
      <alignment horizontal="center"/>
    </xf>
    <xf numFmtId="164" fontId="3" fillId="0" borderId="31" xfId="3" applyNumberFormat="1" applyFont="1" applyFill="1" applyBorder="1" applyAlignment="1">
      <alignment horizontal="center"/>
    </xf>
    <xf numFmtId="164" fontId="3" fillId="0" borderId="32" xfId="3" applyNumberFormat="1" applyFont="1" applyFill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14" fillId="0" borderId="30" xfId="0" applyFont="1" applyBorder="1" applyAlignment="1">
      <alignment horizontal="center" wrapText="1"/>
    </xf>
    <xf numFmtId="43" fontId="9" fillId="5" borderId="8" xfId="1" applyFont="1" applyFill="1" applyBorder="1" applyAlignment="1">
      <alignment horizontal="center"/>
    </xf>
    <xf numFmtId="164" fontId="17" fillId="13" borderId="30" xfId="1" applyNumberFormat="1" applyFont="1" applyFill="1" applyBorder="1" applyAlignment="1">
      <alignment horizontal="center"/>
    </xf>
    <xf numFmtId="164" fontId="17" fillId="13" borderId="32" xfId="1" applyNumberFormat="1" applyFont="1" applyFill="1" applyBorder="1" applyAlignment="1">
      <alignment horizontal="center"/>
    </xf>
    <xf numFmtId="164" fontId="17" fillId="13" borderId="31" xfId="1" applyNumberFormat="1" applyFont="1" applyFill="1" applyBorder="1" applyAlignment="1">
      <alignment horizontal="center"/>
    </xf>
    <xf numFmtId="164" fontId="20" fillId="10" borderId="30" xfId="1" applyNumberFormat="1" applyFont="1" applyFill="1" applyBorder="1" applyAlignment="1">
      <alignment horizontal="center" vertical="center"/>
    </xf>
    <xf numFmtId="164" fontId="20" fillId="10" borderId="32" xfId="1" applyNumberFormat="1" applyFont="1" applyFill="1" applyBorder="1" applyAlignment="1">
      <alignment horizontal="center" vertical="center"/>
    </xf>
    <xf numFmtId="164" fontId="20" fillId="10" borderId="31" xfId="1" applyNumberFormat="1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wrapText="1"/>
    </xf>
    <xf numFmtId="0" fontId="9" fillId="0" borderId="32" xfId="0" applyFont="1" applyFill="1" applyBorder="1" applyAlignment="1">
      <alignment horizontal="center" wrapText="1"/>
    </xf>
    <xf numFmtId="0" fontId="9" fillId="0" borderId="31" xfId="0" applyFont="1" applyFill="1" applyBorder="1" applyAlignment="1">
      <alignment horizontal="center" wrapText="1"/>
    </xf>
    <xf numFmtId="43" fontId="12" fillId="0" borderId="32" xfId="1" applyFont="1" applyFill="1" applyBorder="1" applyAlignment="1">
      <alignment horizontal="center"/>
    </xf>
    <xf numFmtId="43" fontId="12" fillId="0" borderId="31" xfId="1" applyFont="1" applyFill="1" applyBorder="1" applyAlignment="1">
      <alignment horizontal="center"/>
    </xf>
    <xf numFmtId="164" fontId="17" fillId="4" borderId="30" xfId="1" applyNumberFormat="1" applyFont="1" applyFill="1" applyBorder="1" applyAlignment="1">
      <alignment horizontal="center"/>
    </xf>
    <xf numFmtId="164" fontId="17" fillId="4" borderId="32" xfId="1" applyNumberFormat="1" applyFont="1" applyFill="1" applyBorder="1" applyAlignment="1">
      <alignment horizontal="center"/>
    </xf>
    <xf numFmtId="164" fontId="17" fillId="4" borderId="31" xfId="1" applyNumberFormat="1" applyFont="1" applyFill="1" applyBorder="1" applyAlignment="1">
      <alignment horizontal="center"/>
    </xf>
    <xf numFmtId="43" fontId="10" fillId="5" borderId="49" xfId="1" applyFont="1" applyFill="1" applyBorder="1" applyAlignment="1">
      <alignment horizontal="center" wrapText="1"/>
    </xf>
    <xf numFmtId="43" fontId="10" fillId="5" borderId="45" xfId="1" applyFont="1" applyFill="1" applyBorder="1" applyAlignment="1">
      <alignment horizontal="center" wrapText="1"/>
    </xf>
    <xf numFmtId="43" fontId="10" fillId="5" borderId="50" xfId="1" applyFont="1" applyFill="1" applyBorder="1" applyAlignment="1">
      <alignment horizontal="center" wrapText="1"/>
    </xf>
    <xf numFmtId="43" fontId="10" fillId="5" borderId="44" xfId="1" applyFont="1" applyFill="1" applyBorder="1" applyAlignment="1">
      <alignment horizontal="center" wrapText="1"/>
    </xf>
    <xf numFmtId="43" fontId="10" fillId="5" borderId="51" xfId="1" applyFont="1" applyFill="1" applyBorder="1" applyAlignment="1">
      <alignment horizontal="center" wrapText="1"/>
    </xf>
    <xf numFmtId="43" fontId="10" fillId="5" borderId="46" xfId="1" applyFont="1" applyFill="1" applyBorder="1" applyAlignment="1">
      <alignment horizontal="center" wrapText="1"/>
    </xf>
    <xf numFmtId="164" fontId="20" fillId="9" borderId="30" xfId="1" applyNumberFormat="1" applyFont="1" applyFill="1" applyBorder="1" applyAlignment="1">
      <alignment horizontal="center" vertical="center"/>
    </xf>
    <xf numFmtId="164" fontId="20" fillId="9" borderId="32" xfId="1" applyNumberFormat="1" applyFont="1" applyFill="1" applyBorder="1" applyAlignment="1">
      <alignment horizontal="center" vertical="center"/>
    </xf>
    <xf numFmtId="164" fontId="20" fillId="9" borderId="31" xfId="1" applyNumberFormat="1" applyFont="1" applyFill="1" applyBorder="1" applyAlignment="1">
      <alignment horizontal="center" vertical="center"/>
    </xf>
    <xf numFmtId="0" fontId="0" fillId="0" borderId="32" xfId="0" applyBorder="1"/>
    <xf numFmtId="0" fontId="0" fillId="0" borderId="31" xfId="0" applyBorder="1"/>
    <xf numFmtId="164" fontId="10" fillId="5" borderId="30" xfId="1" applyNumberFormat="1" applyFont="1" applyFill="1" applyBorder="1" applyAlignment="1">
      <alignment horizontal="center" textRotation="63"/>
    </xf>
    <xf numFmtId="164" fontId="10" fillId="5" borderId="32" xfId="1" applyNumberFormat="1" applyFont="1" applyFill="1" applyBorder="1" applyAlignment="1">
      <alignment horizontal="center" textRotation="63"/>
    </xf>
    <xf numFmtId="164" fontId="10" fillId="5" borderId="31" xfId="1" applyNumberFormat="1" applyFont="1" applyFill="1" applyBorder="1" applyAlignment="1">
      <alignment horizontal="center" textRotation="63"/>
    </xf>
    <xf numFmtId="0" fontId="3" fillId="0" borderId="29" xfId="0" applyFont="1" applyFill="1" applyBorder="1" applyAlignment="1">
      <alignment horizontal="center" wrapText="1"/>
    </xf>
    <xf numFmtId="0" fontId="3" fillId="0" borderId="41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wrapText="1"/>
    </xf>
    <xf numFmtId="0" fontId="3" fillId="0" borderId="55" xfId="0" applyFont="1" applyFill="1" applyBorder="1" applyAlignment="1">
      <alignment horizontal="center" wrapText="1"/>
    </xf>
    <xf numFmtId="164" fontId="20" fillId="10" borderId="30" xfId="1" applyNumberFormat="1" applyFont="1" applyFill="1" applyBorder="1" applyAlignment="1">
      <alignment horizontal="center" vertical="center" textRotation="74" wrapText="1"/>
    </xf>
    <xf numFmtId="164" fontId="20" fillId="10" borderId="32" xfId="1" applyNumberFormat="1" applyFont="1" applyFill="1" applyBorder="1" applyAlignment="1">
      <alignment horizontal="center" vertical="center" textRotation="74" wrapText="1"/>
    </xf>
    <xf numFmtId="164" fontId="20" fillId="10" borderId="31" xfId="1" applyNumberFormat="1" applyFont="1" applyFill="1" applyBorder="1" applyAlignment="1">
      <alignment horizontal="center" vertical="center" textRotation="74" wrapText="1"/>
    </xf>
    <xf numFmtId="0" fontId="9" fillId="0" borderId="29" xfId="0" quotePrefix="1" applyFont="1" applyFill="1" applyBorder="1" applyAlignment="1">
      <alignment horizontal="center" textRotation="53" wrapText="1"/>
    </xf>
    <xf numFmtId="0" fontId="9" fillId="0" borderId="41" xfId="0" applyFont="1" applyFill="1" applyBorder="1" applyAlignment="1">
      <alignment horizontal="center" textRotation="53" wrapText="1"/>
    </xf>
    <xf numFmtId="0" fontId="9" fillId="0" borderId="42" xfId="0" applyFont="1" applyFill="1" applyBorder="1" applyAlignment="1">
      <alignment horizontal="center" textRotation="53" wrapText="1"/>
    </xf>
    <xf numFmtId="0" fontId="3" fillId="0" borderId="0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wrapText="1"/>
    </xf>
    <xf numFmtId="164" fontId="9" fillId="0" borderId="30" xfId="3" applyNumberFormat="1" applyFont="1" applyFill="1" applyBorder="1" applyAlignment="1">
      <alignment horizontal="center"/>
    </xf>
    <xf numFmtId="164" fontId="9" fillId="0" borderId="32" xfId="3" applyNumberFormat="1" applyFont="1" applyFill="1" applyBorder="1" applyAlignment="1">
      <alignment horizontal="center"/>
    </xf>
    <xf numFmtId="164" fontId="9" fillId="0" borderId="31" xfId="3" applyNumberFormat="1" applyFont="1" applyFill="1" applyBorder="1" applyAlignment="1">
      <alignment horizontal="center"/>
    </xf>
    <xf numFmtId="0" fontId="3" fillId="0" borderId="42" xfId="0" applyFont="1" applyFill="1" applyBorder="1" applyAlignment="1">
      <alignment horizontal="center" wrapText="1"/>
    </xf>
    <xf numFmtId="164" fontId="20" fillId="9" borderId="30" xfId="1" applyNumberFormat="1" applyFont="1" applyFill="1" applyBorder="1" applyAlignment="1">
      <alignment horizontal="center" vertical="center" textRotation="59"/>
    </xf>
    <xf numFmtId="164" fontId="20" fillId="9" borderId="32" xfId="1" applyNumberFormat="1" applyFont="1" applyFill="1" applyBorder="1" applyAlignment="1">
      <alignment horizontal="center" vertical="center" textRotation="59"/>
    </xf>
    <xf numFmtId="164" fontId="20" fillId="9" borderId="31" xfId="1" applyNumberFormat="1" applyFont="1" applyFill="1" applyBorder="1" applyAlignment="1">
      <alignment horizontal="center" vertical="center" textRotation="59"/>
    </xf>
    <xf numFmtId="164" fontId="12" fillId="9" borderId="30" xfId="1" applyNumberFormat="1" applyFont="1" applyFill="1" applyBorder="1" applyAlignment="1">
      <alignment horizontal="center" vertical="center"/>
    </xf>
    <xf numFmtId="164" fontId="12" fillId="9" borderId="32" xfId="1" applyNumberFormat="1" applyFont="1" applyFill="1" applyBorder="1" applyAlignment="1">
      <alignment horizontal="center" vertical="center"/>
    </xf>
    <xf numFmtId="164" fontId="12" fillId="9" borderId="31" xfId="1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/>
    </xf>
    <xf numFmtId="164" fontId="8" fillId="5" borderId="3" xfId="1" applyNumberFormat="1" applyFont="1" applyFill="1" applyBorder="1" applyAlignment="1">
      <alignment horizontal="center"/>
    </xf>
    <xf numFmtId="164" fontId="8" fillId="5" borderId="59" xfId="1" applyNumberFormat="1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wrapText="1"/>
    </xf>
    <xf numFmtId="0" fontId="3" fillId="0" borderId="32" xfId="0" applyFont="1" applyFill="1" applyBorder="1" applyAlignment="1">
      <alignment horizontal="center" wrapText="1"/>
    </xf>
    <xf numFmtId="0" fontId="3" fillId="0" borderId="31" xfId="0" applyFont="1" applyFill="1" applyBorder="1" applyAlignment="1">
      <alignment horizontal="center" wrapText="1"/>
    </xf>
    <xf numFmtId="43" fontId="9" fillId="5" borderId="29" xfId="1" applyFont="1" applyFill="1" applyBorder="1" applyAlignment="1">
      <alignment horizontal="center"/>
    </xf>
    <xf numFmtId="43" fontId="9" fillId="5" borderId="47" xfId="1" applyFont="1" applyFill="1" applyBorder="1" applyAlignment="1">
      <alignment horizontal="center"/>
    </xf>
    <xf numFmtId="43" fontId="9" fillId="5" borderId="17" xfId="1" applyFont="1" applyFill="1" applyBorder="1" applyAlignment="1">
      <alignment horizontal="center"/>
    </xf>
    <xf numFmtId="0" fontId="3" fillId="0" borderId="45" xfId="0" applyFont="1" applyFill="1" applyBorder="1" applyAlignment="1">
      <alignment horizontal="center" wrapText="1"/>
    </xf>
    <xf numFmtId="0" fontId="3" fillId="0" borderId="44" xfId="0" applyFont="1" applyFill="1" applyBorder="1" applyAlignment="1">
      <alignment horizontal="center" wrapText="1"/>
    </xf>
    <xf numFmtId="0" fontId="3" fillId="0" borderId="46" xfId="0" applyFont="1" applyFill="1" applyBorder="1" applyAlignment="1">
      <alignment horizontal="center" wrapText="1"/>
    </xf>
    <xf numFmtId="0" fontId="9" fillId="0" borderId="10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12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textRotation="7" wrapText="1"/>
    </xf>
    <xf numFmtId="0" fontId="3" fillId="0" borderId="11" xfId="0" applyFont="1" applyFill="1" applyBorder="1" applyAlignment="1">
      <alignment horizontal="center" textRotation="7" wrapText="1"/>
    </xf>
    <xf numFmtId="0" fontId="3" fillId="0" borderId="12" xfId="0" applyFont="1" applyFill="1" applyBorder="1" applyAlignment="1">
      <alignment horizontal="center" textRotation="7" wrapText="1"/>
    </xf>
    <xf numFmtId="0" fontId="3" fillId="0" borderId="30" xfId="0" applyFont="1" applyFill="1" applyBorder="1" applyAlignment="1">
      <alignment horizontal="center" textRotation="34" wrapText="1"/>
    </xf>
    <xf numFmtId="0" fontId="3" fillId="0" borderId="32" xfId="0" applyFont="1" applyFill="1" applyBorder="1" applyAlignment="1">
      <alignment horizontal="center" textRotation="34" wrapText="1"/>
    </xf>
    <xf numFmtId="0" fontId="3" fillId="0" borderId="31" xfId="0" applyFont="1" applyFill="1" applyBorder="1" applyAlignment="1">
      <alignment horizontal="center" textRotation="34" wrapText="1"/>
    </xf>
    <xf numFmtId="43" fontId="11" fillId="5" borderId="29" xfId="3" applyFont="1" applyFill="1" applyBorder="1" applyAlignment="1">
      <alignment horizontal="center"/>
    </xf>
    <xf numFmtId="43" fontId="11" fillId="5" borderId="47" xfId="3" applyFont="1" applyFill="1" applyBorder="1" applyAlignment="1">
      <alignment horizontal="center"/>
    </xf>
    <xf numFmtId="43" fontId="11" fillId="5" borderId="17" xfId="3" applyFont="1" applyFill="1" applyBorder="1" applyAlignment="1">
      <alignment horizontal="center"/>
    </xf>
    <xf numFmtId="43" fontId="11" fillId="5" borderId="41" xfId="3" applyFont="1" applyFill="1" applyBorder="1" applyAlignment="1">
      <alignment horizontal="center"/>
    </xf>
    <xf numFmtId="43" fontId="11" fillId="5" borderId="0" xfId="3" applyFont="1" applyFill="1" applyBorder="1" applyAlignment="1">
      <alignment horizontal="center"/>
    </xf>
    <xf numFmtId="43" fontId="11" fillId="5" borderId="26" xfId="3" applyFont="1" applyFill="1" applyBorder="1" applyAlignment="1">
      <alignment horizontal="center"/>
    </xf>
    <xf numFmtId="43" fontId="11" fillId="5" borderId="14" xfId="3" applyFont="1" applyFill="1" applyBorder="1" applyAlignment="1">
      <alignment horizontal="center"/>
    </xf>
    <xf numFmtId="43" fontId="11" fillId="5" borderId="9" xfId="3" applyFont="1" applyFill="1" applyBorder="1" applyAlignment="1">
      <alignment horizontal="center"/>
    </xf>
    <xf numFmtId="43" fontId="11" fillId="5" borderId="8" xfId="3" applyFont="1" applyFill="1" applyBorder="1" applyAlignment="1">
      <alignment horizontal="center"/>
    </xf>
    <xf numFmtId="43" fontId="14" fillId="5" borderId="2" xfId="1" applyFont="1" applyFill="1" applyBorder="1" applyAlignment="1">
      <alignment horizontal="center"/>
    </xf>
    <xf numFmtId="43" fontId="14" fillId="5" borderId="3" xfId="1" applyFont="1" applyFill="1" applyBorder="1" applyAlignment="1">
      <alignment horizontal="center"/>
    </xf>
    <xf numFmtId="43" fontId="14" fillId="5" borderId="5" xfId="1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 textRotation="13" wrapText="1"/>
    </xf>
    <xf numFmtId="0" fontId="3" fillId="0" borderId="35" xfId="0" applyFont="1" applyFill="1" applyBorder="1" applyAlignment="1">
      <alignment horizontal="center" textRotation="13" wrapText="1"/>
    </xf>
    <xf numFmtId="0" fontId="3" fillId="0" borderId="25" xfId="0" applyFont="1" applyFill="1" applyBorder="1" applyAlignment="1">
      <alignment horizontal="center" textRotation="13" wrapText="1"/>
    </xf>
    <xf numFmtId="0" fontId="3" fillId="0" borderId="50" xfId="0" applyFont="1" applyFill="1" applyBorder="1" applyAlignment="1">
      <alignment horizontal="center" wrapText="1"/>
    </xf>
    <xf numFmtId="0" fontId="3" fillId="0" borderId="49" xfId="0" applyFont="1" applyFill="1" applyBorder="1" applyAlignment="1">
      <alignment horizontal="center" wrapText="1"/>
    </xf>
    <xf numFmtId="164" fontId="4" fillId="5" borderId="2" xfId="1" applyNumberFormat="1" applyFont="1" applyFill="1" applyBorder="1" applyAlignment="1">
      <alignment horizontal="center"/>
    </xf>
    <xf numFmtId="164" fontId="4" fillId="5" borderId="3" xfId="1" applyNumberFormat="1" applyFont="1" applyFill="1" applyBorder="1" applyAlignment="1">
      <alignment horizontal="center"/>
    </xf>
    <xf numFmtId="164" fontId="4" fillId="5" borderId="5" xfId="1" applyNumberFormat="1" applyFont="1" applyFill="1" applyBorder="1" applyAlignment="1">
      <alignment horizontal="center"/>
    </xf>
    <xf numFmtId="43" fontId="9" fillId="5" borderId="42" xfId="1" applyFont="1" applyFill="1" applyBorder="1" applyAlignment="1">
      <alignment horizontal="center" wrapText="1"/>
    </xf>
    <xf numFmtId="43" fontId="9" fillId="5" borderId="18" xfId="1" applyFont="1" applyFill="1" applyBorder="1" applyAlignment="1">
      <alignment horizontal="center" wrapText="1"/>
    </xf>
    <xf numFmtId="164" fontId="8" fillId="5" borderId="60" xfId="1" applyNumberFormat="1" applyFont="1" applyFill="1" applyBorder="1" applyAlignment="1">
      <alignment horizontal="center" wrapText="1"/>
    </xf>
    <xf numFmtId="164" fontId="8" fillId="5" borderId="56" xfId="1" applyNumberFormat="1" applyFont="1" applyFill="1" applyBorder="1" applyAlignment="1">
      <alignment horizontal="center" wrapText="1"/>
    </xf>
    <xf numFmtId="164" fontId="8" fillId="5" borderId="58" xfId="1" applyNumberFormat="1" applyFont="1" applyFill="1" applyBorder="1" applyAlignment="1">
      <alignment horizontal="center" wrapText="1"/>
    </xf>
    <xf numFmtId="164" fontId="8" fillId="5" borderId="53" xfId="1" applyNumberFormat="1" applyFont="1" applyFill="1" applyBorder="1" applyAlignment="1">
      <alignment horizontal="center" wrapText="1"/>
    </xf>
    <xf numFmtId="164" fontId="8" fillId="5" borderId="9" xfId="1" applyNumberFormat="1" applyFont="1" applyFill="1" applyBorder="1" applyAlignment="1">
      <alignment horizontal="center" wrapText="1"/>
    </xf>
    <xf numFmtId="164" fontId="8" fillId="5" borderId="54" xfId="1" applyNumberFormat="1" applyFont="1" applyFill="1" applyBorder="1" applyAlignment="1">
      <alignment horizontal="center" wrapText="1"/>
    </xf>
    <xf numFmtId="164" fontId="8" fillId="5" borderId="5" xfId="1" applyNumberFormat="1" applyFont="1" applyFill="1" applyBorder="1" applyAlignment="1">
      <alignment horizontal="center"/>
    </xf>
    <xf numFmtId="164" fontId="8" fillId="5" borderId="55" xfId="1" applyNumberFormat="1" applyFont="1" applyFill="1" applyBorder="1" applyAlignment="1">
      <alignment horizontal="center" wrapText="1"/>
    </xf>
    <xf numFmtId="164" fontId="8" fillId="5" borderId="14" xfId="1" applyNumberFormat="1" applyFont="1" applyFill="1" applyBorder="1" applyAlignment="1">
      <alignment horizontal="center" wrapText="1"/>
    </xf>
    <xf numFmtId="43" fontId="29" fillId="0" borderId="47" xfId="1" applyFont="1" applyFill="1" applyBorder="1" applyAlignment="1">
      <alignment horizontal="center"/>
    </xf>
    <xf numFmtId="43" fontId="9" fillId="5" borderId="43" xfId="1" applyFont="1" applyFill="1" applyBorder="1" applyAlignment="1">
      <alignment horizontal="center"/>
    </xf>
    <xf numFmtId="43" fontId="9" fillId="5" borderId="57" xfId="1" applyFont="1" applyFill="1" applyBorder="1" applyAlignment="1">
      <alignment horizontal="center"/>
    </xf>
    <xf numFmtId="43" fontId="9" fillId="5" borderId="23" xfId="1" applyFont="1" applyFill="1" applyBorder="1" applyAlignment="1">
      <alignment horizontal="center"/>
    </xf>
    <xf numFmtId="43" fontId="9" fillId="5" borderId="45" xfId="1" applyFont="1" applyFill="1" applyBorder="1" applyAlignment="1">
      <alignment horizontal="center"/>
    </xf>
    <xf numFmtId="0" fontId="3" fillId="0" borderId="51" xfId="0" applyFont="1" applyFill="1" applyBorder="1" applyAlignment="1">
      <alignment horizontal="center" wrapText="1"/>
    </xf>
    <xf numFmtId="0" fontId="9" fillId="0" borderId="49" xfId="0" applyFont="1" applyFill="1" applyBorder="1" applyAlignment="1">
      <alignment horizontal="center" wrapText="1"/>
    </xf>
    <xf numFmtId="0" fontId="9" fillId="0" borderId="50" xfId="0" applyFont="1" applyFill="1" applyBorder="1" applyAlignment="1">
      <alignment horizontal="center" wrapText="1"/>
    </xf>
    <xf numFmtId="0" fontId="9" fillId="0" borderId="51" xfId="0" applyFont="1" applyFill="1" applyBorder="1" applyAlignment="1">
      <alignment horizontal="center" wrapText="1"/>
    </xf>
    <xf numFmtId="43" fontId="8" fillId="5" borderId="49" xfId="1" applyFont="1" applyFill="1" applyBorder="1" applyAlignment="1">
      <alignment horizontal="center" vertical="center"/>
    </xf>
    <xf numFmtId="43" fontId="8" fillId="5" borderId="47" xfId="1" applyFont="1" applyFill="1" applyBorder="1" applyAlignment="1">
      <alignment horizontal="center" vertical="center"/>
    </xf>
    <xf numFmtId="43" fontId="8" fillId="5" borderId="45" xfId="1" applyFont="1" applyFill="1" applyBorder="1" applyAlignment="1">
      <alignment horizontal="center" vertical="center"/>
    </xf>
    <xf numFmtId="43" fontId="8" fillId="5" borderId="50" xfId="1" applyFont="1" applyFill="1" applyBorder="1" applyAlignment="1">
      <alignment horizontal="center" vertical="center"/>
    </xf>
    <xf numFmtId="43" fontId="8" fillId="5" borderId="0" xfId="1" applyFont="1" applyFill="1" applyBorder="1" applyAlignment="1">
      <alignment horizontal="center" vertical="center"/>
    </xf>
    <xf numFmtId="43" fontId="8" fillId="5" borderId="44" xfId="1" applyFont="1" applyFill="1" applyBorder="1" applyAlignment="1">
      <alignment horizontal="center" vertical="center"/>
    </xf>
    <xf numFmtId="43" fontId="8" fillId="5" borderId="51" xfId="1" applyFont="1" applyFill="1" applyBorder="1" applyAlignment="1">
      <alignment horizontal="center" vertical="center"/>
    </xf>
    <xf numFmtId="43" fontId="8" fillId="5" borderId="20" xfId="1" applyFont="1" applyFill="1" applyBorder="1" applyAlignment="1">
      <alignment horizontal="center" vertical="center"/>
    </xf>
    <xf numFmtId="43" fontId="8" fillId="5" borderId="46" xfId="1" applyFont="1" applyFill="1" applyBorder="1" applyAlignment="1">
      <alignment horizontal="center" vertical="center"/>
    </xf>
    <xf numFmtId="43" fontId="10" fillId="5" borderId="49" xfId="1" applyFont="1" applyFill="1" applyBorder="1" applyAlignment="1">
      <alignment horizontal="center" textRotation="69"/>
    </xf>
    <xf numFmtId="43" fontId="10" fillId="5" borderId="45" xfId="1" applyFont="1" applyFill="1" applyBorder="1" applyAlignment="1">
      <alignment horizontal="center" textRotation="69"/>
    </xf>
    <xf numFmtId="43" fontId="10" fillId="5" borderId="50" xfId="1" applyFont="1" applyFill="1" applyBorder="1" applyAlignment="1">
      <alignment horizontal="center" textRotation="69"/>
    </xf>
    <xf numFmtId="43" fontId="10" fillId="5" borderId="44" xfId="1" applyFont="1" applyFill="1" applyBorder="1" applyAlignment="1">
      <alignment horizontal="center" textRotation="69"/>
    </xf>
    <xf numFmtId="43" fontId="10" fillId="5" borderId="51" xfId="1" applyFont="1" applyFill="1" applyBorder="1" applyAlignment="1">
      <alignment horizontal="center" textRotation="69"/>
    </xf>
    <xf numFmtId="43" fontId="10" fillId="5" borderId="46" xfId="1" applyFont="1" applyFill="1" applyBorder="1" applyAlignment="1">
      <alignment horizontal="center" textRotation="69"/>
    </xf>
    <xf numFmtId="164" fontId="17" fillId="5" borderId="49" xfId="1" applyNumberFormat="1" applyFont="1" applyFill="1" applyBorder="1" applyAlignment="1">
      <alignment horizontal="center"/>
    </xf>
    <xf numFmtId="164" fontId="17" fillId="5" borderId="45" xfId="1" applyNumberFormat="1" applyFont="1" applyFill="1" applyBorder="1" applyAlignment="1">
      <alignment horizontal="center"/>
    </xf>
    <xf numFmtId="164" fontId="17" fillId="5" borderId="50" xfId="1" applyNumberFormat="1" applyFont="1" applyFill="1" applyBorder="1" applyAlignment="1">
      <alignment horizontal="center"/>
    </xf>
    <xf numFmtId="164" fontId="17" fillId="5" borderId="44" xfId="1" applyNumberFormat="1" applyFont="1" applyFill="1" applyBorder="1" applyAlignment="1">
      <alignment horizontal="center"/>
    </xf>
    <xf numFmtId="164" fontId="17" fillId="5" borderId="51" xfId="1" applyNumberFormat="1" applyFont="1" applyFill="1" applyBorder="1" applyAlignment="1">
      <alignment horizontal="center"/>
    </xf>
    <xf numFmtId="164" fontId="17" fillId="5" borderId="46" xfId="1" applyNumberFormat="1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 textRotation="34" wrapText="1"/>
    </xf>
    <xf numFmtId="0" fontId="3" fillId="0" borderId="41" xfId="0" applyFont="1" applyFill="1" applyBorder="1" applyAlignment="1">
      <alignment horizontal="center" textRotation="34" wrapText="1"/>
    </xf>
    <xf numFmtId="0" fontId="3" fillId="0" borderId="42" xfId="0" applyFont="1" applyFill="1" applyBorder="1" applyAlignment="1">
      <alignment horizontal="center" textRotation="34" wrapText="1"/>
    </xf>
    <xf numFmtId="43" fontId="8" fillId="5" borderId="52" xfId="1" applyFont="1" applyFill="1" applyBorder="1" applyAlignment="1">
      <alignment horizontal="center"/>
    </xf>
    <xf numFmtId="43" fontId="8" fillId="5" borderId="3" xfId="1" applyFont="1" applyFill="1" applyBorder="1" applyAlignment="1">
      <alignment horizontal="center"/>
    </xf>
    <xf numFmtId="43" fontId="8" fillId="5" borderId="59" xfId="1" applyFont="1" applyFill="1" applyBorder="1" applyAlignment="1">
      <alignment horizontal="center"/>
    </xf>
    <xf numFmtId="164" fontId="20" fillId="10" borderId="17" xfId="1" applyNumberFormat="1" applyFont="1" applyFill="1" applyBorder="1" applyAlignment="1">
      <alignment horizontal="center" vertical="center" textRotation="74" wrapText="1"/>
    </xf>
    <xf numFmtId="164" fontId="20" fillId="10" borderId="26" xfId="1" applyNumberFormat="1" applyFont="1" applyFill="1" applyBorder="1" applyAlignment="1">
      <alignment horizontal="center" vertical="center" textRotation="74" wrapText="1"/>
    </xf>
    <xf numFmtId="164" fontId="20" fillId="10" borderId="18" xfId="1" applyNumberFormat="1" applyFont="1" applyFill="1" applyBorder="1" applyAlignment="1">
      <alignment horizontal="center" vertical="center" textRotation="74" wrapText="1"/>
    </xf>
    <xf numFmtId="164" fontId="8" fillId="6" borderId="13" xfId="1" applyNumberFormat="1" applyFont="1" applyFill="1" applyBorder="1" applyAlignment="1">
      <alignment horizontal="center" vertical="center"/>
    </xf>
    <xf numFmtId="164" fontId="8" fillId="6" borderId="11" xfId="1" applyNumberFormat="1" applyFont="1" applyFill="1" applyBorder="1" applyAlignment="1">
      <alignment horizontal="center" vertical="center"/>
    </xf>
    <xf numFmtId="164" fontId="8" fillId="6" borderId="12" xfId="1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textRotation="53" wrapText="1"/>
    </xf>
    <xf numFmtId="0" fontId="3" fillId="0" borderId="26" xfId="0" applyFont="1" applyFill="1" applyBorder="1" applyAlignment="1">
      <alignment horizontal="center" textRotation="53" wrapText="1"/>
    </xf>
    <xf numFmtId="0" fontId="3" fillId="0" borderId="18" xfId="0" applyFont="1" applyFill="1" applyBorder="1" applyAlignment="1">
      <alignment horizontal="center" textRotation="53" wrapText="1"/>
    </xf>
    <xf numFmtId="43" fontId="10" fillId="5" borderId="29" xfId="1" applyFont="1" applyFill="1" applyBorder="1" applyAlignment="1">
      <alignment horizontal="center" textRotation="69"/>
    </xf>
    <xf numFmtId="43" fontId="10" fillId="5" borderId="17" xfId="1" applyFont="1" applyFill="1" applyBorder="1" applyAlignment="1">
      <alignment horizontal="center" textRotation="69"/>
    </xf>
    <xf numFmtId="43" fontId="10" fillId="5" borderId="41" xfId="1" applyFont="1" applyFill="1" applyBorder="1" applyAlignment="1">
      <alignment horizontal="center" textRotation="69"/>
    </xf>
    <xf numFmtId="43" fontId="10" fillId="5" borderId="26" xfId="1" applyFont="1" applyFill="1" applyBorder="1" applyAlignment="1">
      <alignment horizontal="center" textRotation="69"/>
    </xf>
    <xf numFmtId="43" fontId="10" fillId="5" borderId="42" xfId="1" applyFont="1" applyFill="1" applyBorder="1" applyAlignment="1">
      <alignment horizontal="center" textRotation="69"/>
    </xf>
    <xf numFmtId="43" fontId="10" fillId="5" borderId="18" xfId="1" applyFont="1" applyFill="1" applyBorder="1" applyAlignment="1">
      <alignment horizontal="center" textRotation="69"/>
    </xf>
    <xf numFmtId="43" fontId="8" fillId="5" borderId="49" xfId="1" applyFont="1" applyFill="1" applyBorder="1" applyAlignment="1">
      <alignment horizontal="center" wrapText="1"/>
    </xf>
    <xf numFmtId="43" fontId="8" fillId="5" borderId="47" xfId="1" applyFont="1" applyFill="1" applyBorder="1" applyAlignment="1">
      <alignment horizontal="center" wrapText="1"/>
    </xf>
    <xf numFmtId="43" fontId="8" fillId="5" borderId="45" xfId="1" applyFont="1" applyFill="1" applyBorder="1" applyAlignment="1">
      <alignment horizontal="center" wrapText="1"/>
    </xf>
    <xf numFmtId="43" fontId="8" fillId="5" borderId="50" xfId="1" applyFont="1" applyFill="1" applyBorder="1" applyAlignment="1">
      <alignment horizontal="center" wrapText="1"/>
    </xf>
    <xf numFmtId="43" fontId="8" fillId="5" borderId="0" xfId="1" applyFont="1" applyFill="1" applyBorder="1" applyAlignment="1">
      <alignment horizontal="center" wrapText="1"/>
    </xf>
    <xf numFmtId="43" fontId="8" fillId="5" borderId="44" xfId="1" applyFont="1" applyFill="1" applyBorder="1" applyAlignment="1">
      <alignment horizontal="center" wrapText="1"/>
    </xf>
    <xf numFmtId="43" fontId="8" fillId="5" borderId="51" xfId="1" applyFont="1" applyFill="1" applyBorder="1" applyAlignment="1">
      <alignment horizontal="center" wrapText="1"/>
    </xf>
    <xf numFmtId="43" fontId="8" fillId="5" borderId="20" xfId="1" applyFont="1" applyFill="1" applyBorder="1" applyAlignment="1">
      <alignment horizontal="center" wrapText="1"/>
    </xf>
    <xf numFmtId="43" fontId="8" fillId="5" borderId="46" xfId="1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43" fontId="3" fillId="0" borderId="13" xfId="1" applyFont="1" applyFill="1" applyBorder="1" applyAlignment="1">
      <alignment horizontal="center"/>
    </xf>
    <xf numFmtId="43" fontId="3" fillId="0" borderId="11" xfId="1" applyFont="1" applyFill="1" applyBorder="1" applyAlignment="1">
      <alignment horizontal="center"/>
    </xf>
    <xf numFmtId="43" fontId="3" fillId="0" borderId="12" xfId="1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wrapText="1"/>
    </xf>
    <xf numFmtId="0" fontId="22" fillId="0" borderId="10" xfId="0" applyFont="1" applyFill="1" applyBorder="1" applyAlignment="1">
      <alignment horizontal="center" wrapText="1"/>
    </xf>
    <xf numFmtId="0" fontId="22" fillId="0" borderId="11" xfId="0" applyFont="1" applyFill="1" applyBorder="1" applyAlignment="1">
      <alignment horizontal="center" wrapText="1"/>
    </xf>
    <xf numFmtId="0" fontId="22" fillId="0" borderId="7" xfId="0" applyFont="1" applyFill="1" applyBorder="1" applyAlignment="1">
      <alignment horizontal="center" wrapText="1"/>
    </xf>
    <xf numFmtId="0" fontId="22" fillId="0" borderId="12" xfId="0" applyFont="1" applyFill="1" applyBorder="1" applyAlignment="1">
      <alignment horizontal="center" wrapText="1"/>
    </xf>
    <xf numFmtId="43" fontId="9" fillId="5" borderId="2" xfId="3" applyFont="1" applyFill="1" applyBorder="1" applyAlignment="1">
      <alignment horizontal="center"/>
    </xf>
    <xf numFmtId="43" fontId="9" fillId="5" borderId="3" xfId="3" applyFont="1" applyFill="1" applyBorder="1" applyAlignment="1">
      <alignment horizontal="center"/>
    </xf>
    <xf numFmtId="43" fontId="9" fillId="5" borderId="59" xfId="3" applyFont="1" applyFill="1" applyBorder="1" applyAlignment="1">
      <alignment horizontal="center"/>
    </xf>
    <xf numFmtId="43" fontId="10" fillId="5" borderId="49" xfId="1" applyFont="1" applyFill="1" applyBorder="1" applyAlignment="1">
      <alignment horizontal="center" textRotation="8"/>
    </xf>
    <xf numFmtId="43" fontId="10" fillId="5" borderId="45" xfId="1" applyFont="1" applyFill="1" applyBorder="1" applyAlignment="1">
      <alignment horizontal="center" textRotation="8"/>
    </xf>
    <xf numFmtId="43" fontId="10" fillId="5" borderId="50" xfId="1" applyFont="1" applyFill="1" applyBorder="1" applyAlignment="1">
      <alignment horizontal="center" textRotation="8"/>
    </xf>
    <xf numFmtId="43" fontId="10" fillId="5" borderId="44" xfId="1" applyFont="1" applyFill="1" applyBorder="1" applyAlignment="1">
      <alignment horizontal="center" textRotation="8"/>
    </xf>
    <xf numFmtId="43" fontId="10" fillId="5" borderId="51" xfId="1" applyFont="1" applyFill="1" applyBorder="1" applyAlignment="1">
      <alignment horizontal="center" textRotation="8"/>
    </xf>
    <xf numFmtId="43" fontId="10" fillId="5" borderId="46" xfId="1" applyFont="1" applyFill="1" applyBorder="1" applyAlignment="1">
      <alignment horizontal="center" textRotation="8"/>
    </xf>
    <xf numFmtId="43" fontId="10" fillId="5" borderId="49" xfId="1" applyFont="1" applyFill="1" applyBorder="1" applyAlignment="1">
      <alignment horizontal="center" textRotation="11"/>
    </xf>
    <xf numFmtId="43" fontId="10" fillId="5" borderId="45" xfId="1" applyFont="1" applyFill="1" applyBorder="1" applyAlignment="1">
      <alignment horizontal="center" textRotation="11"/>
    </xf>
    <xf numFmtId="43" fontId="10" fillId="5" borderId="50" xfId="1" applyFont="1" applyFill="1" applyBorder="1" applyAlignment="1">
      <alignment horizontal="center" textRotation="11"/>
    </xf>
    <xf numFmtId="43" fontId="10" fillId="5" borderId="44" xfId="1" applyFont="1" applyFill="1" applyBorder="1" applyAlignment="1">
      <alignment horizontal="center" textRotation="11"/>
    </xf>
    <xf numFmtId="43" fontId="10" fillId="5" borderId="0" xfId="1" applyFont="1" applyFill="1" applyBorder="1" applyAlignment="1">
      <alignment horizontal="center" textRotation="11"/>
    </xf>
    <xf numFmtId="43" fontId="10" fillId="5" borderId="51" xfId="1" applyFont="1" applyFill="1" applyBorder="1" applyAlignment="1">
      <alignment horizontal="center" textRotation="11"/>
    </xf>
    <xf numFmtId="43" fontId="10" fillId="5" borderId="46" xfId="1" applyFont="1" applyFill="1" applyBorder="1" applyAlignment="1">
      <alignment horizontal="center" textRotation="11"/>
    </xf>
    <xf numFmtId="43" fontId="8" fillId="5" borderId="53" xfId="1" applyFont="1" applyFill="1" applyBorder="1" applyAlignment="1">
      <alignment horizontal="center" wrapText="1"/>
    </xf>
    <xf numFmtId="43" fontId="8" fillId="5" borderId="9" xfId="1" applyFont="1" applyFill="1" applyBorder="1" applyAlignment="1">
      <alignment horizontal="center" wrapText="1"/>
    </xf>
    <xf numFmtId="43" fontId="8" fillId="5" borderId="54" xfId="1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164" fontId="6" fillId="6" borderId="2" xfId="1" applyNumberFormat="1" applyFont="1" applyFill="1" applyBorder="1" applyAlignment="1">
      <alignment horizontal="right"/>
    </xf>
    <xf numFmtId="164" fontId="6" fillId="6" borderId="3" xfId="1" applyNumberFormat="1" applyFont="1" applyFill="1" applyBorder="1" applyAlignment="1">
      <alignment horizontal="right"/>
    </xf>
    <xf numFmtId="164" fontId="6" fillId="6" borderId="9" xfId="1" applyNumberFormat="1" applyFont="1" applyFill="1" applyBorder="1" applyAlignment="1">
      <alignment horizontal="right"/>
    </xf>
    <xf numFmtId="0" fontId="27" fillId="0" borderId="0" xfId="0" applyFont="1" applyAlignment="1">
      <alignment horizontal="center"/>
    </xf>
    <xf numFmtId="43" fontId="9" fillId="0" borderId="2" xfId="1" applyFont="1" applyFill="1" applyBorder="1" applyAlignment="1">
      <alignment horizontal="center" wrapText="1"/>
    </xf>
    <xf numFmtId="43" fontId="9" fillId="0" borderId="3" xfId="1" applyFont="1" applyFill="1" applyBorder="1" applyAlignment="1">
      <alignment horizontal="center" wrapText="1"/>
    </xf>
    <xf numFmtId="43" fontId="9" fillId="0" borderId="5" xfId="1" applyFont="1" applyFill="1" applyBorder="1" applyAlignment="1">
      <alignment horizontal="center" wrapText="1"/>
    </xf>
    <xf numFmtId="164" fontId="20" fillId="10" borderId="30" xfId="1" applyNumberFormat="1" applyFont="1" applyFill="1" applyBorder="1" applyAlignment="1">
      <alignment horizontal="center" vertical="center" textRotation="59"/>
    </xf>
    <xf numFmtId="164" fontId="20" fillId="10" borderId="32" xfId="1" applyNumberFormat="1" applyFont="1" applyFill="1" applyBorder="1" applyAlignment="1">
      <alignment horizontal="center" vertical="center" textRotation="59"/>
    </xf>
    <xf numFmtId="164" fontId="20" fillId="10" borderId="31" xfId="1" applyNumberFormat="1" applyFont="1" applyFill="1" applyBorder="1" applyAlignment="1">
      <alignment horizontal="center" vertical="center" textRotation="59"/>
    </xf>
    <xf numFmtId="43" fontId="8" fillId="0" borderId="13" xfId="1" applyFont="1" applyFill="1" applyBorder="1" applyAlignment="1">
      <alignment horizontal="center"/>
    </xf>
    <xf numFmtId="43" fontId="8" fillId="0" borderId="11" xfId="1" applyFont="1" applyFill="1" applyBorder="1" applyAlignment="1">
      <alignment horizontal="center"/>
    </xf>
    <xf numFmtId="0" fontId="9" fillId="0" borderId="11" xfId="0" applyFont="1" applyBorder="1"/>
    <xf numFmtId="0" fontId="9" fillId="0" borderId="12" xfId="0" applyFont="1" applyBorder="1"/>
    <xf numFmtId="0" fontId="22" fillId="0" borderId="13" xfId="0" applyFont="1" applyFill="1" applyBorder="1" applyAlignment="1">
      <alignment horizontal="center" wrapText="1"/>
    </xf>
    <xf numFmtId="164" fontId="4" fillId="0" borderId="29" xfId="3" applyNumberFormat="1" applyFont="1" applyFill="1" applyBorder="1" applyAlignment="1">
      <alignment horizontal="center"/>
    </xf>
    <xf numFmtId="164" fontId="4" fillId="0" borderId="41" xfId="3" applyNumberFormat="1" applyFont="1" applyFill="1" applyBorder="1" applyAlignment="1">
      <alignment horizontal="center"/>
    </xf>
    <xf numFmtId="164" fontId="4" fillId="0" borderId="42" xfId="3" applyNumberFormat="1" applyFont="1" applyFill="1" applyBorder="1" applyAlignment="1">
      <alignment horizontal="center"/>
    </xf>
    <xf numFmtId="164" fontId="20" fillId="9" borderId="30" xfId="1" applyNumberFormat="1" applyFont="1" applyFill="1" applyBorder="1" applyAlignment="1">
      <alignment horizontal="center" vertical="center" textRotation="62"/>
    </xf>
    <xf numFmtId="164" fontId="20" fillId="9" borderId="32" xfId="1" applyNumberFormat="1" applyFont="1" applyFill="1" applyBorder="1" applyAlignment="1">
      <alignment horizontal="center" vertical="center" textRotation="62"/>
    </xf>
    <xf numFmtId="164" fontId="20" fillId="9" borderId="31" xfId="1" applyNumberFormat="1" applyFont="1" applyFill="1" applyBorder="1" applyAlignment="1">
      <alignment horizontal="center" vertical="center" textRotation="62"/>
    </xf>
    <xf numFmtId="0" fontId="9" fillId="0" borderId="62" xfId="0" applyFont="1" applyBorder="1" applyAlignment="1">
      <alignment horizontal="center"/>
    </xf>
    <xf numFmtId="164" fontId="20" fillId="10" borderId="30" xfId="1" applyNumberFormat="1" applyFont="1" applyFill="1" applyBorder="1" applyAlignment="1">
      <alignment horizontal="center" vertical="center" textRotation="62"/>
    </xf>
    <xf numFmtId="164" fontId="20" fillId="10" borderId="32" xfId="1" applyNumberFormat="1" applyFont="1" applyFill="1" applyBorder="1" applyAlignment="1">
      <alignment horizontal="center" vertical="center" textRotation="62"/>
    </xf>
    <xf numFmtId="164" fontId="20" fillId="10" borderId="31" xfId="1" applyNumberFormat="1" applyFont="1" applyFill="1" applyBorder="1" applyAlignment="1">
      <alignment horizontal="center" vertical="center" textRotation="62"/>
    </xf>
    <xf numFmtId="0" fontId="3" fillId="0" borderId="30" xfId="0" applyFont="1" applyFill="1" applyBorder="1" applyAlignment="1">
      <alignment horizontal="center" textRotation="53" wrapText="1"/>
    </xf>
    <xf numFmtId="0" fontId="3" fillId="0" borderId="32" xfId="0" applyFont="1" applyFill="1" applyBorder="1" applyAlignment="1">
      <alignment horizontal="center" textRotation="53" wrapText="1"/>
    </xf>
    <xf numFmtId="0" fontId="3" fillId="0" borderId="31" xfId="0" applyFont="1" applyFill="1" applyBorder="1" applyAlignment="1">
      <alignment horizontal="center" textRotation="53" wrapText="1"/>
    </xf>
    <xf numFmtId="0" fontId="9" fillId="0" borderId="30" xfId="0" quotePrefix="1" applyFont="1" applyFill="1" applyBorder="1" applyAlignment="1">
      <alignment horizontal="center" wrapText="1"/>
    </xf>
    <xf numFmtId="0" fontId="9" fillId="0" borderId="32" xfId="0" quotePrefix="1" applyFont="1" applyFill="1" applyBorder="1" applyAlignment="1">
      <alignment horizontal="center" wrapText="1"/>
    </xf>
    <xf numFmtId="0" fontId="9" fillId="0" borderId="31" xfId="0" quotePrefix="1" applyFont="1" applyFill="1" applyBorder="1" applyAlignment="1">
      <alignment horizontal="center" wrapText="1"/>
    </xf>
    <xf numFmtId="164" fontId="9" fillId="0" borderId="49" xfId="3" applyNumberFormat="1" applyFont="1" applyFill="1" applyBorder="1" applyAlignment="1">
      <alignment horizontal="center"/>
    </xf>
    <xf numFmtId="164" fontId="9" fillId="0" borderId="50" xfId="3" applyNumberFormat="1" applyFont="1" applyFill="1" applyBorder="1" applyAlignment="1">
      <alignment horizontal="center"/>
    </xf>
    <xf numFmtId="164" fontId="9" fillId="0" borderId="51" xfId="3" applyNumberFormat="1" applyFont="1" applyFill="1" applyBorder="1" applyAlignment="1">
      <alignment horizontal="center"/>
    </xf>
    <xf numFmtId="43" fontId="14" fillId="5" borderId="29" xfId="3" applyFont="1" applyFill="1" applyBorder="1" applyAlignment="1">
      <alignment horizontal="center"/>
    </xf>
    <xf numFmtId="43" fontId="14" fillId="5" borderId="47" xfId="3" applyFont="1" applyFill="1" applyBorder="1" applyAlignment="1">
      <alignment horizontal="center"/>
    </xf>
    <xf numFmtId="43" fontId="14" fillId="5" borderId="17" xfId="3" applyFont="1" applyFill="1" applyBorder="1" applyAlignment="1">
      <alignment horizontal="center"/>
    </xf>
    <xf numFmtId="43" fontId="14" fillId="5" borderId="41" xfId="3" applyFont="1" applyFill="1" applyBorder="1" applyAlignment="1">
      <alignment horizontal="center"/>
    </xf>
    <xf numFmtId="43" fontId="14" fillId="5" borderId="0" xfId="3" applyFont="1" applyFill="1" applyBorder="1" applyAlignment="1">
      <alignment horizontal="center"/>
    </xf>
    <xf numFmtId="43" fontId="14" fillId="5" borderId="26" xfId="3" applyFont="1" applyFill="1" applyBorder="1" applyAlignment="1">
      <alignment horizontal="center"/>
    </xf>
    <xf numFmtId="43" fontId="14" fillId="5" borderId="14" xfId="3" applyFont="1" applyFill="1" applyBorder="1" applyAlignment="1">
      <alignment horizontal="center"/>
    </xf>
    <xf numFmtId="43" fontId="14" fillId="5" borderId="9" xfId="3" applyFont="1" applyFill="1" applyBorder="1" applyAlignment="1">
      <alignment horizontal="center"/>
    </xf>
    <xf numFmtId="43" fontId="14" fillId="5" borderId="8" xfId="3" applyFont="1" applyFill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3" fillId="0" borderId="13" xfId="0" applyFont="1" applyFill="1" applyBorder="1" applyAlignment="1">
      <alignment horizontal="center" textRotation="14" wrapText="1"/>
    </xf>
    <xf numFmtId="0" fontId="3" fillId="0" borderId="11" xfId="0" applyFont="1" applyFill="1" applyBorder="1" applyAlignment="1">
      <alignment horizontal="center" textRotation="14" wrapText="1"/>
    </xf>
    <xf numFmtId="0" fontId="3" fillId="0" borderId="12" xfId="0" applyFont="1" applyFill="1" applyBorder="1" applyAlignment="1">
      <alignment horizontal="center" textRotation="14" wrapText="1"/>
    </xf>
    <xf numFmtId="43" fontId="14" fillId="5" borderId="55" xfId="1" applyFont="1" applyFill="1" applyBorder="1" applyAlignment="1">
      <alignment horizontal="center"/>
    </xf>
    <xf numFmtId="43" fontId="14" fillId="5" borderId="56" xfId="1" applyFont="1" applyFill="1" applyBorder="1" applyAlignment="1">
      <alignment horizontal="center"/>
    </xf>
    <xf numFmtId="43" fontId="14" fillId="5" borderId="19" xfId="1" applyFont="1" applyFill="1" applyBorder="1" applyAlignment="1">
      <alignment horizontal="center"/>
    </xf>
    <xf numFmtId="43" fontId="14" fillId="5" borderId="14" xfId="1" applyFont="1" applyFill="1" applyBorder="1" applyAlignment="1">
      <alignment horizontal="center"/>
    </xf>
    <xf numFmtId="43" fontId="14" fillId="5" borderId="9" xfId="1" applyFont="1" applyFill="1" applyBorder="1" applyAlignment="1">
      <alignment horizontal="center"/>
    </xf>
    <xf numFmtId="43" fontId="14" fillId="5" borderId="8" xfId="1" applyFont="1" applyFill="1" applyBorder="1" applyAlignment="1">
      <alignment horizontal="center"/>
    </xf>
    <xf numFmtId="43" fontId="14" fillId="5" borderId="41" xfId="1" applyFont="1" applyFill="1" applyBorder="1" applyAlignment="1">
      <alignment horizontal="center"/>
    </xf>
    <xf numFmtId="43" fontId="14" fillId="5" borderId="0" xfId="1" applyFont="1" applyFill="1" applyBorder="1" applyAlignment="1">
      <alignment horizontal="center"/>
    </xf>
    <xf numFmtId="43" fontId="14" fillId="5" borderId="26" xfId="1" applyFont="1" applyFill="1" applyBorder="1" applyAlignment="1">
      <alignment horizontal="center"/>
    </xf>
    <xf numFmtId="43" fontId="14" fillId="5" borderId="42" xfId="1" applyFont="1" applyFill="1" applyBorder="1" applyAlignment="1">
      <alignment horizontal="center"/>
    </xf>
    <xf numFmtId="43" fontId="14" fillId="5" borderId="20" xfId="1" applyFont="1" applyFill="1" applyBorder="1" applyAlignment="1">
      <alignment horizontal="center"/>
    </xf>
    <xf numFmtId="43" fontId="14" fillId="5" borderId="18" xfId="1" applyFont="1" applyFill="1" applyBorder="1" applyAlignment="1">
      <alignment horizontal="center"/>
    </xf>
    <xf numFmtId="164" fontId="8" fillId="5" borderId="19" xfId="1" applyNumberFormat="1" applyFont="1" applyFill="1" applyBorder="1" applyAlignment="1">
      <alignment horizontal="center" wrapText="1"/>
    </xf>
    <xf numFmtId="164" fontId="8" fillId="5" borderId="8" xfId="1" applyNumberFormat="1" applyFont="1" applyFill="1" applyBorder="1" applyAlignment="1">
      <alignment horizontal="center" wrapText="1"/>
    </xf>
    <xf numFmtId="43" fontId="9" fillId="5" borderId="15" xfId="1" applyFont="1" applyFill="1" applyBorder="1" applyAlignment="1">
      <alignment horizontal="center"/>
    </xf>
    <xf numFmtId="43" fontId="9" fillId="5" borderId="64" xfId="1" applyFont="1" applyFill="1" applyBorder="1" applyAlignment="1">
      <alignment horizontal="center"/>
    </xf>
    <xf numFmtId="43" fontId="9" fillId="5" borderId="16" xfId="1" applyFont="1" applyFill="1" applyBorder="1" applyAlignment="1">
      <alignment horizontal="center"/>
    </xf>
    <xf numFmtId="0" fontId="9" fillId="0" borderId="30" xfId="0" quotePrefix="1" applyFont="1" applyFill="1" applyBorder="1" applyAlignment="1">
      <alignment horizontal="center" textRotation="53" wrapText="1"/>
    </xf>
    <xf numFmtId="0" fontId="9" fillId="0" borderId="32" xfId="0" applyFont="1" applyFill="1" applyBorder="1" applyAlignment="1">
      <alignment horizontal="center" textRotation="53" wrapText="1"/>
    </xf>
    <xf numFmtId="0" fontId="9" fillId="0" borderId="31" xfId="0" applyFont="1" applyFill="1" applyBorder="1" applyAlignment="1">
      <alignment horizontal="center" textRotation="53" wrapText="1"/>
    </xf>
    <xf numFmtId="0" fontId="0" fillId="0" borderId="30" xfId="0" applyFont="1" applyFill="1" applyBorder="1" applyAlignment="1">
      <alignment horizontal="center" wrapText="1"/>
    </xf>
    <xf numFmtId="0" fontId="0" fillId="0" borderId="32" xfId="0" applyFont="1" applyFill="1" applyBorder="1" applyAlignment="1">
      <alignment horizontal="center" wrapText="1"/>
    </xf>
    <xf numFmtId="0" fontId="0" fillId="0" borderId="50" xfId="0" applyFont="1" applyFill="1" applyBorder="1" applyAlignment="1">
      <alignment horizontal="center" wrapText="1"/>
    </xf>
    <xf numFmtId="0" fontId="0" fillId="0" borderId="31" xfId="0" applyFont="1" applyFill="1" applyBorder="1" applyAlignment="1">
      <alignment horizontal="center" wrapText="1"/>
    </xf>
    <xf numFmtId="164" fontId="20" fillId="16" borderId="30" xfId="1" applyNumberFormat="1" applyFont="1" applyFill="1" applyBorder="1" applyAlignment="1">
      <alignment horizontal="center" vertical="center" textRotation="55"/>
    </xf>
    <xf numFmtId="164" fontId="20" fillId="16" borderId="50" xfId="1" applyNumberFormat="1" applyFont="1" applyFill="1" applyBorder="1" applyAlignment="1">
      <alignment horizontal="center" vertical="center" textRotation="55"/>
    </xf>
    <xf numFmtId="164" fontId="20" fillId="16" borderId="31" xfId="1" applyNumberFormat="1" applyFont="1" applyFill="1" applyBorder="1" applyAlignment="1">
      <alignment horizontal="center" vertical="center" textRotation="55"/>
    </xf>
    <xf numFmtId="43" fontId="10" fillId="5" borderId="13" xfId="1" applyFont="1" applyFill="1" applyBorder="1" applyAlignment="1">
      <alignment horizontal="center" textRotation="69"/>
    </xf>
    <xf numFmtId="43" fontId="10" fillId="5" borderId="11" xfId="1" applyFont="1" applyFill="1" applyBorder="1" applyAlignment="1">
      <alignment horizontal="center" textRotation="69"/>
    </xf>
    <xf numFmtId="43" fontId="10" fillId="5" borderId="12" xfId="1" applyFont="1" applyFill="1" applyBorder="1" applyAlignment="1">
      <alignment horizontal="center" textRotation="69"/>
    </xf>
    <xf numFmtId="0" fontId="18" fillId="10" borderId="0" xfId="0" applyFont="1" applyFill="1" applyBorder="1" applyAlignment="1">
      <alignment horizontal="center" wrapText="1"/>
    </xf>
    <xf numFmtId="0" fontId="16" fillId="5" borderId="0" xfId="0" applyFont="1" applyFill="1" applyAlignment="1">
      <alignment horizontal="center" wrapText="1"/>
    </xf>
    <xf numFmtId="0" fontId="5" fillId="4" borderId="0" xfId="0" applyFont="1" applyFill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3" fillId="5" borderId="0" xfId="0" applyFont="1" applyFill="1" applyBorder="1" applyAlignment="1">
      <alignment horizontal="center" wrapText="1"/>
    </xf>
    <xf numFmtId="43" fontId="4" fillId="0" borderId="0" xfId="1" applyFont="1" applyFill="1" applyBorder="1" applyAlignment="1">
      <alignment horizontal="center" wrapText="1"/>
    </xf>
    <xf numFmtId="164" fontId="8" fillId="9" borderId="22" xfId="1" applyNumberFormat="1" applyFont="1" applyFill="1" applyBorder="1" applyAlignment="1">
      <alignment horizontal="center" vertical="center" textRotation="55"/>
    </xf>
    <xf numFmtId="164" fontId="8" fillId="9" borderId="35" xfId="1" applyNumberFormat="1" applyFont="1" applyFill="1" applyBorder="1" applyAlignment="1">
      <alignment horizontal="center" vertical="center" textRotation="55"/>
    </xf>
    <xf numFmtId="164" fontId="8" fillId="9" borderId="25" xfId="1" applyNumberFormat="1" applyFont="1" applyFill="1" applyBorder="1" applyAlignment="1">
      <alignment horizontal="center" vertical="center" textRotation="55"/>
    </xf>
    <xf numFmtId="0" fontId="3" fillId="0" borderId="13" xfId="0" applyFont="1" applyFill="1" applyBorder="1" applyAlignment="1">
      <alignment horizontal="center" textRotation="53" wrapText="1"/>
    </xf>
    <xf numFmtId="0" fontId="3" fillId="0" borderId="11" xfId="0" applyFont="1" applyFill="1" applyBorder="1" applyAlignment="1">
      <alignment horizontal="center" textRotation="53" wrapText="1"/>
    </xf>
    <xf numFmtId="0" fontId="3" fillId="0" borderId="12" xfId="0" applyFont="1" applyFill="1" applyBorder="1" applyAlignment="1">
      <alignment horizontal="center" textRotation="53" wrapText="1"/>
    </xf>
    <xf numFmtId="164" fontId="10" fillId="13" borderId="30" xfId="0" applyNumberFormat="1" applyFont="1" applyFill="1" applyBorder="1" applyAlignment="1">
      <alignment horizontal="center"/>
    </xf>
    <xf numFmtId="0" fontId="10" fillId="13" borderId="32" xfId="0" applyFont="1" applyFill="1" applyBorder="1" applyAlignment="1">
      <alignment horizontal="center"/>
    </xf>
    <xf numFmtId="0" fontId="10" fillId="13" borderId="31" xfId="0" applyFont="1" applyFill="1" applyBorder="1" applyAlignment="1">
      <alignment horizontal="center"/>
    </xf>
    <xf numFmtId="164" fontId="10" fillId="13" borderId="30" xfId="1" applyNumberFormat="1" applyFont="1" applyFill="1" applyBorder="1" applyAlignment="1">
      <alignment horizontal="center"/>
    </xf>
    <xf numFmtId="164" fontId="10" fillId="13" borderId="32" xfId="1" applyNumberFormat="1" applyFont="1" applyFill="1" applyBorder="1" applyAlignment="1">
      <alignment horizontal="center"/>
    </xf>
    <xf numFmtId="164" fontId="10" fillId="13" borderId="31" xfId="1" applyNumberFormat="1" applyFont="1" applyFill="1" applyBorder="1" applyAlignment="1">
      <alignment horizontal="center"/>
    </xf>
    <xf numFmtId="0" fontId="9" fillId="11" borderId="13" xfId="0" applyFont="1" applyFill="1" applyBorder="1" applyAlignment="1">
      <alignment horizontal="center" wrapText="1"/>
    </xf>
    <xf numFmtId="0" fontId="9" fillId="11" borderId="11" xfId="0" applyFont="1" applyFill="1" applyBorder="1" applyAlignment="1">
      <alignment horizontal="center" wrapText="1"/>
    </xf>
    <xf numFmtId="0" fontId="9" fillId="11" borderId="7" xfId="0" applyFont="1" applyFill="1" applyBorder="1" applyAlignment="1">
      <alignment horizontal="center" wrapText="1"/>
    </xf>
    <xf numFmtId="43" fontId="8" fillId="5" borderId="60" xfId="1" applyFont="1" applyFill="1" applyBorder="1" applyAlignment="1">
      <alignment horizontal="center" wrapText="1"/>
    </xf>
    <xf numFmtId="43" fontId="8" fillId="5" borderId="56" xfId="1" applyFont="1" applyFill="1" applyBorder="1" applyAlignment="1">
      <alignment horizontal="center" wrapText="1"/>
    </xf>
    <xf numFmtId="43" fontId="8" fillId="5" borderId="58" xfId="1" applyFont="1" applyFill="1" applyBorder="1" applyAlignment="1">
      <alignment horizontal="center" wrapText="1"/>
    </xf>
    <xf numFmtId="0" fontId="3" fillId="0" borderId="30" xfId="0" applyFont="1" applyFill="1" applyBorder="1" applyAlignment="1">
      <alignment horizontal="center" textRotation="8" wrapText="1"/>
    </xf>
    <xf numFmtId="0" fontId="3" fillId="0" borderId="32" xfId="0" applyFont="1" applyFill="1" applyBorder="1" applyAlignment="1">
      <alignment horizontal="center" textRotation="8" wrapText="1"/>
    </xf>
    <xf numFmtId="0" fontId="3" fillId="0" borderId="44" xfId="0" applyFont="1" applyFill="1" applyBorder="1" applyAlignment="1">
      <alignment horizontal="center" textRotation="8" wrapText="1"/>
    </xf>
    <xf numFmtId="0" fontId="3" fillId="0" borderId="31" xfId="0" applyFont="1" applyFill="1" applyBorder="1" applyAlignment="1">
      <alignment horizontal="center" textRotation="8" wrapText="1"/>
    </xf>
    <xf numFmtId="43" fontId="9" fillId="5" borderId="52" xfId="1" applyFont="1" applyFill="1" applyBorder="1" applyAlignment="1">
      <alignment horizontal="left"/>
    </xf>
    <xf numFmtId="43" fontId="9" fillId="5" borderId="3" xfId="1" applyFont="1" applyFill="1" applyBorder="1" applyAlignment="1">
      <alignment horizontal="left"/>
    </xf>
    <xf numFmtId="43" fontId="9" fillId="5" borderId="59" xfId="1" applyFont="1" applyFill="1" applyBorder="1" applyAlignment="1">
      <alignment horizontal="left"/>
    </xf>
    <xf numFmtId="164" fontId="10" fillId="5" borderId="45" xfId="1" applyNumberFormat="1" applyFont="1" applyFill="1" applyBorder="1" applyAlignment="1">
      <alignment horizontal="center"/>
    </xf>
    <xf numFmtId="164" fontId="10" fillId="5" borderId="44" xfId="1" applyNumberFormat="1" applyFont="1" applyFill="1" applyBorder="1" applyAlignment="1">
      <alignment horizontal="center"/>
    </xf>
    <xf numFmtId="164" fontId="10" fillId="5" borderId="46" xfId="1" applyNumberFormat="1" applyFont="1" applyFill="1" applyBorder="1" applyAlignment="1">
      <alignment horizontal="center"/>
    </xf>
    <xf numFmtId="164" fontId="17" fillId="13" borderId="30" xfId="0" applyNumberFormat="1" applyFont="1" applyFill="1" applyBorder="1" applyAlignment="1">
      <alignment horizontal="center"/>
    </xf>
    <xf numFmtId="0" fontId="17" fillId="13" borderId="32" xfId="0" applyFont="1" applyFill="1" applyBorder="1" applyAlignment="1">
      <alignment horizontal="center"/>
    </xf>
    <xf numFmtId="0" fontId="17" fillId="13" borderId="31" xfId="0" applyFont="1" applyFill="1" applyBorder="1" applyAlignment="1">
      <alignment horizontal="center"/>
    </xf>
    <xf numFmtId="164" fontId="10" fillId="4" borderId="30" xfId="1" applyNumberFormat="1" applyFont="1" applyFill="1" applyBorder="1" applyAlignment="1">
      <alignment horizontal="center"/>
    </xf>
    <xf numFmtId="164" fontId="10" fillId="4" borderId="32" xfId="1" applyNumberFormat="1" applyFont="1" applyFill="1" applyBorder="1" applyAlignment="1">
      <alignment horizontal="center"/>
    </xf>
    <xf numFmtId="164" fontId="10" fillId="4" borderId="31" xfId="1" applyNumberFormat="1" applyFont="1" applyFill="1" applyBorder="1" applyAlignment="1">
      <alignment horizontal="center"/>
    </xf>
    <xf numFmtId="164" fontId="10" fillId="5" borderId="30" xfId="0" applyNumberFormat="1" applyFont="1" applyFill="1" applyBorder="1" applyAlignment="1">
      <alignment horizontal="center"/>
    </xf>
    <xf numFmtId="164" fontId="10" fillId="5" borderId="32" xfId="0" applyNumberFormat="1" applyFont="1" applyFill="1" applyBorder="1" applyAlignment="1">
      <alignment horizontal="center"/>
    </xf>
    <xf numFmtId="164" fontId="10" fillId="5" borderId="31" xfId="0" applyNumberFormat="1" applyFont="1" applyFill="1" applyBorder="1" applyAlignment="1">
      <alignment horizontal="center"/>
    </xf>
    <xf numFmtId="164" fontId="17" fillId="4" borderId="30" xfId="0" applyNumberFormat="1" applyFont="1" applyFill="1" applyBorder="1" applyAlignment="1">
      <alignment horizontal="center"/>
    </xf>
    <xf numFmtId="164" fontId="17" fillId="4" borderId="32" xfId="0" applyNumberFormat="1" applyFont="1" applyFill="1" applyBorder="1" applyAlignment="1">
      <alignment horizontal="center"/>
    </xf>
    <xf numFmtId="43" fontId="14" fillId="5" borderId="29" xfId="1" applyFont="1" applyFill="1" applyBorder="1" applyAlignment="1">
      <alignment horizontal="center"/>
    </xf>
    <xf numFmtId="43" fontId="14" fillId="5" borderId="47" xfId="1" applyFont="1" applyFill="1" applyBorder="1" applyAlignment="1">
      <alignment horizontal="center"/>
    </xf>
    <xf numFmtId="43" fontId="14" fillId="5" borderId="45" xfId="1" applyFont="1" applyFill="1" applyBorder="1" applyAlignment="1">
      <alignment horizontal="center"/>
    </xf>
    <xf numFmtId="43" fontId="14" fillId="5" borderId="44" xfId="1" applyFont="1" applyFill="1" applyBorder="1" applyAlignment="1">
      <alignment horizontal="center"/>
    </xf>
    <xf numFmtId="43" fontId="14" fillId="5" borderId="54" xfId="1" applyFont="1" applyFill="1" applyBorder="1" applyAlignment="1">
      <alignment horizontal="center"/>
    </xf>
    <xf numFmtId="43" fontId="14" fillId="5" borderId="59" xfId="1" applyFont="1" applyFill="1" applyBorder="1" applyAlignment="1">
      <alignment horizontal="center"/>
    </xf>
    <xf numFmtId="43" fontId="9" fillId="0" borderId="59" xfId="1" applyFont="1" applyFill="1" applyBorder="1" applyAlignment="1">
      <alignment horizontal="center" wrapText="1"/>
    </xf>
    <xf numFmtId="43" fontId="10" fillId="5" borderId="47" xfId="1" applyFont="1" applyFill="1" applyBorder="1" applyAlignment="1">
      <alignment horizontal="center"/>
    </xf>
    <xf numFmtId="43" fontId="10" fillId="5" borderId="0" xfId="1" applyFont="1" applyFill="1" applyBorder="1" applyAlignment="1">
      <alignment horizontal="center"/>
    </xf>
    <xf numFmtId="43" fontId="10" fillId="5" borderId="20" xfId="1" applyFont="1" applyFill="1" applyBorder="1" applyAlignment="1">
      <alignment horizontal="center"/>
    </xf>
    <xf numFmtId="43" fontId="10" fillId="5" borderId="49" xfId="1" applyFont="1" applyFill="1" applyBorder="1" applyAlignment="1">
      <alignment horizontal="center" vertical="center"/>
    </xf>
    <xf numFmtId="43" fontId="10" fillId="5" borderId="45" xfId="1" applyFont="1" applyFill="1" applyBorder="1" applyAlignment="1">
      <alignment horizontal="center" vertical="center"/>
    </xf>
    <xf numFmtId="43" fontId="10" fillId="5" borderId="50" xfId="1" applyFont="1" applyFill="1" applyBorder="1" applyAlignment="1">
      <alignment horizontal="center" vertical="center"/>
    </xf>
    <xf numFmtId="43" fontId="10" fillId="5" borderId="44" xfId="1" applyFont="1" applyFill="1" applyBorder="1" applyAlignment="1">
      <alignment horizontal="center" vertical="center"/>
    </xf>
    <xf numFmtId="43" fontId="10" fillId="5" borderId="51" xfId="1" applyFont="1" applyFill="1" applyBorder="1" applyAlignment="1">
      <alignment horizontal="center" vertical="center"/>
    </xf>
    <xf numFmtId="43" fontId="10" fillId="5" borderId="46" xfId="1" applyFont="1" applyFill="1" applyBorder="1" applyAlignment="1">
      <alignment horizontal="center" vertical="center"/>
    </xf>
    <xf numFmtId="43" fontId="14" fillId="5" borderId="58" xfId="1" applyFont="1" applyFill="1" applyBorder="1" applyAlignment="1">
      <alignment horizontal="center"/>
    </xf>
    <xf numFmtId="43" fontId="14" fillId="5" borderId="46" xfId="1" applyFont="1" applyFill="1" applyBorder="1" applyAlignment="1">
      <alignment horizontal="center"/>
    </xf>
    <xf numFmtId="43" fontId="8" fillId="5" borderId="9" xfId="1" applyFont="1" applyFill="1" applyBorder="1" applyAlignment="1">
      <alignment horizontal="center" vertical="center"/>
    </xf>
    <xf numFmtId="164" fontId="17" fillId="4" borderId="49" xfId="0" applyNumberFormat="1" applyFont="1" applyFill="1" applyBorder="1" applyAlignment="1">
      <alignment horizontal="center"/>
    </xf>
    <xf numFmtId="164" fontId="17" fillId="4" borderId="50" xfId="0" applyNumberFormat="1" applyFont="1" applyFill="1" applyBorder="1" applyAlignment="1">
      <alignment horizontal="center"/>
    </xf>
    <xf numFmtId="43" fontId="14" fillId="9" borderId="2" xfId="1" applyFont="1" applyFill="1" applyBorder="1" applyAlignment="1">
      <alignment horizontal="center" wrapText="1"/>
    </xf>
    <xf numFmtId="43" fontId="14" fillId="9" borderId="5" xfId="1" applyFont="1" applyFill="1" applyBorder="1" applyAlignment="1">
      <alignment horizontal="center" wrapText="1"/>
    </xf>
    <xf numFmtId="164" fontId="9" fillId="5" borderId="15" xfId="1" applyNumberFormat="1" applyFont="1" applyFill="1" applyBorder="1" applyAlignment="1">
      <alignment horizontal="center"/>
    </xf>
    <xf numFmtId="164" fontId="9" fillId="5" borderId="64" xfId="1" applyNumberFormat="1" applyFont="1" applyFill="1" applyBorder="1" applyAlignment="1">
      <alignment horizontal="center"/>
    </xf>
    <xf numFmtId="164" fontId="9" fillId="5" borderId="65" xfId="1" applyNumberFormat="1" applyFont="1" applyFill="1" applyBorder="1" applyAlignment="1">
      <alignment horizontal="center"/>
    </xf>
    <xf numFmtId="43" fontId="8" fillId="5" borderId="48" xfId="1" applyFont="1" applyFill="1" applyBorder="1" applyAlignment="1">
      <alignment horizontal="center" vertical="center"/>
    </xf>
    <xf numFmtId="43" fontId="8" fillId="5" borderId="63" xfId="1" applyFont="1" applyFill="1" applyBorder="1" applyAlignment="1">
      <alignment horizontal="center" vertical="center"/>
    </xf>
    <xf numFmtId="43" fontId="8" fillId="5" borderId="37" xfId="1" applyFont="1" applyFill="1" applyBorder="1" applyAlignment="1">
      <alignment horizontal="center" vertical="center"/>
    </xf>
    <xf numFmtId="0" fontId="3" fillId="5" borderId="48" xfId="0" applyFont="1" applyFill="1" applyBorder="1" applyAlignment="1">
      <alignment horizontal="center" wrapText="1"/>
    </xf>
    <xf numFmtId="0" fontId="3" fillId="5" borderId="63" xfId="0" applyFont="1" applyFill="1" applyBorder="1" applyAlignment="1">
      <alignment horizontal="center" wrapText="1"/>
    </xf>
    <xf numFmtId="43" fontId="9" fillId="5" borderId="48" xfId="1" applyFont="1" applyFill="1" applyBorder="1" applyAlignment="1">
      <alignment horizontal="center"/>
    </xf>
    <xf numFmtId="43" fontId="9" fillId="5" borderId="63" xfId="1" applyFont="1" applyFill="1" applyBorder="1" applyAlignment="1">
      <alignment horizontal="center"/>
    </xf>
    <xf numFmtId="43" fontId="9" fillId="5" borderId="37" xfId="1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 wrapText="1"/>
    </xf>
    <xf numFmtId="0" fontId="3" fillId="0" borderId="35" xfId="0" applyFont="1" applyFill="1" applyBorder="1" applyAlignment="1">
      <alignment horizontal="center" wrapText="1"/>
    </xf>
    <xf numFmtId="0" fontId="3" fillId="0" borderId="25" xfId="0" applyFont="1" applyFill="1" applyBorder="1" applyAlignment="1">
      <alignment horizontal="center" wrapText="1"/>
    </xf>
    <xf numFmtId="43" fontId="10" fillId="5" borderId="29" xfId="1" applyFont="1" applyFill="1" applyBorder="1" applyAlignment="1">
      <alignment horizontal="center"/>
    </xf>
    <xf numFmtId="43" fontId="10" fillId="5" borderId="17" xfId="1" applyFont="1" applyFill="1" applyBorder="1" applyAlignment="1">
      <alignment horizontal="center"/>
    </xf>
    <xf numFmtId="43" fontId="10" fillId="5" borderId="41" xfId="1" applyFont="1" applyFill="1" applyBorder="1" applyAlignment="1">
      <alignment horizontal="center"/>
    </xf>
    <xf numFmtId="43" fontId="10" fillId="5" borderId="26" xfId="1" applyFont="1" applyFill="1" applyBorder="1" applyAlignment="1">
      <alignment horizontal="center"/>
    </xf>
    <xf numFmtId="0" fontId="4" fillId="11" borderId="2" xfId="0" applyFont="1" applyFill="1" applyBorder="1" applyAlignment="1">
      <alignment horizontal="center"/>
    </xf>
    <xf numFmtId="0" fontId="4" fillId="11" borderId="3" xfId="0" applyFont="1" applyFill="1" applyBorder="1" applyAlignment="1">
      <alignment horizontal="center"/>
    </xf>
    <xf numFmtId="0" fontId="4" fillId="11" borderId="5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43" fontId="9" fillId="5" borderId="55" xfId="1" applyFont="1" applyFill="1" applyBorder="1" applyAlignment="1">
      <alignment horizontal="left"/>
    </xf>
    <xf numFmtId="43" fontId="9" fillId="5" borderId="56" xfId="1" applyFont="1" applyFill="1" applyBorder="1" applyAlignment="1">
      <alignment horizontal="left"/>
    </xf>
    <xf numFmtId="43" fontId="9" fillId="5" borderId="19" xfId="1" applyFont="1" applyFill="1" applyBorder="1" applyAlignment="1">
      <alignment horizontal="left"/>
    </xf>
    <xf numFmtId="43" fontId="9" fillId="5" borderId="14" xfId="1" applyFont="1" applyFill="1" applyBorder="1" applyAlignment="1">
      <alignment horizontal="left"/>
    </xf>
    <xf numFmtId="43" fontId="9" fillId="5" borderId="9" xfId="1" applyFont="1" applyFill="1" applyBorder="1" applyAlignment="1">
      <alignment horizontal="left"/>
    </xf>
    <xf numFmtId="43" fontId="9" fillId="5" borderId="8" xfId="1" applyFont="1" applyFill="1" applyBorder="1" applyAlignment="1">
      <alignment horizontal="left"/>
    </xf>
    <xf numFmtId="43" fontId="9" fillId="5" borderId="2" xfId="1" applyFont="1" applyFill="1" applyBorder="1" applyAlignment="1">
      <alignment horizontal="left"/>
    </xf>
    <xf numFmtId="43" fontId="9" fillId="5" borderId="5" xfId="1" applyFont="1" applyFill="1" applyBorder="1" applyAlignment="1">
      <alignment horizontal="left"/>
    </xf>
    <xf numFmtId="0" fontId="8" fillId="6" borderId="1" xfId="0" applyFont="1" applyFill="1" applyBorder="1"/>
    <xf numFmtId="0" fontId="4" fillId="0" borderId="11" xfId="0" applyFont="1" applyFill="1" applyBorder="1"/>
  </cellXfs>
  <cellStyles count="4">
    <cellStyle name="Κανονικό" xfId="0" builtinId="0"/>
    <cellStyle name="Κόμμα" xfId="1" builtinId="3"/>
    <cellStyle name="Κόμμα 11" xfId="2"/>
    <cellStyle name="Κόμμα 3" xfId="3"/>
  </cellStyles>
  <dxfs count="0"/>
  <tableStyles count="0" defaultTableStyle="TableStyleMedium9" defaultPivotStyle="PivotStyleLight16"/>
  <colors>
    <mruColors>
      <color rgb="FF00FFFF"/>
      <color rgb="FF00FF00"/>
      <color rgb="FFFF66FF"/>
      <color rgb="FF00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375"/>
  <sheetViews>
    <sheetView tabSelected="1" workbookViewId="0">
      <pane ySplit="2" topLeftCell="A3" activePane="bottomLeft" state="frozen"/>
      <selection pane="bottomLeft" activeCell="B3" sqref="B3"/>
    </sheetView>
  </sheetViews>
  <sheetFormatPr defaultRowHeight="12.75"/>
  <cols>
    <col min="1" max="1" width="6.77734375" style="14" customWidth="1"/>
    <col min="2" max="2" width="7" style="14" customWidth="1"/>
    <col min="3" max="3" width="7.88671875" style="14" customWidth="1"/>
    <col min="4" max="4" width="103" style="84" bestFit="1" customWidth="1"/>
    <col min="5" max="5" width="47.21875" style="81" customWidth="1"/>
    <col min="6" max="6" width="17.109375" style="81" customWidth="1"/>
    <col min="7" max="7" width="12.44140625" style="14" customWidth="1"/>
    <col min="8" max="9" width="13.6640625" style="14" customWidth="1"/>
    <col min="10" max="10" width="35" style="1" customWidth="1"/>
    <col min="11" max="11" width="38.6640625" style="1" customWidth="1"/>
    <col min="12" max="12" width="11.44140625" style="14" customWidth="1"/>
    <col min="13" max="13" width="10.44140625" style="15" customWidth="1"/>
    <col min="14" max="17" width="11.5546875" style="14" customWidth="1"/>
    <col min="18" max="18" width="10" style="164" customWidth="1"/>
    <col min="19" max="19" width="10" style="14" customWidth="1"/>
    <col min="20" max="20" width="10" style="164" customWidth="1"/>
    <col min="21" max="21" width="11.77734375" style="14" customWidth="1"/>
    <col min="22" max="22" width="9.21875" style="14" customWidth="1"/>
    <col min="23" max="23" width="9.6640625" style="14" customWidth="1"/>
    <col min="24" max="24" width="10.33203125" style="164" customWidth="1"/>
    <col min="25" max="25" width="10.44140625" style="14" customWidth="1"/>
    <col min="26" max="26" width="9.21875" style="164" customWidth="1"/>
    <col min="27" max="30" width="9.21875" style="14" customWidth="1"/>
    <col min="31" max="32" width="8.5546875" style="14" customWidth="1"/>
    <col min="33" max="33" width="9.88671875" style="14" customWidth="1"/>
    <col min="34" max="34" width="10.6640625" style="164" customWidth="1"/>
    <col min="35" max="35" width="16.109375" style="164" customWidth="1"/>
    <col min="36" max="36" width="12.5546875" style="14" customWidth="1"/>
    <col min="37" max="37" width="12.44140625" style="14" customWidth="1"/>
    <col min="38" max="38" width="12.5546875" style="14" customWidth="1"/>
    <col min="39" max="39" width="11.6640625" style="853" bestFit="1" customWidth="1"/>
    <col min="40" max="40" width="27.77734375" style="84" bestFit="1" customWidth="1"/>
    <col min="41" max="41" width="7.21875" style="1" customWidth="1"/>
    <col min="42" max="42" width="10.21875" style="14" customWidth="1"/>
    <col min="43" max="43" width="8.44140625" style="14" customWidth="1"/>
    <col min="44" max="47" width="8.88671875" style="14" customWidth="1"/>
    <col min="48" max="16384" width="8.88671875" style="14"/>
  </cols>
  <sheetData>
    <row r="1" spans="1:41" s="891" customFormat="1" ht="36.75" thickBot="1">
      <c r="A1" s="2" t="s">
        <v>4</v>
      </c>
      <c r="B1" s="2" t="s">
        <v>5</v>
      </c>
      <c r="C1" s="2" t="s">
        <v>6</v>
      </c>
      <c r="D1" s="878" t="s">
        <v>7</v>
      </c>
      <c r="E1" s="879" t="s">
        <v>28</v>
      </c>
      <c r="F1" s="879" t="s">
        <v>52</v>
      </c>
      <c r="G1" s="880" t="s">
        <v>8</v>
      </c>
      <c r="H1" s="881" t="s">
        <v>20</v>
      </c>
      <c r="I1" s="880" t="s">
        <v>9</v>
      </c>
      <c r="J1" s="2" t="s">
        <v>10</v>
      </c>
      <c r="K1" s="2" t="s">
        <v>680</v>
      </c>
      <c r="L1" s="880" t="s">
        <v>54</v>
      </c>
      <c r="M1" s="882" t="s">
        <v>55</v>
      </c>
      <c r="N1" s="741" t="s">
        <v>92</v>
      </c>
      <c r="O1" s="3" t="s">
        <v>512</v>
      </c>
      <c r="P1" s="3" t="s">
        <v>513</v>
      </c>
      <c r="Q1" s="3" t="s">
        <v>511</v>
      </c>
      <c r="R1" s="883" t="s">
        <v>11</v>
      </c>
      <c r="S1" s="3" t="s">
        <v>19</v>
      </c>
      <c r="T1" s="883" t="s">
        <v>11</v>
      </c>
      <c r="U1" s="3" t="s">
        <v>29</v>
      </c>
      <c r="V1" s="3" t="s">
        <v>30</v>
      </c>
      <c r="W1" s="884" t="s">
        <v>76</v>
      </c>
      <c r="X1" s="883" t="s">
        <v>11</v>
      </c>
      <c r="Y1" s="3" t="s">
        <v>63</v>
      </c>
      <c r="Z1" s="883" t="s">
        <v>11</v>
      </c>
      <c r="AA1" s="3" t="s">
        <v>56</v>
      </c>
      <c r="AB1" s="885" t="s">
        <v>11</v>
      </c>
      <c r="AC1" s="3" t="s">
        <v>57</v>
      </c>
      <c r="AD1" s="885" t="s">
        <v>11</v>
      </c>
      <c r="AE1" s="2" t="s">
        <v>12</v>
      </c>
      <c r="AF1" s="881" t="s">
        <v>11</v>
      </c>
      <c r="AG1" s="3" t="s">
        <v>13</v>
      </c>
      <c r="AH1" s="883" t="s">
        <v>11</v>
      </c>
      <c r="AI1" s="886" t="s">
        <v>14</v>
      </c>
      <c r="AJ1" s="887" t="s">
        <v>53</v>
      </c>
      <c r="AK1" s="888" t="s">
        <v>14</v>
      </c>
      <c r="AL1" s="888" t="s">
        <v>14</v>
      </c>
      <c r="AM1" s="889" t="s">
        <v>699</v>
      </c>
      <c r="AN1" s="890" t="s">
        <v>25</v>
      </c>
    </row>
    <row r="2" spans="1:41" s="69" customFormat="1" ht="20.25">
      <c r="A2" s="66"/>
      <c r="B2" s="66"/>
      <c r="C2" s="67"/>
      <c r="D2" s="68"/>
      <c r="E2" s="68"/>
      <c r="F2" s="68"/>
      <c r="G2" s="59"/>
      <c r="H2" s="59"/>
      <c r="I2" s="59"/>
      <c r="J2" s="68"/>
      <c r="K2" s="128"/>
      <c r="L2" s="61"/>
      <c r="M2" s="60"/>
      <c r="N2" s="1097" t="s">
        <v>511</v>
      </c>
      <c r="O2" s="1097"/>
      <c r="P2" s="1097"/>
      <c r="Q2" s="1097"/>
      <c r="R2" s="1097"/>
      <c r="S2" s="61"/>
      <c r="T2" s="160"/>
      <c r="U2" s="61"/>
      <c r="V2" s="61"/>
      <c r="W2" s="61"/>
      <c r="X2" s="151"/>
      <c r="Y2" s="60"/>
      <c r="Z2" s="151"/>
      <c r="AA2" s="60"/>
      <c r="AB2" s="60"/>
      <c r="AC2" s="60"/>
      <c r="AD2" s="60"/>
      <c r="AE2" s="60"/>
      <c r="AF2" s="60"/>
      <c r="AG2" s="60"/>
      <c r="AH2" s="151"/>
      <c r="AI2" s="151"/>
      <c r="AJ2" s="60"/>
      <c r="AM2" s="850"/>
      <c r="AN2" s="128"/>
      <c r="AO2" s="106"/>
    </row>
    <row r="3" spans="1:41" s="69" customFormat="1">
      <c r="A3" s="66"/>
      <c r="B3" s="66"/>
      <c r="C3" s="67"/>
      <c r="D3" s="128"/>
      <c r="E3" s="128"/>
      <c r="F3" s="128"/>
      <c r="G3" s="59"/>
      <c r="H3" s="59"/>
      <c r="I3" s="59"/>
      <c r="J3" s="128"/>
      <c r="K3" s="128"/>
      <c r="L3" s="61"/>
      <c r="M3" s="60"/>
      <c r="N3" s="61"/>
      <c r="O3" s="61"/>
      <c r="P3" s="61"/>
      <c r="Q3" s="61"/>
      <c r="R3" s="160"/>
      <c r="S3" s="61"/>
      <c r="T3" s="160"/>
      <c r="U3" s="61"/>
      <c r="V3" s="61"/>
      <c r="W3" s="61"/>
      <c r="X3" s="151"/>
      <c r="Y3" s="60"/>
      <c r="Z3" s="151"/>
      <c r="AA3" s="60"/>
      <c r="AB3" s="60"/>
      <c r="AC3" s="60"/>
      <c r="AD3" s="60"/>
      <c r="AE3" s="60"/>
      <c r="AF3" s="60"/>
      <c r="AG3" s="60"/>
      <c r="AH3" s="151"/>
      <c r="AI3" s="151"/>
      <c r="AJ3" s="60"/>
      <c r="AM3" s="850"/>
      <c r="AN3" s="128"/>
      <c r="AO3" s="106"/>
    </row>
    <row r="4" spans="1:41" s="69" customFormat="1" ht="13.5" thickBot="1">
      <c r="A4" s="66"/>
      <c r="B4" s="66"/>
      <c r="C4" s="67"/>
      <c r="D4" s="128"/>
      <c r="E4" s="128"/>
      <c r="F4" s="128"/>
      <c r="G4" s="59"/>
      <c r="H4" s="62"/>
      <c r="I4" s="59"/>
      <c r="J4" s="128"/>
      <c r="K4" s="128"/>
      <c r="L4" s="61"/>
      <c r="M4" s="60"/>
      <c r="N4" s="61"/>
      <c r="O4" s="61"/>
      <c r="P4" s="61"/>
      <c r="Q4" s="61"/>
      <c r="R4" s="160"/>
      <c r="S4" s="61"/>
      <c r="T4" s="160"/>
      <c r="U4" s="61"/>
      <c r="V4" s="61"/>
      <c r="W4" s="61"/>
      <c r="X4" s="151"/>
      <c r="Y4" s="60"/>
      <c r="Z4" s="151"/>
      <c r="AA4" s="60"/>
      <c r="AB4" s="60"/>
      <c r="AC4" s="60"/>
      <c r="AD4" s="60"/>
      <c r="AE4" s="60"/>
      <c r="AF4" s="60"/>
      <c r="AG4" s="60"/>
      <c r="AH4" s="151"/>
      <c r="AI4" s="151"/>
      <c r="AJ4" s="60"/>
      <c r="AM4" s="850"/>
      <c r="AN4" s="128"/>
      <c r="AO4" s="106"/>
    </row>
    <row r="5" spans="1:41" s="69" customFormat="1" ht="12.75" customHeight="1">
      <c r="A5" s="1133" t="s">
        <v>342</v>
      </c>
      <c r="B5" s="1136">
        <v>5637</v>
      </c>
      <c r="C5" s="48">
        <v>30028</v>
      </c>
      <c r="D5" s="57"/>
      <c r="E5" s="450" t="s">
        <v>66</v>
      </c>
      <c r="F5" s="450"/>
      <c r="G5" s="451"/>
      <c r="H5" s="320" t="s">
        <v>221</v>
      </c>
      <c r="I5" s="58"/>
      <c r="J5" s="1139" t="s">
        <v>344</v>
      </c>
      <c r="K5" s="1127" t="s">
        <v>494</v>
      </c>
      <c r="L5" s="957" t="s">
        <v>343</v>
      </c>
      <c r="M5" s="958"/>
      <c r="N5" s="959"/>
      <c r="O5" s="730"/>
      <c r="P5" s="730"/>
      <c r="Q5" s="730"/>
      <c r="R5" s="957" t="s">
        <v>343</v>
      </c>
      <c r="S5" s="958"/>
      <c r="T5" s="959"/>
      <c r="U5" s="957" t="s">
        <v>343</v>
      </c>
      <c r="V5" s="958"/>
      <c r="W5" s="959"/>
      <c r="X5" s="957" t="s">
        <v>343</v>
      </c>
      <c r="Y5" s="958"/>
      <c r="Z5" s="959"/>
      <c r="AA5" s="957" t="s">
        <v>343</v>
      </c>
      <c r="AB5" s="958"/>
      <c r="AC5" s="958"/>
      <c r="AD5" s="959"/>
      <c r="AE5" s="1142" t="s">
        <v>19</v>
      </c>
      <c r="AF5" s="1143"/>
      <c r="AG5" s="957" t="s">
        <v>343</v>
      </c>
      <c r="AH5" s="958"/>
      <c r="AI5" s="959"/>
      <c r="AJ5" s="975">
        <v>46153</v>
      </c>
      <c r="AK5" s="994">
        <f>SUM(AI6:AI31)</f>
        <v>0</v>
      </c>
      <c r="AM5" s="440"/>
      <c r="AN5" s="90"/>
      <c r="AO5" s="128"/>
    </row>
    <row r="6" spans="1:41" s="69" customFormat="1" ht="15" customHeight="1">
      <c r="A6" s="1134"/>
      <c r="B6" s="1137"/>
      <c r="C6" s="95"/>
      <c r="D6" s="518" t="s">
        <v>336</v>
      </c>
      <c r="E6" s="320" t="s">
        <v>64</v>
      </c>
      <c r="F6" s="513" t="s">
        <v>151</v>
      </c>
      <c r="G6" s="39">
        <v>5881.1298606016144</v>
      </c>
      <c r="H6" s="320" t="s">
        <v>64</v>
      </c>
      <c r="I6" s="204"/>
      <c r="J6" s="1140"/>
      <c r="K6" s="1128"/>
      <c r="L6" s="960"/>
      <c r="M6" s="951"/>
      <c r="N6" s="952"/>
      <c r="O6" s="737"/>
      <c r="P6" s="737"/>
      <c r="Q6" s="737"/>
      <c r="R6" s="960"/>
      <c r="S6" s="951"/>
      <c r="T6" s="952"/>
      <c r="U6" s="960"/>
      <c r="V6" s="951"/>
      <c r="W6" s="952"/>
      <c r="X6" s="960"/>
      <c r="Y6" s="951"/>
      <c r="Z6" s="952"/>
      <c r="AA6" s="960"/>
      <c r="AB6" s="951"/>
      <c r="AC6" s="951"/>
      <c r="AD6" s="952"/>
      <c r="AE6" s="1144"/>
      <c r="AF6" s="1145"/>
      <c r="AG6" s="960"/>
      <c r="AH6" s="951"/>
      <c r="AI6" s="952"/>
      <c r="AJ6" s="1003"/>
      <c r="AK6" s="995"/>
      <c r="AM6" s="440"/>
      <c r="AN6" s="128"/>
      <c r="AO6" s="128"/>
    </row>
    <row r="7" spans="1:41" s="69" customFormat="1" ht="15" customHeight="1">
      <c r="A7" s="1134"/>
      <c r="B7" s="1137"/>
      <c r="C7" s="96"/>
      <c r="D7" s="518" t="s">
        <v>337</v>
      </c>
      <c r="E7" s="320" t="s">
        <v>64</v>
      </c>
      <c r="F7" s="515" t="s">
        <v>151</v>
      </c>
      <c r="G7" s="39">
        <v>1630.3888481291269</v>
      </c>
      <c r="H7" s="320" t="s">
        <v>64</v>
      </c>
      <c r="I7" s="205"/>
      <c r="J7" s="1140"/>
      <c r="K7" s="1128"/>
      <c r="L7" s="960"/>
      <c r="M7" s="951"/>
      <c r="N7" s="952"/>
      <c r="O7" s="737"/>
      <c r="P7" s="737"/>
      <c r="Q7" s="737"/>
      <c r="R7" s="960"/>
      <c r="S7" s="951"/>
      <c r="T7" s="952"/>
      <c r="U7" s="960"/>
      <c r="V7" s="951"/>
      <c r="W7" s="952"/>
      <c r="X7" s="960"/>
      <c r="Y7" s="951"/>
      <c r="Z7" s="952"/>
      <c r="AA7" s="960"/>
      <c r="AB7" s="951"/>
      <c r="AC7" s="951"/>
      <c r="AD7" s="952"/>
      <c r="AE7" s="1144"/>
      <c r="AF7" s="1145"/>
      <c r="AG7" s="960"/>
      <c r="AH7" s="951"/>
      <c r="AI7" s="952"/>
      <c r="AJ7" s="1003"/>
      <c r="AK7" s="995"/>
      <c r="AM7" s="440"/>
      <c r="AN7" s="90"/>
      <c r="AO7" s="128"/>
    </row>
    <row r="8" spans="1:41" s="69" customFormat="1" ht="15" customHeight="1">
      <c r="A8" s="1134"/>
      <c r="B8" s="1137"/>
      <c r="C8" s="36"/>
      <c r="D8" s="518" t="s">
        <v>793</v>
      </c>
      <c r="E8" s="320" t="s">
        <v>64</v>
      </c>
      <c r="F8" s="515" t="s">
        <v>151</v>
      </c>
      <c r="G8" s="39">
        <v>30.814380044020542</v>
      </c>
      <c r="H8" s="320" t="s">
        <v>64</v>
      </c>
      <c r="I8" s="204"/>
      <c r="J8" s="1140"/>
      <c r="K8" s="1128"/>
      <c r="L8" s="960"/>
      <c r="M8" s="951"/>
      <c r="N8" s="952"/>
      <c r="O8" s="737"/>
      <c r="P8" s="737"/>
      <c r="Q8" s="737"/>
      <c r="R8" s="960"/>
      <c r="S8" s="951"/>
      <c r="T8" s="952"/>
      <c r="U8" s="960"/>
      <c r="V8" s="951"/>
      <c r="W8" s="952"/>
      <c r="X8" s="960"/>
      <c r="Y8" s="951"/>
      <c r="Z8" s="952"/>
      <c r="AA8" s="960"/>
      <c r="AB8" s="951"/>
      <c r="AC8" s="951"/>
      <c r="AD8" s="952"/>
      <c r="AE8" s="1144"/>
      <c r="AF8" s="1145"/>
      <c r="AG8" s="960"/>
      <c r="AH8" s="951"/>
      <c r="AI8" s="952"/>
      <c r="AJ8" s="1003"/>
      <c r="AK8" s="995"/>
      <c r="AM8" s="440"/>
      <c r="AN8" s="69" t="s">
        <v>68</v>
      </c>
      <c r="AO8" s="128"/>
    </row>
    <row r="9" spans="1:41" s="69" customFormat="1" ht="15" customHeight="1">
      <c r="A9" s="1134"/>
      <c r="B9" s="1137"/>
      <c r="C9" s="100"/>
      <c r="D9" s="518" t="s">
        <v>794</v>
      </c>
      <c r="E9" s="320" t="s">
        <v>64</v>
      </c>
      <c r="F9" s="515" t="s">
        <v>151</v>
      </c>
      <c r="G9" s="123">
        <v>30.814380044020542</v>
      </c>
      <c r="H9" s="320" t="s">
        <v>64</v>
      </c>
      <c r="I9" s="206"/>
      <c r="J9" s="1140"/>
      <c r="K9" s="1128"/>
      <c r="L9" s="960"/>
      <c r="M9" s="951"/>
      <c r="N9" s="952"/>
      <c r="O9" s="737"/>
      <c r="P9" s="737"/>
      <c r="Q9" s="737"/>
      <c r="R9" s="960"/>
      <c r="S9" s="951"/>
      <c r="T9" s="952"/>
      <c r="U9" s="960"/>
      <c r="V9" s="951"/>
      <c r="W9" s="952"/>
      <c r="X9" s="960"/>
      <c r="Y9" s="951"/>
      <c r="Z9" s="952"/>
      <c r="AA9" s="960"/>
      <c r="AB9" s="951"/>
      <c r="AC9" s="951"/>
      <c r="AD9" s="952"/>
      <c r="AE9" s="1144"/>
      <c r="AF9" s="1145"/>
      <c r="AG9" s="960"/>
      <c r="AH9" s="951"/>
      <c r="AI9" s="952"/>
      <c r="AJ9" s="1003"/>
      <c r="AK9" s="995"/>
      <c r="AM9" s="440"/>
      <c r="AN9" s="90"/>
      <c r="AO9" s="128"/>
    </row>
    <row r="10" spans="1:41" s="69" customFormat="1" ht="15" customHeight="1">
      <c r="A10" s="1134"/>
      <c r="B10" s="1137"/>
      <c r="C10" s="5"/>
      <c r="D10" s="518" t="s">
        <v>795</v>
      </c>
      <c r="E10" s="320" t="s">
        <v>64</v>
      </c>
      <c r="F10" s="515" t="s">
        <v>151</v>
      </c>
      <c r="G10" s="19">
        <v>1760.8217168011738</v>
      </c>
      <c r="H10" s="320" t="s">
        <v>64</v>
      </c>
      <c r="I10" s="207"/>
      <c r="J10" s="1140"/>
      <c r="K10" s="1128"/>
      <c r="L10" s="960"/>
      <c r="M10" s="951"/>
      <c r="N10" s="952"/>
      <c r="O10" s="737"/>
      <c r="P10" s="737"/>
      <c r="Q10" s="737"/>
      <c r="R10" s="960"/>
      <c r="S10" s="951"/>
      <c r="T10" s="952"/>
      <c r="U10" s="960"/>
      <c r="V10" s="951"/>
      <c r="W10" s="952"/>
      <c r="X10" s="960"/>
      <c r="Y10" s="951"/>
      <c r="Z10" s="952"/>
      <c r="AA10" s="960"/>
      <c r="AB10" s="951"/>
      <c r="AC10" s="951"/>
      <c r="AD10" s="952"/>
      <c r="AE10" s="1144"/>
      <c r="AF10" s="1145"/>
      <c r="AG10" s="960"/>
      <c r="AH10" s="951"/>
      <c r="AI10" s="952"/>
      <c r="AJ10" s="1003"/>
      <c r="AK10" s="995"/>
      <c r="AM10" s="440"/>
      <c r="AN10" s="90"/>
      <c r="AO10" s="128"/>
    </row>
    <row r="11" spans="1:41" s="69" customFormat="1" ht="15" customHeight="1">
      <c r="A11" s="1134"/>
      <c r="B11" s="1137"/>
      <c r="C11" s="511"/>
      <c r="D11" s="518" t="s">
        <v>796</v>
      </c>
      <c r="E11" s="320" t="s">
        <v>64</v>
      </c>
      <c r="F11" s="515" t="s">
        <v>151</v>
      </c>
      <c r="G11" s="514">
        <v>176.0821716801174</v>
      </c>
      <c r="H11" s="320" t="s">
        <v>64</v>
      </c>
      <c r="I11" s="512"/>
      <c r="J11" s="1140"/>
      <c r="K11" s="1128"/>
      <c r="L11" s="960"/>
      <c r="M11" s="951"/>
      <c r="N11" s="952"/>
      <c r="O11" s="737"/>
      <c r="P11" s="737"/>
      <c r="Q11" s="737"/>
      <c r="R11" s="960"/>
      <c r="S11" s="951"/>
      <c r="T11" s="952"/>
      <c r="U11" s="960"/>
      <c r="V11" s="951"/>
      <c r="W11" s="952"/>
      <c r="X11" s="960"/>
      <c r="Y11" s="951"/>
      <c r="Z11" s="952"/>
      <c r="AA11" s="960"/>
      <c r="AB11" s="951"/>
      <c r="AC11" s="951"/>
      <c r="AD11" s="952"/>
      <c r="AE11" s="1144"/>
      <c r="AF11" s="1145"/>
      <c r="AG11" s="960"/>
      <c r="AH11" s="951"/>
      <c r="AI11" s="952"/>
      <c r="AJ11" s="1003"/>
      <c r="AK11" s="995"/>
      <c r="AM11" s="440"/>
      <c r="AN11" s="90"/>
      <c r="AO11" s="128"/>
    </row>
    <row r="12" spans="1:41" s="69" customFormat="1" ht="15" customHeight="1">
      <c r="A12" s="1134"/>
      <c r="B12" s="1137"/>
      <c r="C12" s="511"/>
      <c r="D12" s="518" t="s">
        <v>797</v>
      </c>
      <c r="E12" s="320" t="s">
        <v>64</v>
      </c>
      <c r="F12" s="515" t="s">
        <v>151</v>
      </c>
      <c r="G12" s="514">
        <v>176.0821716801174</v>
      </c>
      <c r="H12" s="320" t="s">
        <v>64</v>
      </c>
      <c r="I12" s="512"/>
      <c r="J12" s="1140"/>
      <c r="K12" s="1128"/>
      <c r="L12" s="960"/>
      <c r="M12" s="951"/>
      <c r="N12" s="952"/>
      <c r="O12" s="737"/>
      <c r="P12" s="737"/>
      <c r="Q12" s="737"/>
      <c r="R12" s="960"/>
      <c r="S12" s="951"/>
      <c r="T12" s="952"/>
      <c r="U12" s="960"/>
      <c r="V12" s="951"/>
      <c r="W12" s="952"/>
      <c r="X12" s="960"/>
      <c r="Y12" s="951"/>
      <c r="Z12" s="952"/>
      <c r="AA12" s="960"/>
      <c r="AB12" s="951"/>
      <c r="AC12" s="951"/>
      <c r="AD12" s="952"/>
      <c r="AE12" s="1144"/>
      <c r="AF12" s="1145"/>
      <c r="AG12" s="960"/>
      <c r="AH12" s="951"/>
      <c r="AI12" s="952"/>
      <c r="AJ12" s="1003"/>
      <c r="AK12" s="995"/>
      <c r="AM12" s="440"/>
      <c r="AN12" s="90"/>
      <c r="AO12" s="128"/>
    </row>
    <row r="13" spans="1:41" s="69" customFormat="1" ht="15" customHeight="1">
      <c r="A13" s="1134"/>
      <c r="B13" s="1137"/>
      <c r="C13" s="511"/>
      <c r="D13" s="518" t="s">
        <v>798</v>
      </c>
      <c r="E13" s="320" t="s">
        <v>64</v>
      </c>
      <c r="F13" s="515" t="s">
        <v>151</v>
      </c>
      <c r="G13" s="514">
        <v>6521.5612619222302</v>
      </c>
      <c r="H13" s="320" t="s">
        <v>64</v>
      </c>
      <c r="I13" s="512"/>
      <c r="J13" s="1140"/>
      <c r="K13" s="1128"/>
      <c r="L13" s="960"/>
      <c r="M13" s="951"/>
      <c r="N13" s="952"/>
      <c r="O13" s="737"/>
      <c r="P13" s="737"/>
      <c r="Q13" s="737"/>
      <c r="R13" s="960"/>
      <c r="S13" s="951"/>
      <c r="T13" s="952"/>
      <c r="U13" s="960"/>
      <c r="V13" s="951"/>
      <c r="W13" s="952"/>
      <c r="X13" s="960"/>
      <c r="Y13" s="951"/>
      <c r="Z13" s="952"/>
      <c r="AA13" s="960"/>
      <c r="AB13" s="951"/>
      <c r="AC13" s="951"/>
      <c r="AD13" s="952"/>
      <c r="AE13" s="1144"/>
      <c r="AF13" s="1145"/>
      <c r="AG13" s="960"/>
      <c r="AH13" s="951"/>
      <c r="AI13" s="952"/>
      <c r="AJ13" s="1003"/>
      <c r="AK13" s="995"/>
      <c r="AM13" s="440"/>
      <c r="AN13" s="90"/>
      <c r="AO13" s="128"/>
    </row>
    <row r="14" spans="1:41" s="69" customFormat="1" ht="15" customHeight="1">
      <c r="A14" s="1134"/>
      <c r="B14" s="1137"/>
      <c r="C14" s="511"/>
      <c r="D14" s="518" t="s">
        <v>799</v>
      </c>
      <c r="E14" s="320" t="s">
        <v>64</v>
      </c>
      <c r="F14" s="515" t="s">
        <v>151</v>
      </c>
      <c r="G14" s="514">
        <v>652.15612619222304</v>
      </c>
      <c r="H14" s="320" t="s">
        <v>64</v>
      </c>
      <c r="I14" s="512"/>
      <c r="J14" s="1140"/>
      <c r="K14" s="1128"/>
      <c r="L14" s="960"/>
      <c r="M14" s="951"/>
      <c r="N14" s="952"/>
      <c r="O14" s="737"/>
      <c r="P14" s="737"/>
      <c r="Q14" s="737"/>
      <c r="R14" s="960"/>
      <c r="S14" s="951"/>
      <c r="T14" s="952"/>
      <c r="U14" s="960"/>
      <c r="V14" s="951"/>
      <c r="W14" s="952"/>
      <c r="X14" s="960"/>
      <c r="Y14" s="951"/>
      <c r="Z14" s="952"/>
      <c r="AA14" s="960"/>
      <c r="AB14" s="951"/>
      <c r="AC14" s="951"/>
      <c r="AD14" s="952"/>
      <c r="AE14" s="1144"/>
      <c r="AF14" s="1145"/>
      <c r="AG14" s="960"/>
      <c r="AH14" s="951"/>
      <c r="AI14" s="952"/>
      <c r="AJ14" s="1003"/>
      <c r="AK14" s="995"/>
      <c r="AM14" s="440"/>
      <c r="AN14" s="90"/>
      <c r="AO14" s="128"/>
    </row>
    <row r="15" spans="1:41" s="69" customFormat="1" ht="15" customHeight="1">
      <c r="A15" s="1134"/>
      <c r="B15" s="1137"/>
      <c r="C15" s="511"/>
      <c r="D15" s="518" t="s">
        <v>800</v>
      </c>
      <c r="E15" s="320" t="s">
        <v>64</v>
      </c>
      <c r="F15" s="515" t="s">
        <v>151</v>
      </c>
      <c r="G15" s="514">
        <v>652.15553925165079</v>
      </c>
      <c r="H15" s="320" t="s">
        <v>64</v>
      </c>
      <c r="I15" s="512"/>
      <c r="J15" s="1140"/>
      <c r="K15" s="1128"/>
      <c r="L15" s="960"/>
      <c r="M15" s="951"/>
      <c r="N15" s="952"/>
      <c r="O15" s="737"/>
      <c r="P15" s="737"/>
      <c r="Q15" s="737"/>
      <c r="R15" s="960"/>
      <c r="S15" s="951"/>
      <c r="T15" s="952"/>
      <c r="U15" s="960"/>
      <c r="V15" s="951"/>
      <c r="W15" s="952"/>
      <c r="X15" s="960"/>
      <c r="Y15" s="951"/>
      <c r="Z15" s="952"/>
      <c r="AA15" s="960"/>
      <c r="AB15" s="951"/>
      <c r="AC15" s="951"/>
      <c r="AD15" s="952"/>
      <c r="AE15" s="1144"/>
      <c r="AF15" s="1145"/>
      <c r="AG15" s="960"/>
      <c r="AH15" s="951"/>
      <c r="AI15" s="952"/>
      <c r="AJ15" s="1003"/>
      <c r="AK15" s="995"/>
      <c r="AM15" s="440"/>
      <c r="AN15" s="90"/>
      <c r="AO15" s="128"/>
    </row>
    <row r="16" spans="1:41" s="69" customFormat="1" ht="15" customHeight="1">
      <c r="A16" s="1134"/>
      <c r="B16" s="1137"/>
      <c r="C16" s="511"/>
      <c r="D16" s="518" t="s">
        <v>801</v>
      </c>
      <c r="E16" s="320" t="s">
        <v>64</v>
      </c>
      <c r="F16" s="515" t="s">
        <v>151</v>
      </c>
      <c r="G16" s="514">
        <v>326.0777696258254</v>
      </c>
      <c r="H16" s="320" t="s">
        <v>64</v>
      </c>
      <c r="I16" s="512"/>
      <c r="J16" s="1140"/>
      <c r="K16" s="1128"/>
      <c r="L16" s="960"/>
      <c r="M16" s="951"/>
      <c r="N16" s="952"/>
      <c r="O16" s="737"/>
      <c r="P16" s="737"/>
      <c r="Q16" s="737"/>
      <c r="R16" s="960"/>
      <c r="S16" s="951"/>
      <c r="T16" s="952"/>
      <c r="U16" s="960"/>
      <c r="V16" s="951"/>
      <c r="W16" s="952"/>
      <c r="X16" s="960"/>
      <c r="Y16" s="951"/>
      <c r="Z16" s="952"/>
      <c r="AA16" s="960"/>
      <c r="AB16" s="951"/>
      <c r="AC16" s="951"/>
      <c r="AD16" s="952"/>
      <c r="AE16" s="1144"/>
      <c r="AF16" s="1145"/>
      <c r="AG16" s="960"/>
      <c r="AH16" s="951"/>
      <c r="AI16" s="952"/>
      <c r="AJ16" s="1003"/>
      <c r="AK16" s="995"/>
      <c r="AM16" s="440"/>
      <c r="AN16" s="90"/>
      <c r="AO16" s="128"/>
    </row>
    <row r="17" spans="1:41" s="69" customFormat="1" ht="15" customHeight="1">
      <c r="A17" s="1134"/>
      <c r="B17" s="1137"/>
      <c r="C17" s="511"/>
      <c r="D17" s="518" t="s">
        <v>802</v>
      </c>
      <c r="E17" s="320" t="s">
        <v>64</v>
      </c>
      <c r="F17" s="515" t="s">
        <v>151</v>
      </c>
      <c r="G17" s="514">
        <v>3260.7806309611151</v>
      </c>
      <c r="H17" s="320" t="s">
        <v>64</v>
      </c>
      <c r="I17" s="512"/>
      <c r="J17" s="1140"/>
      <c r="K17" s="1128"/>
      <c r="L17" s="960"/>
      <c r="M17" s="951"/>
      <c r="N17" s="952"/>
      <c r="O17" s="737"/>
      <c r="P17" s="737"/>
      <c r="Q17" s="737"/>
      <c r="R17" s="960"/>
      <c r="S17" s="951"/>
      <c r="T17" s="952"/>
      <c r="U17" s="960"/>
      <c r="V17" s="951"/>
      <c r="W17" s="952"/>
      <c r="X17" s="960"/>
      <c r="Y17" s="951"/>
      <c r="Z17" s="952"/>
      <c r="AA17" s="960"/>
      <c r="AB17" s="951"/>
      <c r="AC17" s="951"/>
      <c r="AD17" s="952"/>
      <c r="AE17" s="1144"/>
      <c r="AF17" s="1145"/>
      <c r="AG17" s="960"/>
      <c r="AH17" s="951"/>
      <c r="AI17" s="952"/>
      <c r="AJ17" s="1003"/>
      <c r="AK17" s="995"/>
      <c r="AM17" s="440"/>
      <c r="AN17" s="90"/>
      <c r="AO17" s="128"/>
    </row>
    <row r="18" spans="1:41" s="69" customFormat="1" ht="15" customHeight="1">
      <c r="A18" s="1134"/>
      <c r="B18" s="1137"/>
      <c r="C18" s="511"/>
      <c r="D18" s="518" t="s">
        <v>803</v>
      </c>
      <c r="E18" s="320" t="s">
        <v>64</v>
      </c>
      <c r="F18" s="515" t="s">
        <v>151</v>
      </c>
      <c r="G18" s="514">
        <v>326.07806309611152</v>
      </c>
      <c r="H18" s="320" t="s">
        <v>64</v>
      </c>
      <c r="I18" s="512"/>
      <c r="J18" s="1140"/>
      <c r="K18" s="1128"/>
      <c r="L18" s="960"/>
      <c r="M18" s="951"/>
      <c r="N18" s="952"/>
      <c r="O18" s="737"/>
      <c r="P18" s="737"/>
      <c r="Q18" s="737"/>
      <c r="R18" s="960"/>
      <c r="S18" s="951"/>
      <c r="T18" s="952"/>
      <c r="U18" s="960"/>
      <c r="V18" s="951"/>
      <c r="W18" s="952"/>
      <c r="X18" s="960"/>
      <c r="Y18" s="951"/>
      <c r="Z18" s="952"/>
      <c r="AA18" s="960"/>
      <c r="AB18" s="951"/>
      <c r="AC18" s="951"/>
      <c r="AD18" s="952"/>
      <c r="AE18" s="1144"/>
      <c r="AF18" s="1145"/>
      <c r="AG18" s="960"/>
      <c r="AH18" s="951"/>
      <c r="AI18" s="952"/>
      <c r="AJ18" s="1003"/>
      <c r="AK18" s="995"/>
      <c r="AM18" s="440"/>
      <c r="AN18" s="90"/>
      <c r="AO18" s="128"/>
    </row>
    <row r="19" spans="1:41" s="69" customFormat="1" ht="15" customHeight="1">
      <c r="A19" s="1134"/>
      <c r="B19" s="1137"/>
      <c r="C19" s="511"/>
      <c r="D19" s="518" t="s">
        <v>804</v>
      </c>
      <c r="E19" s="320" t="s">
        <v>64</v>
      </c>
      <c r="F19" s="515" t="s">
        <v>151</v>
      </c>
      <c r="G19" s="514">
        <v>168.13499633162144</v>
      </c>
      <c r="H19" s="320" t="s">
        <v>64</v>
      </c>
      <c r="I19" s="512"/>
      <c r="J19" s="1140"/>
      <c r="K19" s="1128"/>
      <c r="L19" s="960"/>
      <c r="M19" s="951"/>
      <c r="N19" s="952"/>
      <c r="O19" s="737"/>
      <c r="P19" s="737"/>
      <c r="Q19" s="737"/>
      <c r="R19" s="960"/>
      <c r="S19" s="951"/>
      <c r="T19" s="952"/>
      <c r="U19" s="960"/>
      <c r="V19" s="951"/>
      <c r="W19" s="952"/>
      <c r="X19" s="960"/>
      <c r="Y19" s="951"/>
      <c r="Z19" s="952"/>
      <c r="AA19" s="960"/>
      <c r="AB19" s="951"/>
      <c r="AC19" s="951"/>
      <c r="AD19" s="952"/>
      <c r="AE19" s="1144"/>
      <c r="AF19" s="1145"/>
      <c r="AG19" s="960"/>
      <c r="AH19" s="951"/>
      <c r="AI19" s="952"/>
      <c r="AJ19" s="1003"/>
      <c r="AK19" s="995"/>
      <c r="AM19" s="440"/>
      <c r="AN19" s="90"/>
      <c r="AO19" s="128"/>
    </row>
    <row r="20" spans="1:41" s="69" customFormat="1" ht="15" customHeight="1">
      <c r="A20" s="1134"/>
      <c r="B20" s="1137"/>
      <c r="C20" s="511"/>
      <c r="D20" s="518" t="s">
        <v>805</v>
      </c>
      <c r="E20" s="320" t="s">
        <v>64</v>
      </c>
      <c r="F20" s="515" t="s">
        <v>151</v>
      </c>
      <c r="G20" s="514">
        <v>3.2604548789435071</v>
      </c>
      <c r="H20" s="320" t="s">
        <v>64</v>
      </c>
      <c r="I20" s="512"/>
      <c r="J20" s="1140"/>
      <c r="K20" s="1128"/>
      <c r="L20" s="960"/>
      <c r="M20" s="951"/>
      <c r="N20" s="952"/>
      <c r="O20" s="737"/>
      <c r="P20" s="737"/>
      <c r="Q20" s="737"/>
      <c r="R20" s="960"/>
      <c r="S20" s="951"/>
      <c r="T20" s="952"/>
      <c r="U20" s="960"/>
      <c r="V20" s="951"/>
      <c r="W20" s="952"/>
      <c r="X20" s="960"/>
      <c r="Y20" s="951"/>
      <c r="Z20" s="952"/>
      <c r="AA20" s="960"/>
      <c r="AB20" s="951"/>
      <c r="AC20" s="951"/>
      <c r="AD20" s="952"/>
      <c r="AE20" s="1144"/>
      <c r="AF20" s="1145"/>
      <c r="AG20" s="960"/>
      <c r="AH20" s="951"/>
      <c r="AI20" s="952"/>
      <c r="AJ20" s="1003"/>
      <c r="AK20" s="995"/>
      <c r="AM20" s="440"/>
      <c r="AN20" s="90"/>
      <c r="AO20" s="128"/>
    </row>
    <row r="21" spans="1:41" s="69" customFormat="1" ht="15" customHeight="1">
      <c r="A21" s="1134"/>
      <c r="B21" s="1137"/>
      <c r="C21" s="511"/>
      <c r="D21" s="518" t="s">
        <v>806</v>
      </c>
      <c r="E21" s="320" t="s">
        <v>64</v>
      </c>
      <c r="F21" s="515" t="s">
        <v>151</v>
      </c>
      <c r="G21" s="514">
        <v>19.562729273661041</v>
      </c>
      <c r="H21" s="320" t="s">
        <v>64</v>
      </c>
      <c r="I21" s="512"/>
      <c r="J21" s="1140"/>
      <c r="K21" s="1128"/>
      <c r="L21" s="960"/>
      <c r="M21" s="951"/>
      <c r="N21" s="952"/>
      <c r="O21" s="737"/>
      <c r="P21" s="737"/>
      <c r="Q21" s="737"/>
      <c r="R21" s="960"/>
      <c r="S21" s="951"/>
      <c r="T21" s="952"/>
      <c r="U21" s="960"/>
      <c r="V21" s="951"/>
      <c r="W21" s="952"/>
      <c r="X21" s="960"/>
      <c r="Y21" s="951"/>
      <c r="Z21" s="952"/>
      <c r="AA21" s="960"/>
      <c r="AB21" s="951"/>
      <c r="AC21" s="951"/>
      <c r="AD21" s="952"/>
      <c r="AE21" s="1144"/>
      <c r="AF21" s="1145"/>
      <c r="AG21" s="960"/>
      <c r="AH21" s="951"/>
      <c r="AI21" s="952"/>
      <c r="AJ21" s="1003"/>
      <c r="AK21" s="995"/>
      <c r="AM21" s="440"/>
      <c r="AN21" s="90"/>
      <c r="AO21" s="128"/>
    </row>
    <row r="22" spans="1:41" s="69" customFormat="1" ht="15" customHeight="1">
      <c r="A22" s="1134"/>
      <c r="B22" s="1137"/>
      <c r="C22" s="511"/>
      <c r="D22" s="518" t="s">
        <v>807</v>
      </c>
      <c r="E22" s="320" t="s">
        <v>64</v>
      </c>
      <c r="F22" s="515" t="s">
        <v>151</v>
      </c>
      <c r="G22" s="514">
        <v>3.2604548789435071</v>
      </c>
      <c r="H22" s="320" t="s">
        <v>64</v>
      </c>
      <c r="I22" s="512"/>
      <c r="J22" s="1140"/>
      <c r="K22" s="1128"/>
      <c r="L22" s="960"/>
      <c r="M22" s="951"/>
      <c r="N22" s="952"/>
      <c r="O22" s="737"/>
      <c r="P22" s="737"/>
      <c r="Q22" s="737"/>
      <c r="R22" s="960"/>
      <c r="S22" s="951"/>
      <c r="T22" s="952"/>
      <c r="U22" s="960"/>
      <c r="V22" s="951"/>
      <c r="W22" s="952"/>
      <c r="X22" s="960"/>
      <c r="Y22" s="951"/>
      <c r="Z22" s="952"/>
      <c r="AA22" s="960"/>
      <c r="AB22" s="951"/>
      <c r="AC22" s="951"/>
      <c r="AD22" s="952"/>
      <c r="AE22" s="1144"/>
      <c r="AF22" s="1145"/>
      <c r="AG22" s="960"/>
      <c r="AH22" s="951"/>
      <c r="AI22" s="952"/>
      <c r="AJ22" s="1003"/>
      <c r="AK22" s="995"/>
      <c r="AM22" s="440"/>
      <c r="AN22" s="90"/>
      <c r="AO22" s="128"/>
    </row>
    <row r="23" spans="1:41" s="69" customFormat="1" ht="15" customHeight="1">
      <c r="A23" s="1134"/>
      <c r="B23" s="1137"/>
      <c r="C23" s="511"/>
      <c r="D23" s="223" t="s">
        <v>341</v>
      </c>
      <c r="E23" s="320" t="s">
        <v>64</v>
      </c>
      <c r="F23" s="515" t="s">
        <v>151</v>
      </c>
      <c r="G23" s="119">
        <v>567.45414526779166</v>
      </c>
      <c r="H23" s="320" t="s">
        <v>64</v>
      </c>
      <c r="I23" s="512"/>
      <c r="J23" s="1140"/>
      <c r="K23" s="1128"/>
      <c r="L23" s="960"/>
      <c r="M23" s="951"/>
      <c r="N23" s="952"/>
      <c r="O23" s="737"/>
      <c r="P23" s="737"/>
      <c r="Q23" s="737"/>
      <c r="R23" s="960"/>
      <c r="S23" s="951"/>
      <c r="T23" s="952"/>
      <c r="U23" s="960"/>
      <c r="V23" s="951"/>
      <c r="W23" s="952"/>
      <c r="X23" s="960"/>
      <c r="Y23" s="951"/>
      <c r="Z23" s="952"/>
      <c r="AA23" s="960"/>
      <c r="AB23" s="951"/>
      <c r="AC23" s="951"/>
      <c r="AD23" s="952"/>
      <c r="AE23" s="1144"/>
      <c r="AF23" s="1145"/>
      <c r="AG23" s="960"/>
      <c r="AH23" s="951"/>
      <c r="AI23" s="952"/>
      <c r="AJ23" s="1003"/>
      <c r="AK23" s="995"/>
      <c r="AM23" s="440"/>
      <c r="AN23" s="90"/>
      <c r="AO23" s="128"/>
    </row>
    <row r="24" spans="1:41" s="69" customFormat="1" ht="15" customHeight="1">
      <c r="A24" s="1134"/>
      <c r="B24" s="1137"/>
      <c r="C24" s="511"/>
      <c r="D24" s="223" t="s">
        <v>808</v>
      </c>
      <c r="E24" s="320" t="s">
        <v>64</v>
      </c>
      <c r="F24" s="515" t="s">
        <v>151</v>
      </c>
      <c r="G24" s="514">
        <v>13.206162876008804</v>
      </c>
      <c r="H24" s="320" t="s">
        <v>64</v>
      </c>
      <c r="I24" s="512"/>
      <c r="J24" s="1140"/>
      <c r="K24" s="1128"/>
      <c r="L24" s="960"/>
      <c r="M24" s="951"/>
      <c r="N24" s="952"/>
      <c r="O24" s="737"/>
      <c r="P24" s="737"/>
      <c r="Q24" s="737"/>
      <c r="R24" s="960"/>
      <c r="S24" s="951"/>
      <c r="T24" s="952"/>
      <c r="U24" s="960"/>
      <c r="V24" s="951"/>
      <c r="W24" s="952"/>
      <c r="X24" s="960"/>
      <c r="Y24" s="951"/>
      <c r="Z24" s="952"/>
      <c r="AA24" s="960"/>
      <c r="AB24" s="951"/>
      <c r="AC24" s="951"/>
      <c r="AD24" s="952"/>
      <c r="AE24" s="1144"/>
      <c r="AF24" s="1145"/>
      <c r="AG24" s="960"/>
      <c r="AH24" s="951"/>
      <c r="AI24" s="952"/>
      <c r="AJ24" s="1003"/>
      <c r="AK24" s="995"/>
      <c r="AM24" s="440"/>
      <c r="AN24" s="90"/>
      <c r="AO24" s="128"/>
    </row>
    <row r="25" spans="1:41" s="69" customFormat="1" ht="15" customHeight="1">
      <c r="A25" s="1134"/>
      <c r="B25" s="1137"/>
      <c r="C25" s="511"/>
      <c r="D25" s="223" t="s">
        <v>809</v>
      </c>
      <c r="E25" s="320" t="s">
        <v>64</v>
      </c>
      <c r="F25" s="515" t="s">
        <v>151</v>
      </c>
      <c r="G25" s="514">
        <v>326.07806309611152</v>
      </c>
      <c r="H25" s="320" t="s">
        <v>64</v>
      </c>
      <c r="I25" s="512"/>
      <c r="J25" s="1140"/>
      <c r="K25" s="1128"/>
      <c r="L25" s="960"/>
      <c r="M25" s="951"/>
      <c r="N25" s="952"/>
      <c r="O25" s="737"/>
      <c r="P25" s="737"/>
      <c r="Q25" s="737"/>
      <c r="R25" s="960"/>
      <c r="S25" s="951"/>
      <c r="T25" s="952"/>
      <c r="U25" s="960"/>
      <c r="V25" s="951"/>
      <c r="W25" s="952"/>
      <c r="X25" s="960"/>
      <c r="Y25" s="951"/>
      <c r="Z25" s="952"/>
      <c r="AA25" s="960"/>
      <c r="AB25" s="951"/>
      <c r="AC25" s="951"/>
      <c r="AD25" s="952"/>
      <c r="AE25" s="1144"/>
      <c r="AF25" s="1145"/>
      <c r="AG25" s="960"/>
      <c r="AH25" s="951"/>
      <c r="AI25" s="952"/>
      <c r="AJ25" s="1003"/>
      <c r="AK25" s="995"/>
      <c r="AM25" s="440"/>
      <c r="AN25" s="90"/>
      <c r="AO25" s="128"/>
    </row>
    <row r="26" spans="1:41" s="69" customFormat="1" ht="15" customHeight="1">
      <c r="A26" s="1134"/>
      <c r="B26" s="1137"/>
      <c r="C26" s="511"/>
      <c r="D26" s="223" t="s">
        <v>810</v>
      </c>
      <c r="E26" s="320" t="s">
        <v>64</v>
      </c>
      <c r="F26" s="515" t="s">
        <v>151</v>
      </c>
      <c r="G26" s="514">
        <v>16.305209097578871</v>
      </c>
      <c r="H26" s="320" t="s">
        <v>64</v>
      </c>
      <c r="I26" s="512"/>
      <c r="J26" s="1140"/>
      <c r="K26" s="1128"/>
      <c r="L26" s="960"/>
      <c r="M26" s="951"/>
      <c r="N26" s="952"/>
      <c r="O26" s="737"/>
      <c r="P26" s="737"/>
      <c r="Q26" s="737"/>
      <c r="R26" s="960"/>
      <c r="S26" s="951"/>
      <c r="T26" s="952"/>
      <c r="U26" s="960"/>
      <c r="V26" s="951"/>
      <c r="W26" s="952"/>
      <c r="X26" s="960"/>
      <c r="Y26" s="951"/>
      <c r="Z26" s="952"/>
      <c r="AA26" s="960"/>
      <c r="AB26" s="951"/>
      <c r="AC26" s="951"/>
      <c r="AD26" s="952"/>
      <c r="AE26" s="1144"/>
      <c r="AF26" s="1145"/>
      <c r="AG26" s="960"/>
      <c r="AH26" s="951"/>
      <c r="AI26" s="952"/>
      <c r="AJ26" s="1003"/>
      <c r="AK26" s="995"/>
      <c r="AM26" s="440"/>
      <c r="AN26" s="90"/>
      <c r="AO26" s="128"/>
    </row>
    <row r="27" spans="1:41" s="69" customFormat="1" ht="15" customHeight="1">
      <c r="A27" s="1134"/>
      <c r="B27" s="1137"/>
      <c r="C27" s="511"/>
      <c r="D27" s="223" t="s">
        <v>811</v>
      </c>
      <c r="E27" s="320" t="s">
        <v>64</v>
      </c>
      <c r="F27" s="515" t="s">
        <v>151</v>
      </c>
      <c r="G27" s="514">
        <v>163.03741746148202</v>
      </c>
      <c r="H27" s="320" t="s">
        <v>64</v>
      </c>
      <c r="I27" s="512"/>
      <c r="J27" s="1140"/>
      <c r="K27" s="1128"/>
      <c r="L27" s="960"/>
      <c r="M27" s="951"/>
      <c r="N27" s="952"/>
      <c r="O27" s="737"/>
      <c r="P27" s="737"/>
      <c r="Q27" s="737"/>
      <c r="R27" s="960"/>
      <c r="S27" s="951"/>
      <c r="T27" s="952"/>
      <c r="U27" s="960"/>
      <c r="V27" s="951"/>
      <c r="W27" s="952"/>
      <c r="X27" s="960"/>
      <c r="Y27" s="951"/>
      <c r="Z27" s="952"/>
      <c r="AA27" s="960"/>
      <c r="AB27" s="951"/>
      <c r="AC27" s="951"/>
      <c r="AD27" s="952"/>
      <c r="AE27" s="1144"/>
      <c r="AF27" s="1145"/>
      <c r="AG27" s="960"/>
      <c r="AH27" s="951"/>
      <c r="AI27" s="952"/>
      <c r="AJ27" s="1003"/>
      <c r="AK27" s="995"/>
      <c r="AM27" s="440"/>
      <c r="AN27" s="90"/>
      <c r="AO27" s="128"/>
    </row>
    <row r="28" spans="1:41" s="69" customFormat="1" ht="15" customHeight="1">
      <c r="A28" s="1134"/>
      <c r="B28" s="1137"/>
      <c r="C28" s="511"/>
      <c r="D28" s="223" t="s">
        <v>812</v>
      </c>
      <c r="E28" s="320" t="s">
        <v>64</v>
      </c>
      <c r="F28" s="515" t="s">
        <v>151</v>
      </c>
      <c r="G28" s="514">
        <v>1630.3888481291269</v>
      </c>
      <c r="H28" s="320" t="s">
        <v>64</v>
      </c>
      <c r="I28" s="512"/>
      <c r="J28" s="1140"/>
      <c r="K28" s="1128"/>
      <c r="L28" s="960"/>
      <c r="M28" s="951"/>
      <c r="N28" s="952"/>
      <c r="O28" s="737"/>
      <c r="P28" s="737"/>
      <c r="Q28" s="737"/>
      <c r="R28" s="960"/>
      <c r="S28" s="951"/>
      <c r="T28" s="952"/>
      <c r="U28" s="960"/>
      <c r="V28" s="951"/>
      <c r="W28" s="952"/>
      <c r="X28" s="960"/>
      <c r="Y28" s="951"/>
      <c r="Z28" s="952"/>
      <c r="AA28" s="960"/>
      <c r="AB28" s="951"/>
      <c r="AC28" s="951"/>
      <c r="AD28" s="952"/>
      <c r="AE28" s="1144"/>
      <c r="AF28" s="1145"/>
      <c r="AG28" s="960"/>
      <c r="AH28" s="951"/>
      <c r="AI28" s="952"/>
      <c r="AJ28" s="1003"/>
      <c r="AK28" s="995"/>
      <c r="AM28" s="440"/>
      <c r="AN28" s="90"/>
      <c r="AO28" s="128"/>
    </row>
    <row r="29" spans="1:41" s="69" customFormat="1" ht="15" customHeight="1">
      <c r="A29" s="1134"/>
      <c r="B29" s="1137"/>
      <c r="C29" s="511"/>
      <c r="D29" s="223" t="s">
        <v>813</v>
      </c>
      <c r="E29" s="320" t="s">
        <v>64</v>
      </c>
      <c r="F29" s="515" t="s">
        <v>151</v>
      </c>
      <c r="G29" s="514">
        <v>168.13499633162144</v>
      </c>
      <c r="H29" s="320" t="s">
        <v>64</v>
      </c>
      <c r="I29" s="512"/>
      <c r="J29" s="1140"/>
      <c r="K29" s="1128"/>
      <c r="L29" s="960"/>
      <c r="M29" s="951"/>
      <c r="N29" s="952"/>
      <c r="O29" s="737"/>
      <c r="P29" s="737"/>
      <c r="Q29" s="737"/>
      <c r="R29" s="960"/>
      <c r="S29" s="951"/>
      <c r="T29" s="952"/>
      <c r="U29" s="960"/>
      <c r="V29" s="951"/>
      <c r="W29" s="952"/>
      <c r="X29" s="960"/>
      <c r="Y29" s="951"/>
      <c r="Z29" s="952"/>
      <c r="AA29" s="960"/>
      <c r="AB29" s="951"/>
      <c r="AC29" s="951"/>
      <c r="AD29" s="952"/>
      <c r="AE29" s="1144"/>
      <c r="AF29" s="1145"/>
      <c r="AG29" s="960"/>
      <c r="AH29" s="951"/>
      <c r="AI29" s="952"/>
      <c r="AJ29" s="1003"/>
      <c r="AK29" s="995"/>
      <c r="AM29" s="440"/>
      <c r="AN29" s="90"/>
      <c r="AO29" s="128"/>
    </row>
    <row r="30" spans="1:41" s="69" customFormat="1" ht="15" customHeight="1">
      <c r="A30" s="1134"/>
      <c r="B30" s="1137"/>
      <c r="C30" s="511"/>
      <c r="D30" s="223" t="s">
        <v>814</v>
      </c>
      <c r="E30" s="320" t="s">
        <v>64</v>
      </c>
      <c r="F30" s="515" t="s">
        <v>151</v>
      </c>
      <c r="G30" s="514">
        <v>3.2604548789435071</v>
      </c>
      <c r="H30" s="320" t="s">
        <v>64</v>
      </c>
      <c r="I30" s="512"/>
      <c r="J30" s="1140"/>
      <c r="K30" s="1128"/>
      <c r="L30" s="960"/>
      <c r="M30" s="951"/>
      <c r="N30" s="952"/>
      <c r="O30" s="737"/>
      <c r="P30" s="737"/>
      <c r="Q30" s="737"/>
      <c r="R30" s="960"/>
      <c r="S30" s="951"/>
      <c r="T30" s="952"/>
      <c r="U30" s="960"/>
      <c r="V30" s="951"/>
      <c r="W30" s="952"/>
      <c r="X30" s="960"/>
      <c r="Y30" s="951"/>
      <c r="Z30" s="952"/>
      <c r="AA30" s="960"/>
      <c r="AB30" s="951"/>
      <c r="AC30" s="951"/>
      <c r="AD30" s="952"/>
      <c r="AE30" s="1144"/>
      <c r="AF30" s="1145"/>
      <c r="AG30" s="960"/>
      <c r="AH30" s="951"/>
      <c r="AI30" s="952"/>
      <c r="AJ30" s="1003"/>
      <c r="AK30" s="995"/>
      <c r="AM30" s="440"/>
      <c r="AN30" s="90"/>
      <c r="AO30" s="128"/>
    </row>
    <row r="31" spans="1:41" s="69" customFormat="1" ht="15.75" customHeight="1" thickBot="1">
      <c r="A31" s="1135"/>
      <c r="B31" s="1138"/>
      <c r="C31" s="33"/>
      <c r="D31" s="224" t="s">
        <v>815</v>
      </c>
      <c r="E31" s="226" t="s">
        <v>64</v>
      </c>
      <c r="F31" s="516" t="s">
        <v>151</v>
      </c>
      <c r="G31" s="94">
        <v>3.2604548789435071</v>
      </c>
      <c r="H31" s="226" t="s">
        <v>64</v>
      </c>
      <c r="I31" s="208"/>
      <c r="J31" s="1141"/>
      <c r="K31" s="1129"/>
      <c r="L31" s="1086"/>
      <c r="M31" s="973"/>
      <c r="N31" s="1087"/>
      <c r="O31" s="738"/>
      <c r="P31" s="738"/>
      <c r="Q31" s="738"/>
      <c r="R31" s="1086"/>
      <c r="S31" s="973"/>
      <c r="T31" s="1087"/>
      <c r="U31" s="1086"/>
      <c r="V31" s="973"/>
      <c r="W31" s="1087"/>
      <c r="X31" s="1086"/>
      <c r="Y31" s="973"/>
      <c r="Z31" s="1087"/>
      <c r="AA31" s="1086"/>
      <c r="AB31" s="973"/>
      <c r="AC31" s="973"/>
      <c r="AD31" s="1087"/>
      <c r="AE31" s="1146"/>
      <c r="AF31" s="1147"/>
      <c r="AG31" s="1086"/>
      <c r="AH31" s="973"/>
      <c r="AI31" s="1087"/>
      <c r="AJ31" s="1004"/>
      <c r="AK31" s="996"/>
      <c r="AM31" s="440"/>
      <c r="AN31" s="200"/>
      <c r="AO31" s="200"/>
    </row>
    <row r="32" spans="1:41" s="10" customFormat="1">
      <c r="A32" s="1196" t="s">
        <v>69</v>
      </c>
      <c r="B32" s="232">
        <v>8687</v>
      </c>
      <c r="C32" s="221">
        <v>32394</v>
      </c>
      <c r="D32" s="222" t="s">
        <v>219</v>
      </c>
      <c r="E32" s="222" t="s">
        <v>70</v>
      </c>
      <c r="F32" s="227" t="s">
        <v>50</v>
      </c>
      <c r="G32" s="11">
        <v>255.31914893617022</v>
      </c>
      <c r="H32" s="230">
        <v>255.32</v>
      </c>
      <c r="I32" s="227" t="s">
        <v>50</v>
      </c>
      <c r="J32" s="1199" t="s">
        <v>51</v>
      </c>
      <c r="K32" s="1157" t="s">
        <v>495</v>
      </c>
      <c r="L32" s="120">
        <v>93.955979457079977</v>
      </c>
      <c r="M32" s="12">
        <v>23.184152604548789</v>
      </c>
      <c r="N32" s="115"/>
      <c r="O32" s="115"/>
      <c r="P32" s="115"/>
      <c r="Q32" s="115"/>
      <c r="R32" s="174"/>
      <c r="S32" s="120">
        <v>70.771826852531177</v>
      </c>
      <c r="T32" s="117">
        <v>37158.003511776275</v>
      </c>
      <c r="U32" s="39" t="s">
        <v>50</v>
      </c>
      <c r="V32" s="120"/>
      <c r="W32" s="97">
        <v>3.3191489361702127</v>
      </c>
      <c r="X32" s="161">
        <v>1742.6842475511137</v>
      </c>
      <c r="Y32" s="120">
        <v>3.9195157740278797</v>
      </c>
      <c r="Z32" s="117">
        <v>2058.1547805693435</v>
      </c>
      <c r="AA32" s="115"/>
      <c r="AB32" s="174"/>
      <c r="AC32" s="120">
        <v>18.261041819515775</v>
      </c>
      <c r="AD32" s="177">
        <v>9587.7679895441634</v>
      </c>
      <c r="AE32" s="941" t="s">
        <v>19</v>
      </c>
      <c r="AF32" s="942"/>
      <c r="AG32" s="209">
        <v>70.771826852531177</v>
      </c>
      <c r="AH32" s="177">
        <v>74316.007023552549</v>
      </c>
      <c r="AI32" s="177">
        <f>AH32</f>
        <v>74316.007023552549</v>
      </c>
      <c r="AJ32" s="975">
        <v>46139</v>
      </c>
      <c r="AK32" s="978">
        <f>SUM(AI32:AI39)</f>
        <v>1223496.2896348662</v>
      </c>
      <c r="AL32" s="994">
        <f>AK32+AK40+AK49+AK57</f>
        <v>1980474.7271837357</v>
      </c>
      <c r="AM32" s="850"/>
      <c r="AN32" s="86"/>
      <c r="AO32" s="104"/>
    </row>
    <row r="33" spans="1:42" s="10" customFormat="1">
      <c r="A33" s="1197"/>
      <c r="B33" s="232"/>
      <c r="C33" s="221"/>
      <c r="D33" s="223" t="s">
        <v>808</v>
      </c>
      <c r="E33" s="225" t="s">
        <v>64</v>
      </c>
      <c r="F33" s="227" t="s">
        <v>50</v>
      </c>
      <c r="G33" s="11">
        <v>2.9347028613352899</v>
      </c>
      <c r="H33" s="225" t="s">
        <v>64</v>
      </c>
      <c r="I33" s="227" t="s">
        <v>50</v>
      </c>
      <c r="J33" s="1200"/>
      <c r="K33" s="1158"/>
      <c r="L33" s="120">
        <v>34.374174614820248</v>
      </c>
      <c r="M33" s="225" t="s">
        <v>64</v>
      </c>
      <c r="N33" s="115"/>
      <c r="O33" s="115"/>
      <c r="P33" s="115"/>
      <c r="Q33" s="115"/>
      <c r="R33" s="174"/>
      <c r="S33" s="120">
        <v>34.374174614820248</v>
      </c>
      <c r="T33" s="117">
        <v>18047.798931535101</v>
      </c>
      <c r="U33" s="39" t="s">
        <v>50</v>
      </c>
      <c r="V33" s="120"/>
      <c r="W33" s="97">
        <v>3.815113719735877E-2</v>
      </c>
      <c r="X33" s="161">
        <v>20.030853420127727</v>
      </c>
      <c r="Y33" s="120">
        <v>2.3888481291269259</v>
      </c>
      <c r="Z33" s="117">
        <v>1254.8443687654938</v>
      </c>
      <c r="AA33" s="115"/>
      <c r="AB33" s="174"/>
      <c r="AC33" s="120">
        <v>9.8606016140865744</v>
      </c>
      <c r="AD33" s="177">
        <v>5177.2051916637938</v>
      </c>
      <c r="AE33" s="943"/>
      <c r="AF33" s="944"/>
      <c r="AG33" s="209">
        <v>34.374174614820248</v>
      </c>
      <c r="AH33" s="177">
        <v>36095.597863070201</v>
      </c>
      <c r="AI33" s="177">
        <f t="shared" ref="AI33:AI36" si="0">AH33</f>
        <v>36095.597863070201</v>
      </c>
      <c r="AJ33" s="976"/>
      <c r="AK33" s="979"/>
      <c r="AL33" s="995"/>
      <c r="AM33" s="850"/>
      <c r="AN33" s="86"/>
      <c r="AO33" s="104"/>
    </row>
    <row r="34" spans="1:42" s="10" customFormat="1">
      <c r="A34" s="1197"/>
      <c r="B34" s="232"/>
      <c r="C34" s="221"/>
      <c r="D34" s="223" t="s">
        <v>809</v>
      </c>
      <c r="E34" s="225" t="s">
        <v>64</v>
      </c>
      <c r="F34" s="227" t="s">
        <v>50</v>
      </c>
      <c r="G34" s="11">
        <v>29347.028613352897</v>
      </c>
      <c r="H34" s="225" t="s">
        <v>64</v>
      </c>
      <c r="I34" s="227" t="s">
        <v>50</v>
      </c>
      <c r="J34" s="1200"/>
      <c r="K34" s="1158"/>
      <c r="L34" s="120">
        <v>751.31327953044752</v>
      </c>
      <c r="M34" s="12">
        <v>28.231841526045489</v>
      </c>
      <c r="N34" s="115"/>
      <c r="O34" s="115"/>
      <c r="P34" s="115"/>
      <c r="Q34" s="115"/>
      <c r="R34" s="174"/>
      <c r="S34" s="120">
        <v>723.081438004402</v>
      </c>
      <c r="T34" s="117">
        <v>379646.30570656003</v>
      </c>
      <c r="U34" s="39" t="s">
        <v>50</v>
      </c>
      <c r="V34" s="120"/>
      <c r="W34" s="97">
        <v>353.27953044754224</v>
      </c>
      <c r="X34" s="161">
        <v>185485.70267038303</v>
      </c>
      <c r="Y34" s="120">
        <v>52.708730741012474</v>
      </c>
      <c r="Z34" s="117">
        <v>27674.831245869875</v>
      </c>
      <c r="AA34" s="115"/>
      <c r="AB34" s="174"/>
      <c r="AC34" s="120">
        <v>110.50036683785767</v>
      </c>
      <c r="AD34" s="177">
        <v>58017.055679082325</v>
      </c>
      <c r="AE34" s="943"/>
      <c r="AF34" s="944"/>
      <c r="AG34" s="209">
        <v>723.081438004402</v>
      </c>
      <c r="AH34" s="177">
        <v>759292.61141312006</v>
      </c>
      <c r="AI34" s="177">
        <f t="shared" si="0"/>
        <v>759292.61141312006</v>
      </c>
      <c r="AJ34" s="976"/>
      <c r="AK34" s="979"/>
      <c r="AL34" s="995"/>
      <c r="AM34" s="850"/>
      <c r="AN34" s="86"/>
      <c r="AO34" s="104"/>
    </row>
    <row r="35" spans="1:42" s="10" customFormat="1">
      <c r="A35" s="1197"/>
      <c r="B35" s="232"/>
      <c r="C35" s="221"/>
      <c r="D35" s="223" t="s">
        <v>810</v>
      </c>
      <c r="E35" s="225" t="s">
        <v>64</v>
      </c>
      <c r="F35" s="227" t="s">
        <v>50</v>
      </c>
      <c r="G35" s="11">
        <v>1467.351430667645</v>
      </c>
      <c r="H35" s="225" t="s">
        <v>64</v>
      </c>
      <c r="I35" s="227" t="s">
        <v>50</v>
      </c>
      <c r="J35" s="1200"/>
      <c r="K35" s="1158"/>
      <c r="L35" s="120">
        <v>68.261188554658844</v>
      </c>
      <c r="M35" s="225" t="s">
        <v>64</v>
      </c>
      <c r="N35" s="115"/>
      <c r="O35" s="115"/>
      <c r="P35" s="115"/>
      <c r="Q35" s="115"/>
      <c r="R35" s="174"/>
      <c r="S35" s="120">
        <v>68.261188554658844</v>
      </c>
      <c r="T35" s="117">
        <v>35839.819273243964</v>
      </c>
      <c r="U35" s="39" t="s">
        <v>50</v>
      </c>
      <c r="V35" s="120"/>
      <c r="W35" s="97">
        <v>19.075568598679386</v>
      </c>
      <c r="X35" s="161">
        <v>10015.426710063883</v>
      </c>
      <c r="Y35" s="120">
        <v>4.616287600880411</v>
      </c>
      <c r="Z35" s="117">
        <v>2423.7332638354605</v>
      </c>
      <c r="AA35" s="115"/>
      <c r="AB35" s="174"/>
      <c r="AC35" s="120">
        <v>14.315480557593544</v>
      </c>
      <c r="AD35" s="177">
        <v>7516.1925371833113</v>
      </c>
      <c r="AE35" s="943"/>
      <c r="AF35" s="944"/>
      <c r="AG35" s="209">
        <v>68.261188554658844</v>
      </c>
      <c r="AH35" s="177">
        <v>71679.638546487928</v>
      </c>
      <c r="AI35" s="177">
        <f t="shared" si="0"/>
        <v>71679.638546487928</v>
      </c>
      <c r="AJ35" s="976"/>
      <c r="AK35" s="979"/>
      <c r="AL35" s="995"/>
      <c r="AM35" s="850"/>
      <c r="AN35" s="86"/>
      <c r="AO35" s="104"/>
    </row>
    <row r="36" spans="1:42" s="10" customFormat="1">
      <c r="A36" s="1197"/>
      <c r="B36" s="232"/>
      <c r="C36" s="221"/>
      <c r="D36" s="223" t="s">
        <v>811</v>
      </c>
      <c r="E36" s="225" t="s">
        <v>64</v>
      </c>
      <c r="F36" s="227" t="s">
        <v>50</v>
      </c>
      <c r="G36" s="11">
        <v>851.063829787234</v>
      </c>
      <c r="H36" s="225" t="s">
        <v>64</v>
      </c>
      <c r="I36" s="227" t="s">
        <v>50</v>
      </c>
      <c r="J36" s="1200"/>
      <c r="K36" s="1158"/>
      <c r="L36" s="120">
        <v>48.760088041085837</v>
      </c>
      <c r="M36" s="225" t="s">
        <v>64</v>
      </c>
      <c r="N36" s="115"/>
      <c r="O36" s="115"/>
      <c r="P36" s="115"/>
      <c r="Q36" s="115"/>
      <c r="R36" s="174"/>
      <c r="S36" s="120">
        <v>48.760088041085837</v>
      </c>
      <c r="T36" s="117">
        <v>25600.971505801728</v>
      </c>
      <c r="U36" s="39" t="s">
        <v>50</v>
      </c>
      <c r="V36" s="120"/>
      <c r="W36" s="97">
        <v>11.063829787234043</v>
      </c>
      <c r="X36" s="161">
        <v>5808.9474918370497</v>
      </c>
      <c r="Y36" s="120">
        <v>2.3793103448275863</v>
      </c>
      <c r="Z36" s="117">
        <v>1249.2318777206615</v>
      </c>
      <c r="AA36" s="115"/>
      <c r="AB36" s="174"/>
      <c r="AC36" s="120">
        <v>11.22083639031548</v>
      </c>
      <c r="AD36" s="177">
        <v>5891.3821578352718</v>
      </c>
      <c r="AE36" s="943"/>
      <c r="AF36" s="944"/>
      <c r="AG36" s="209">
        <v>48.760088041085837</v>
      </c>
      <c r="AH36" s="177">
        <v>51201.943011603456</v>
      </c>
      <c r="AI36" s="177">
        <f t="shared" si="0"/>
        <v>51201.943011603456</v>
      </c>
      <c r="AJ36" s="976"/>
      <c r="AK36" s="979"/>
      <c r="AL36" s="995"/>
      <c r="AM36" s="850"/>
      <c r="AN36" s="86"/>
      <c r="AO36" s="104"/>
    </row>
    <row r="37" spans="1:42" s="10" customFormat="1">
      <c r="A37" s="1197"/>
      <c r="B37" s="232"/>
      <c r="C37" s="221"/>
      <c r="D37" s="223" t="s">
        <v>812</v>
      </c>
      <c r="E37" s="225" t="s">
        <v>64</v>
      </c>
      <c r="F37" s="227" t="s">
        <v>50</v>
      </c>
      <c r="G37" s="6">
        <v>85.106382978723403</v>
      </c>
      <c r="H37" s="225" t="s">
        <v>64</v>
      </c>
      <c r="I37" s="227" t="s">
        <v>50</v>
      </c>
      <c r="J37" s="1201"/>
      <c r="K37" s="1158"/>
      <c r="L37" s="120">
        <v>35.442406456346298</v>
      </c>
      <c r="M37" s="225" t="s">
        <v>64</v>
      </c>
      <c r="N37" s="115"/>
      <c r="O37" s="115"/>
      <c r="P37" s="115"/>
      <c r="Q37" s="115"/>
      <c r="R37" s="174"/>
      <c r="S37" s="120">
        <v>35.442406456346298</v>
      </c>
      <c r="T37" s="117">
        <v>18608.662827298678</v>
      </c>
      <c r="U37" s="39" t="s">
        <v>50</v>
      </c>
      <c r="V37" s="120"/>
      <c r="W37" s="120">
        <v>1.1063829787234045</v>
      </c>
      <c r="X37" s="117">
        <v>580.89474918370593</v>
      </c>
      <c r="Y37" s="120">
        <v>2.3888481291269259</v>
      </c>
      <c r="Z37" s="117">
        <v>1254.2395910756916</v>
      </c>
      <c r="AA37" s="115"/>
      <c r="AB37" s="174"/>
      <c r="AC37" s="120">
        <v>9.8606016140865744</v>
      </c>
      <c r="AD37" s="177">
        <v>5177.2051916637938</v>
      </c>
      <c r="AE37" s="943"/>
      <c r="AF37" s="944"/>
      <c r="AG37" s="209">
        <v>35.442406456346298</v>
      </c>
      <c r="AH37" s="177">
        <v>37217.325654597356</v>
      </c>
      <c r="AI37" s="177">
        <f t="shared" ref="AI37:AI63" si="1">AH37</f>
        <v>37217.325654597356</v>
      </c>
      <c r="AJ37" s="1003"/>
      <c r="AK37" s="979"/>
      <c r="AL37" s="995"/>
      <c r="AM37" s="440"/>
      <c r="AN37" s="90"/>
      <c r="AO37" s="86"/>
      <c r="AP37" s="104"/>
    </row>
    <row r="38" spans="1:42" s="10" customFormat="1">
      <c r="A38" s="1197"/>
      <c r="B38" s="233"/>
      <c r="C38" s="18"/>
      <c r="D38" s="223" t="s">
        <v>813</v>
      </c>
      <c r="E38" s="225" t="s">
        <v>64</v>
      </c>
      <c r="F38" s="227" t="s">
        <v>50</v>
      </c>
      <c r="G38" s="127">
        <v>1630.3888481291269</v>
      </c>
      <c r="H38" s="225" t="s">
        <v>64</v>
      </c>
      <c r="I38" s="227" t="s">
        <v>50</v>
      </c>
      <c r="J38" s="1201"/>
      <c r="K38" s="1158"/>
      <c r="L38" s="120">
        <v>72.255605282465154</v>
      </c>
      <c r="M38" s="225" t="s">
        <v>64</v>
      </c>
      <c r="N38" s="115"/>
      <c r="O38" s="115"/>
      <c r="P38" s="115"/>
      <c r="Q38" s="115"/>
      <c r="R38" s="174"/>
      <c r="S38" s="120">
        <v>72.255605282465154</v>
      </c>
      <c r="T38" s="117">
        <v>37937.045774244172</v>
      </c>
      <c r="U38" s="39" t="s">
        <v>50</v>
      </c>
      <c r="V38" s="120"/>
      <c r="W38" s="120">
        <v>21.195055025678652</v>
      </c>
      <c r="X38" s="117">
        <v>11128.240771819086</v>
      </c>
      <c r="Y38" s="120">
        <v>4.8975271460014671</v>
      </c>
      <c r="Z38" s="117">
        <v>2571.395129722207</v>
      </c>
      <c r="AA38" s="115"/>
      <c r="AB38" s="174"/>
      <c r="AC38" s="120">
        <v>14.877959647835656</v>
      </c>
      <c r="AD38" s="177">
        <v>7811.5162689568224</v>
      </c>
      <c r="AE38" s="943"/>
      <c r="AF38" s="944"/>
      <c r="AG38" s="209">
        <v>72.255605282465154</v>
      </c>
      <c r="AH38" s="177">
        <v>75874.091548488344</v>
      </c>
      <c r="AI38" s="177">
        <f t="shared" si="1"/>
        <v>75874.091548488344</v>
      </c>
      <c r="AJ38" s="1003"/>
      <c r="AK38" s="979"/>
      <c r="AL38" s="995"/>
      <c r="AM38" s="440"/>
      <c r="AN38" s="90"/>
      <c r="AO38" s="86"/>
      <c r="AP38" s="104"/>
    </row>
    <row r="39" spans="1:42" s="10" customFormat="1" ht="13.5" thickBot="1">
      <c r="A39" s="1197"/>
      <c r="B39" s="234"/>
      <c r="C39" s="26"/>
      <c r="D39" s="224" t="s">
        <v>814</v>
      </c>
      <c r="E39" s="226" t="s">
        <v>64</v>
      </c>
      <c r="F39" s="220" t="s">
        <v>50</v>
      </c>
      <c r="G39" s="94">
        <v>3260.7806309611151</v>
      </c>
      <c r="H39" s="226" t="s">
        <v>64</v>
      </c>
      <c r="I39" s="220" t="s">
        <v>50</v>
      </c>
      <c r="J39" s="1201"/>
      <c r="K39" s="1158"/>
      <c r="L39" s="28">
        <v>112.20020396184886</v>
      </c>
      <c r="M39" s="226" t="s">
        <v>64</v>
      </c>
      <c r="N39" s="116"/>
      <c r="O39" s="116"/>
      <c r="P39" s="116"/>
      <c r="Q39" s="116"/>
      <c r="R39" s="175"/>
      <c r="S39" s="28">
        <v>112.20020396184886</v>
      </c>
      <c r="T39" s="118">
        <v>58909.537286973202</v>
      </c>
      <c r="U39" s="219" t="s">
        <v>50</v>
      </c>
      <c r="V39" s="28"/>
      <c r="W39" s="28">
        <v>42.390148202494501</v>
      </c>
      <c r="X39" s="118">
        <v>22256.501574491602</v>
      </c>
      <c r="Y39" s="28">
        <v>7.709952971386647</v>
      </c>
      <c r="Z39" s="118">
        <v>4048.0297362306751</v>
      </c>
      <c r="AA39" s="116"/>
      <c r="AB39" s="175"/>
      <c r="AC39" s="28">
        <v>20.502811298606016</v>
      </c>
      <c r="AD39" s="180">
        <v>10764.785481973759</v>
      </c>
      <c r="AE39" s="943"/>
      <c r="AF39" s="944"/>
      <c r="AG39" s="199">
        <v>112.20020396184886</v>
      </c>
      <c r="AH39" s="180">
        <v>117819.0745739464</v>
      </c>
      <c r="AI39" s="180">
        <f t="shared" si="1"/>
        <v>117819.0745739464</v>
      </c>
      <c r="AJ39" s="1003"/>
      <c r="AK39" s="980"/>
      <c r="AL39" s="995"/>
      <c r="AM39" s="440"/>
      <c r="AN39" s="90"/>
      <c r="AO39" s="86"/>
      <c r="AP39" s="104"/>
    </row>
    <row r="40" spans="1:42" s="10" customFormat="1">
      <c r="A40" s="1197"/>
      <c r="B40" s="235">
        <v>10128</v>
      </c>
      <c r="C40" s="231">
        <v>33515</v>
      </c>
      <c r="D40" s="222" t="s">
        <v>220</v>
      </c>
      <c r="E40" s="222" t="s">
        <v>71</v>
      </c>
      <c r="F40" s="227" t="s">
        <v>50</v>
      </c>
      <c r="G40" s="11">
        <v>1531.91</v>
      </c>
      <c r="H40" s="320" t="s">
        <v>221</v>
      </c>
      <c r="I40" s="227" t="s">
        <v>50</v>
      </c>
      <c r="J40" s="1201"/>
      <c r="K40" s="1158"/>
      <c r="L40" s="120">
        <v>72.630961115187091</v>
      </c>
      <c r="M40" s="12">
        <v>6.1041819515774032</v>
      </c>
      <c r="N40" s="115"/>
      <c r="O40" s="115"/>
      <c r="P40" s="115"/>
      <c r="Q40" s="115"/>
      <c r="R40" s="174"/>
      <c r="S40" s="120">
        <v>66.526779163609689</v>
      </c>
      <c r="T40" s="117">
        <v>16025.240948328923</v>
      </c>
      <c r="U40" s="39" t="s">
        <v>50</v>
      </c>
      <c r="V40" s="120"/>
      <c r="W40" s="120">
        <v>19.914893617021278</v>
      </c>
      <c r="X40" s="117">
        <v>4797.1805141541254</v>
      </c>
      <c r="Y40" s="120">
        <v>4.8215700660308141</v>
      </c>
      <c r="Z40" s="117">
        <v>1161.4393937119842</v>
      </c>
      <c r="AA40" s="115"/>
      <c r="AB40" s="174"/>
      <c r="AC40" s="120">
        <v>13.631401320616286</v>
      </c>
      <c r="AD40" s="177">
        <v>3283.587351929637</v>
      </c>
      <c r="AE40" s="943"/>
      <c r="AF40" s="944"/>
      <c r="AG40" s="209">
        <v>66.526779163609689</v>
      </c>
      <c r="AH40" s="177">
        <v>32050.481896657846</v>
      </c>
      <c r="AI40" s="177">
        <f t="shared" si="1"/>
        <v>32050.481896657846</v>
      </c>
      <c r="AJ40" s="1003"/>
      <c r="AK40" s="978">
        <f>SUM(AI40:AI48)</f>
        <v>113180.51751512205</v>
      </c>
      <c r="AL40" s="995"/>
      <c r="AM40" s="440">
        <v>1980475</v>
      </c>
      <c r="AN40" s="107" t="s">
        <v>77</v>
      </c>
      <c r="AO40" s="86"/>
      <c r="AP40" s="104"/>
    </row>
    <row r="41" spans="1:42" s="10" customFormat="1">
      <c r="A41" s="1197"/>
      <c r="B41" s="249"/>
      <c r="C41" s="95"/>
      <c r="D41" s="223" t="s">
        <v>808</v>
      </c>
      <c r="E41" s="225" t="s">
        <v>64</v>
      </c>
      <c r="F41" s="227" t="s">
        <v>50</v>
      </c>
      <c r="G41" s="6"/>
      <c r="H41" s="225" t="s">
        <v>64</v>
      </c>
      <c r="I41" s="227" t="s">
        <v>50</v>
      </c>
      <c r="J41" s="1201"/>
      <c r="K41" s="1158"/>
      <c r="L41" s="7">
        <v>12.146735143066765</v>
      </c>
      <c r="M41" s="225" t="s">
        <v>64</v>
      </c>
      <c r="N41" s="188"/>
      <c r="O41" s="188"/>
      <c r="P41" s="188"/>
      <c r="Q41" s="188"/>
      <c r="R41" s="214"/>
      <c r="S41" s="7">
        <v>12.146735143066765</v>
      </c>
      <c r="T41" s="157">
        <v>2925.9549289837878</v>
      </c>
      <c r="U41" s="39" t="s">
        <v>50</v>
      </c>
      <c r="V41" s="7"/>
      <c r="W41" s="7">
        <v>0.1144534115920763</v>
      </c>
      <c r="X41" s="157">
        <v>27.57000295490877</v>
      </c>
      <c r="Y41" s="7">
        <v>2.3888481291269259</v>
      </c>
      <c r="Z41" s="157">
        <v>575.43544628963411</v>
      </c>
      <c r="AA41" s="188"/>
      <c r="AB41" s="214"/>
      <c r="AC41" s="7">
        <v>3.1694790902421128</v>
      </c>
      <c r="AD41" s="176">
        <v>763.47700490516559</v>
      </c>
      <c r="AE41" s="943"/>
      <c r="AF41" s="944"/>
      <c r="AG41" s="211">
        <v>12.146735143066765</v>
      </c>
      <c r="AH41" s="157">
        <v>5851.9098579675756</v>
      </c>
      <c r="AI41" s="177">
        <f t="shared" si="1"/>
        <v>5851.9098579675756</v>
      </c>
      <c r="AJ41" s="1003"/>
      <c r="AK41" s="979"/>
      <c r="AL41" s="995"/>
      <c r="AM41" s="440"/>
      <c r="AN41" s="107"/>
      <c r="AO41" s="86"/>
      <c r="AP41" s="104"/>
    </row>
    <row r="42" spans="1:42" s="10" customFormat="1">
      <c r="A42" s="1197"/>
      <c r="B42" s="249"/>
      <c r="C42" s="95"/>
      <c r="D42" s="223" t="s">
        <v>809</v>
      </c>
      <c r="E42" s="225" t="s">
        <v>64</v>
      </c>
      <c r="F42" s="227" t="s">
        <v>50</v>
      </c>
      <c r="G42" s="6"/>
      <c r="H42" s="225" t="s">
        <v>64</v>
      </c>
      <c r="I42" s="227" t="s">
        <v>50</v>
      </c>
      <c r="J42" s="1201"/>
      <c r="K42" s="1158"/>
      <c r="L42" s="7">
        <v>12.146735143066765</v>
      </c>
      <c r="M42" s="225" t="s">
        <v>64</v>
      </c>
      <c r="N42" s="188"/>
      <c r="O42" s="188"/>
      <c r="P42" s="188"/>
      <c r="Q42" s="188"/>
      <c r="R42" s="214"/>
      <c r="S42" s="7">
        <v>12.146735143066765</v>
      </c>
      <c r="T42" s="157">
        <v>2925.9549289837878</v>
      </c>
      <c r="U42" s="39" t="s">
        <v>50</v>
      </c>
      <c r="V42" s="7"/>
      <c r="W42" s="7">
        <v>0.1144534115920763</v>
      </c>
      <c r="X42" s="157">
        <v>27.57000295490877</v>
      </c>
      <c r="Y42" s="7">
        <v>2.3888481291269259</v>
      </c>
      <c r="Z42" s="157">
        <v>575.43544628963411</v>
      </c>
      <c r="AA42" s="188"/>
      <c r="AB42" s="214"/>
      <c r="AC42" s="7">
        <v>3.1694790902421128</v>
      </c>
      <c r="AD42" s="176">
        <v>763.47700490516559</v>
      </c>
      <c r="AE42" s="943"/>
      <c r="AF42" s="944"/>
      <c r="AG42" s="211">
        <v>12.146735143066765</v>
      </c>
      <c r="AH42" s="157">
        <v>5851.9098579675756</v>
      </c>
      <c r="AI42" s="177">
        <f t="shared" si="1"/>
        <v>5851.9098579675756</v>
      </c>
      <c r="AJ42" s="1003"/>
      <c r="AK42" s="979"/>
      <c r="AL42" s="995"/>
      <c r="AM42" s="440"/>
      <c r="AN42" s="107"/>
      <c r="AO42" s="86"/>
      <c r="AP42" s="104"/>
    </row>
    <row r="43" spans="1:42" s="10" customFormat="1">
      <c r="A43" s="1197"/>
      <c r="B43" s="249"/>
      <c r="C43" s="95"/>
      <c r="D43" s="223" t="s">
        <v>810</v>
      </c>
      <c r="E43" s="225" t="s">
        <v>64</v>
      </c>
      <c r="F43" s="227" t="s">
        <v>50</v>
      </c>
      <c r="G43" s="6"/>
      <c r="H43" s="225" t="s">
        <v>64</v>
      </c>
      <c r="I43" s="227" t="s">
        <v>50</v>
      </c>
      <c r="J43" s="1201"/>
      <c r="K43" s="1158"/>
      <c r="L43" s="7">
        <v>45.957446808510639</v>
      </c>
      <c r="M43" s="225" t="s">
        <v>64</v>
      </c>
      <c r="N43" s="188"/>
      <c r="O43" s="188"/>
      <c r="P43" s="188"/>
      <c r="Q43" s="188"/>
      <c r="R43" s="214"/>
      <c r="S43" s="7">
        <v>45.957446808510639</v>
      </c>
      <c r="T43" s="157">
        <v>11070.416571124884</v>
      </c>
      <c r="U43" s="39" t="s">
        <v>50</v>
      </c>
      <c r="V43" s="7"/>
      <c r="W43" s="7">
        <v>19.075568598679386</v>
      </c>
      <c r="X43" s="157">
        <v>4595.0004924847854</v>
      </c>
      <c r="Y43" s="7">
        <v>4.616287600880411</v>
      </c>
      <c r="Z43" s="157">
        <v>1111.9901191813226</v>
      </c>
      <c r="AA43" s="188"/>
      <c r="AB43" s="214"/>
      <c r="AC43" s="7">
        <v>7.6243580337490826</v>
      </c>
      <c r="AD43" s="176">
        <v>1836.5863506885387</v>
      </c>
      <c r="AE43" s="943"/>
      <c r="AF43" s="944"/>
      <c r="AG43" s="211">
        <v>45.957446808510639</v>
      </c>
      <c r="AH43" s="157">
        <v>22140.833142249769</v>
      </c>
      <c r="AI43" s="177">
        <f t="shared" si="1"/>
        <v>22140.833142249769</v>
      </c>
      <c r="AJ43" s="1003"/>
      <c r="AK43" s="979"/>
      <c r="AL43" s="995"/>
      <c r="AM43" s="440"/>
      <c r="AN43" s="107"/>
      <c r="AO43" s="86"/>
      <c r="AP43" s="104"/>
    </row>
    <row r="44" spans="1:42" s="10" customFormat="1">
      <c r="A44" s="1197"/>
      <c r="B44" s="249"/>
      <c r="C44" s="95"/>
      <c r="D44" s="223" t="s">
        <v>811</v>
      </c>
      <c r="E44" s="225" t="s">
        <v>64</v>
      </c>
      <c r="F44" s="227" t="s">
        <v>50</v>
      </c>
      <c r="G44" s="6"/>
      <c r="H44" s="225" t="s">
        <v>64</v>
      </c>
      <c r="I44" s="227" t="s">
        <v>50</v>
      </c>
      <c r="J44" s="1201"/>
      <c r="K44" s="1158"/>
      <c r="L44" s="7">
        <v>45.957446808510639</v>
      </c>
      <c r="M44" s="225" t="s">
        <v>64</v>
      </c>
      <c r="N44" s="188"/>
      <c r="O44" s="188"/>
      <c r="P44" s="188"/>
      <c r="Q44" s="188"/>
      <c r="R44" s="214"/>
      <c r="S44" s="7">
        <v>45.957446808510639</v>
      </c>
      <c r="T44" s="157">
        <v>11070.416571124884</v>
      </c>
      <c r="U44" s="39" t="s">
        <v>50</v>
      </c>
      <c r="V44" s="7"/>
      <c r="W44" s="7">
        <v>19.075568598679386</v>
      </c>
      <c r="X44" s="157">
        <v>4595.0004924847854</v>
      </c>
      <c r="Y44" s="7">
        <v>4.616287600880411</v>
      </c>
      <c r="Z44" s="157">
        <v>1111.9901191813226</v>
      </c>
      <c r="AA44" s="188"/>
      <c r="AB44" s="214"/>
      <c r="AC44" s="7">
        <v>7.6243580337490826</v>
      </c>
      <c r="AD44" s="176">
        <v>1836.5863506885387</v>
      </c>
      <c r="AE44" s="943"/>
      <c r="AF44" s="944"/>
      <c r="AG44" s="211">
        <v>45.957446808510639</v>
      </c>
      <c r="AH44" s="157">
        <v>22140.833142249769</v>
      </c>
      <c r="AI44" s="177">
        <f t="shared" si="1"/>
        <v>22140.833142249769</v>
      </c>
      <c r="AJ44" s="1003"/>
      <c r="AK44" s="979"/>
      <c r="AL44" s="995"/>
      <c r="AM44" s="440"/>
      <c r="AN44" s="107"/>
      <c r="AO44" s="86"/>
      <c r="AP44" s="104"/>
    </row>
    <row r="45" spans="1:42" s="10" customFormat="1">
      <c r="A45" s="1197"/>
      <c r="B45" s="249"/>
      <c r="C45" s="95"/>
      <c r="D45" s="223" t="s">
        <v>812</v>
      </c>
      <c r="E45" s="225" t="s">
        <v>64</v>
      </c>
      <c r="F45" s="227" t="s">
        <v>50</v>
      </c>
      <c r="G45" s="6"/>
      <c r="H45" s="225" t="s">
        <v>64</v>
      </c>
      <c r="I45" s="227" t="s">
        <v>50</v>
      </c>
      <c r="J45" s="1201"/>
      <c r="K45" s="1158"/>
      <c r="L45" s="7">
        <v>12.986060161408657</v>
      </c>
      <c r="M45" s="225" t="s">
        <v>64</v>
      </c>
      <c r="N45" s="188"/>
      <c r="O45" s="188"/>
      <c r="P45" s="188"/>
      <c r="Q45" s="188"/>
      <c r="R45" s="214"/>
      <c r="S45" s="7">
        <v>12.986060161408657</v>
      </c>
      <c r="T45" s="157">
        <v>3128.1349506531124</v>
      </c>
      <c r="U45" s="39" t="s">
        <v>50</v>
      </c>
      <c r="V45" s="7"/>
      <c r="W45" s="7">
        <v>0.95377842993396933</v>
      </c>
      <c r="X45" s="157">
        <v>229.75002462423978</v>
      </c>
      <c r="Y45" s="7">
        <v>2.3888481291269259</v>
      </c>
      <c r="Z45" s="157">
        <v>575.43544628963411</v>
      </c>
      <c r="AA45" s="188"/>
      <c r="AB45" s="214"/>
      <c r="AC45" s="7">
        <v>3.1694790902421128</v>
      </c>
      <c r="AD45" s="176">
        <v>763.47700490516559</v>
      </c>
      <c r="AE45" s="943"/>
      <c r="AF45" s="944"/>
      <c r="AG45" s="211">
        <v>12.986060161408657</v>
      </c>
      <c r="AH45" s="157">
        <v>6256.2699013062247</v>
      </c>
      <c r="AI45" s="177">
        <f t="shared" si="1"/>
        <v>6256.2699013062247</v>
      </c>
      <c r="AJ45" s="1003"/>
      <c r="AK45" s="979"/>
      <c r="AL45" s="995"/>
      <c r="AM45" s="440"/>
      <c r="AN45" s="107"/>
      <c r="AO45" s="86"/>
      <c r="AP45" s="104"/>
    </row>
    <row r="46" spans="1:42" s="10" customFormat="1">
      <c r="A46" s="1197"/>
      <c r="B46" s="249"/>
      <c r="C46" s="95"/>
      <c r="D46" s="223" t="s">
        <v>813</v>
      </c>
      <c r="E46" s="225" t="s">
        <v>64</v>
      </c>
      <c r="F46" s="227" t="s">
        <v>50</v>
      </c>
      <c r="G46" s="6"/>
      <c r="H46" s="225" t="s">
        <v>64</v>
      </c>
      <c r="I46" s="227" t="s">
        <v>50</v>
      </c>
      <c r="J46" s="1201"/>
      <c r="K46" s="1158"/>
      <c r="L46" s="7">
        <v>13.138664710198093</v>
      </c>
      <c r="M46" s="225" t="s">
        <v>64</v>
      </c>
      <c r="N46" s="188"/>
      <c r="O46" s="188"/>
      <c r="P46" s="188"/>
      <c r="Q46" s="188"/>
      <c r="R46" s="214"/>
      <c r="S46" s="7">
        <v>13.138664710198093</v>
      </c>
      <c r="T46" s="157">
        <v>3164.8949545929927</v>
      </c>
      <c r="U46" s="39" t="s">
        <v>50</v>
      </c>
      <c r="V46" s="7"/>
      <c r="W46" s="7">
        <v>1.1063829787234045</v>
      </c>
      <c r="X46" s="157">
        <v>266.51002856411827</v>
      </c>
      <c r="Y46" s="7">
        <v>2.3888481291269259</v>
      </c>
      <c r="Z46" s="157">
        <v>575.43544628963411</v>
      </c>
      <c r="AA46" s="188"/>
      <c r="AB46" s="214"/>
      <c r="AC46" s="7">
        <v>3.1694790902421128</v>
      </c>
      <c r="AD46" s="176">
        <v>763.47700490516559</v>
      </c>
      <c r="AE46" s="943"/>
      <c r="AF46" s="944"/>
      <c r="AG46" s="211">
        <v>13.138664710198093</v>
      </c>
      <c r="AH46" s="157">
        <v>6329.7899091859854</v>
      </c>
      <c r="AI46" s="177">
        <f t="shared" si="1"/>
        <v>6329.7899091859854</v>
      </c>
      <c r="AJ46" s="1003"/>
      <c r="AK46" s="979"/>
      <c r="AL46" s="995"/>
      <c r="AM46" s="440"/>
      <c r="AN46" s="107"/>
      <c r="AO46" s="86"/>
      <c r="AP46" s="104"/>
    </row>
    <row r="47" spans="1:42" s="10" customFormat="1">
      <c r="A47" s="1197"/>
      <c r="B47" s="407"/>
      <c r="C47" s="408"/>
      <c r="D47" s="223" t="s">
        <v>814</v>
      </c>
      <c r="E47" s="225" t="s">
        <v>64</v>
      </c>
      <c r="F47" s="227" t="s">
        <v>50</v>
      </c>
      <c r="G47" s="23"/>
      <c r="H47" s="225" t="s">
        <v>64</v>
      </c>
      <c r="I47" s="227" t="s">
        <v>50</v>
      </c>
      <c r="J47" s="1201"/>
      <c r="K47" s="1158"/>
      <c r="L47" s="24">
        <v>13.939838591342626</v>
      </c>
      <c r="M47" s="225" t="s">
        <v>64</v>
      </c>
      <c r="N47" s="197"/>
      <c r="O47" s="197"/>
      <c r="P47" s="197"/>
      <c r="Q47" s="197"/>
      <c r="R47" s="213"/>
      <c r="S47" s="24">
        <v>13.939838591342626</v>
      </c>
      <c r="T47" s="159">
        <v>3357.8849752773535</v>
      </c>
      <c r="U47" s="39" t="s">
        <v>50</v>
      </c>
      <c r="V47" s="24"/>
      <c r="W47" s="24">
        <v>1.9075568598679387</v>
      </c>
      <c r="X47" s="159">
        <v>459.50004924847957</v>
      </c>
      <c r="Y47" s="24">
        <v>2.3888481291269259</v>
      </c>
      <c r="Z47" s="159">
        <v>575.43544628963411</v>
      </c>
      <c r="AA47" s="197"/>
      <c r="AB47" s="213"/>
      <c r="AC47" s="24">
        <v>3.1694790902421128</v>
      </c>
      <c r="AD47" s="187">
        <v>763.47700490516559</v>
      </c>
      <c r="AE47" s="943"/>
      <c r="AF47" s="944"/>
      <c r="AG47" s="210">
        <v>13.939838591342626</v>
      </c>
      <c r="AH47" s="187">
        <v>6715.7699505547071</v>
      </c>
      <c r="AI47" s="177">
        <f t="shared" si="1"/>
        <v>6715.7699505547071</v>
      </c>
      <c r="AJ47" s="1003"/>
      <c r="AK47" s="979"/>
      <c r="AL47" s="995"/>
      <c r="AM47" s="440"/>
      <c r="AN47" s="107"/>
      <c r="AO47" s="86"/>
      <c r="AP47" s="104"/>
    </row>
    <row r="48" spans="1:42" s="10" customFormat="1" ht="13.5" thickBot="1">
      <c r="A48" s="1197"/>
      <c r="B48" s="236"/>
      <c r="C48" s="26"/>
      <c r="D48" s="224" t="s">
        <v>815</v>
      </c>
      <c r="E48" s="226" t="s">
        <v>64</v>
      </c>
      <c r="F48" s="220" t="s">
        <v>50</v>
      </c>
      <c r="G48" s="98">
        <v>32.61</v>
      </c>
      <c r="H48" s="226" t="s">
        <v>64</v>
      </c>
      <c r="I48" s="220" t="s">
        <v>50</v>
      </c>
      <c r="J48" s="1201"/>
      <c r="K48" s="1159"/>
      <c r="L48" s="28">
        <v>12.127659574468085</v>
      </c>
      <c r="M48" s="226" t="s">
        <v>64</v>
      </c>
      <c r="N48" s="116"/>
      <c r="O48" s="116"/>
      <c r="P48" s="116"/>
      <c r="Q48" s="116"/>
      <c r="R48" s="175"/>
      <c r="S48" s="28">
        <v>12.127659574468085</v>
      </c>
      <c r="T48" s="118">
        <v>2921.3599284912912</v>
      </c>
      <c r="U48" s="219" t="s">
        <v>50</v>
      </c>
      <c r="V48" s="28"/>
      <c r="W48" s="28">
        <v>9.5377842993396925E-2</v>
      </c>
      <c r="X48" s="118">
        <v>22.975002462423976</v>
      </c>
      <c r="Y48" s="28">
        <v>2.3888481291269259</v>
      </c>
      <c r="Z48" s="118">
        <v>575.43544628963411</v>
      </c>
      <c r="AA48" s="116"/>
      <c r="AB48" s="175"/>
      <c r="AC48" s="28">
        <v>3.1694790902421128</v>
      </c>
      <c r="AD48" s="180">
        <v>763.47700490516559</v>
      </c>
      <c r="AE48" s="943"/>
      <c r="AF48" s="944"/>
      <c r="AG48" s="199">
        <v>12.127659574468085</v>
      </c>
      <c r="AH48" s="180">
        <v>5842.7198569825823</v>
      </c>
      <c r="AI48" s="180">
        <f t="shared" si="1"/>
        <v>5842.7198569825823</v>
      </c>
      <c r="AJ48" s="1003"/>
      <c r="AK48" s="980"/>
      <c r="AL48" s="995"/>
      <c r="AM48" s="440"/>
      <c r="AN48" s="107"/>
      <c r="AO48" s="86"/>
      <c r="AP48" s="104"/>
    </row>
    <row r="49" spans="1:42" s="69" customFormat="1">
      <c r="A49" s="1197"/>
      <c r="B49" s="232">
        <v>12428</v>
      </c>
      <c r="C49" s="221">
        <v>34962</v>
      </c>
      <c r="D49" s="222" t="s">
        <v>222</v>
      </c>
      <c r="E49" s="222" t="s">
        <v>72</v>
      </c>
      <c r="F49" s="222" t="s">
        <v>74</v>
      </c>
      <c r="G49" s="230">
        <v>215.92956713132796</v>
      </c>
      <c r="H49" s="230">
        <v>215.93</v>
      </c>
      <c r="I49" s="222">
        <v>215.93</v>
      </c>
      <c r="J49" s="1201"/>
      <c r="K49" s="1157" t="s">
        <v>496</v>
      </c>
      <c r="L49" s="120">
        <v>160.1421863536317</v>
      </c>
      <c r="M49" s="12">
        <v>61.922230374174617</v>
      </c>
      <c r="N49" s="115"/>
      <c r="O49" s="115"/>
      <c r="P49" s="115"/>
      <c r="Q49" s="115"/>
      <c r="R49" s="174"/>
      <c r="S49" s="120">
        <v>98.219955979457097</v>
      </c>
      <c r="T49" s="117">
        <v>6232.0781988817726</v>
      </c>
      <c r="U49" s="228" t="s">
        <v>64</v>
      </c>
      <c r="V49" s="120"/>
      <c r="W49" s="120">
        <v>2.8070843727072639</v>
      </c>
      <c r="X49" s="117">
        <v>178.11013196981651</v>
      </c>
      <c r="Y49" s="120">
        <v>9.1986512105649307</v>
      </c>
      <c r="Z49" s="117">
        <v>583.6564789386498</v>
      </c>
      <c r="AA49" s="115"/>
      <c r="AB49" s="174"/>
      <c r="AC49" s="120">
        <v>20.797889361702126</v>
      </c>
      <c r="AD49" s="177">
        <v>1319.6307367611562</v>
      </c>
      <c r="AE49" s="943"/>
      <c r="AF49" s="944"/>
      <c r="AG49" s="209">
        <v>98.219955979457097</v>
      </c>
      <c r="AH49" s="177">
        <v>12464.156397763545</v>
      </c>
      <c r="AI49" s="177">
        <f t="shared" si="1"/>
        <v>12464.156397763545</v>
      </c>
      <c r="AJ49" s="1003"/>
      <c r="AK49" s="978">
        <f>SUM(AI49:AI56)</f>
        <v>620055.38670858403</v>
      </c>
      <c r="AL49" s="995"/>
      <c r="AM49" s="440"/>
      <c r="AN49" s="90"/>
      <c r="AO49" s="128"/>
      <c r="AP49" s="106"/>
    </row>
    <row r="50" spans="1:42" s="69" customFormat="1">
      <c r="A50" s="1197"/>
      <c r="B50" s="232"/>
      <c r="C50" s="221"/>
      <c r="D50" s="223" t="s">
        <v>808</v>
      </c>
      <c r="E50" s="225" t="s">
        <v>64</v>
      </c>
      <c r="F50" s="228" t="s">
        <v>64</v>
      </c>
      <c r="G50" s="230">
        <v>2.9347028613352899</v>
      </c>
      <c r="H50" s="225" t="s">
        <v>64</v>
      </c>
      <c r="I50" s="228" t="s">
        <v>64</v>
      </c>
      <c r="J50" s="1201"/>
      <c r="K50" s="1158"/>
      <c r="L50" s="120">
        <v>67.242846661775502</v>
      </c>
      <c r="M50" s="225" t="s">
        <v>64</v>
      </c>
      <c r="N50" s="115"/>
      <c r="O50" s="115"/>
      <c r="P50" s="115"/>
      <c r="Q50" s="115"/>
      <c r="R50" s="174"/>
      <c r="S50" s="120">
        <v>67.242846661775502</v>
      </c>
      <c r="T50" s="117">
        <v>4266.5736767307208</v>
      </c>
      <c r="U50" s="228" t="s">
        <v>64</v>
      </c>
      <c r="V50" s="120"/>
      <c r="W50" s="120">
        <v>3.815113719735877E-2</v>
      </c>
      <c r="X50" s="117">
        <v>2.4206981974206472</v>
      </c>
      <c r="Y50" s="120">
        <v>4.7776962582538518</v>
      </c>
      <c r="Z50" s="117">
        <v>303.14589733852375</v>
      </c>
      <c r="AA50" s="115"/>
      <c r="AB50" s="174"/>
      <c r="AC50" s="120">
        <v>19.280997798972855</v>
      </c>
      <c r="AD50" s="177">
        <v>1223.3836274656646</v>
      </c>
      <c r="AE50" s="943"/>
      <c r="AF50" s="944"/>
      <c r="AG50" s="209">
        <v>67.242846661775502</v>
      </c>
      <c r="AH50" s="177">
        <v>8533.1473534614415</v>
      </c>
      <c r="AI50" s="177">
        <f t="shared" si="1"/>
        <v>8533.1473534614415</v>
      </c>
      <c r="AJ50" s="1003"/>
      <c r="AK50" s="979"/>
      <c r="AL50" s="995"/>
      <c r="AM50" s="440"/>
      <c r="AN50" s="90"/>
      <c r="AO50" s="128"/>
      <c r="AP50" s="106"/>
    </row>
    <row r="51" spans="1:42" s="69" customFormat="1">
      <c r="A51" s="1197"/>
      <c r="B51" s="232"/>
      <c r="C51" s="221"/>
      <c r="D51" s="223" t="s">
        <v>809</v>
      </c>
      <c r="E51" s="225" t="s">
        <v>64</v>
      </c>
      <c r="F51" s="228" t="s">
        <v>64</v>
      </c>
      <c r="G51" s="230">
        <v>146735.14306676449</v>
      </c>
      <c r="H51" s="225" t="s">
        <v>64</v>
      </c>
      <c r="I51" s="228" t="s">
        <v>64</v>
      </c>
      <c r="J51" s="1201"/>
      <c r="K51" s="1158"/>
      <c r="L51" s="120">
        <v>3733.470286133529</v>
      </c>
      <c r="M51" s="12">
        <v>22.890682318415262</v>
      </c>
      <c r="N51" s="115"/>
      <c r="O51" s="115"/>
      <c r="P51" s="115"/>
      <c r="Q51" s="115"/>
      <c r="R51" s="174"/>
      <c r="S51" s="120">
        <v>3710.5796038151138</v>
      </c>
      <c r="T51" s="117">
        <v>235437.10668113234</v>
      </c>
      <c r="U51" s="228" t="s">
        <v>64</v>
      </c>
      <c r="V51" s="120"/>
      <c r="W51" s="120">
        <v>1884.6661775495231</v>
      </c>
      <c r="X51" s="117">
        <v>119582.49095258012</v>
      </c>
      <c r="Y51" s="120">
        <v>268.5840058694057</v>
      </c>
      <c r="Z51" s="117">
        <v>17041.715309841344</v>
      </c>
      <c r="AA51" s="115"/>
      <c r="AB51" s="174"/>
      <c r="AC51" s="120">
        <v>546.89361702127655</v>
      </c>
      <c r="AD51" s="177">
        <v>34700.522452471341</v>
      </c>
      <c r="AE51" s="943"/>
      <c r="AF51" s="944"/>
      <c r="AG51" s="209">
        <v>3710.5796038151138</v>
      </c>
      <c r="AH51" s="177">
        <v>470874.21336226468</v>
      </c>
      <c r="AI51" s="177">
        <f t="shared" si="1"/>
        <v>470874.21336226468</v>
      </c>
      <c r="AJ51" s="1003"/>
      <c r="AK51" s="979"/>
      <c r="AL51" s="995"/>
      <c r="AM51" s="440"/>
      <c r="AN51" s="90"/>
      <c r="AO51" s="128"/>
      <c r="AP51" s="106"/>
    </row>
    <row r="52" spans="1:42" s="69" customFormat="1">
      <c r="A52" s="1197"/>
      <c r="B52" s="232"/>
      <c r="C52" s="221"/>
      <c r="D52" s="223" t="s">
        <v>810</v>
      </c>
      <c r="E52" s="225" t="s">
        <v>64</v>
      </c>
      <c r="F52" s="228" t="s">
        <v>64</v>
      </c>
      <c r="G52" s="6">
        <v>7336.7571533382243</v>
      </c>
      <c r="H52" s="225" t="s">
        <v>64</v>
      </c>
      <c r="I52" s="228" t="s">
        <v>64</v>
      </c>
      <c r="J52" s="1201"/>
      <c r="K52" s="1158"/>
      <c r="L52" s="120">
        <v>248.51063829787233</v>
      </c>
      <c r="M52" s="225" t="s">
        <v>64</v>
      </c>
      <c r="N52" s="115"/>
      <c r="O52" s="115"/>
      <c r="P52" s="115"/>
      <c r="Q52" s="115"/>
      <c r="R52" s="174"/>
      <c r="S52" s="120">
        <v>248.51063829787233</v>
      </c>
      <c r="T52" s="117">
        <v>15768.055642890798</v>
      </c>
      <c r="U52" s="228" t="s">
        <v>64</v>
      </c>
      <c r="V52" s="120"/>
      <c r="W52" s="120">
        <v>95.377842993396925</v>
      </c>
      <c r="X52" s="117">
        <v>6051.7454935516098</v>
      </c>
      <c r="Y52" s="120">
        <v>17.666911225238444</v>
      </c>
      <c r="Z52" s="117">
        <v>1120.9694729594069</v>
      </c>
      <c r="AA52" s="115"/>
      <c r="AB52" s="174"/>
      <c r="AC52" s="120">
        <v>45.059427732942041</v>
      </c>
      <c r="AD52" s="177">
        <v>2859.0307787074307</v>
      </c>
      <c r="AE52" s="943"/>
      <c r="AF52" s="944"/>
      <c r="AG52" s="209">
        <v>248.51063829787233</v>
      </c>
      <c r="AH52" s="177">
        <v>31536.111285781597</v>
      </c>
      <c r="AI52" s="177">
        <f t="shared" si="1"/>
        <v>31536.111285781597</v>
      </c>
      <c r="AJ52" s="1003"/>
      <c r="AK52" s="979"/>
      <c r="AL52" s="995"/>
      <c r="AM52" s="440"/>
      <c r="AN52" s="90"/>
      <c r="AO52" s="128"/>
      <c r="AP52" s="106"/>
    </row>
    <row r="53" spans="1:42" s="69" customFormat="1">
      <c r="A53" s="1197"/>
      <c r="B53" s="232"/>
      <c r="C53" s="221"/>
      <c r="D53" s="223" t="s">
        <v>811</v>
      </c>
      <c r="E53" s="225" t="s">
        <v>64</v>
      </c>
      <c r="F53" s="228" t="s">
        <v>64</v>
      </c>
      <c r="G53" s="410">
        <v>690.41819515774023</v>
      </c>
      <c r="H53" s="225" t="s">
        <v>64</v>
      </c>
      <c r="I53" s="228" t="s">
        <v>64</v>
      </c>
      <c r="J53" s="1201"/>
      <c r="K53" s="1158"/>
      <c r="L53" s="120">
        <v>82.352164343360243</v>
      </c>
      <c r="M53" s="225" t="s">
        <v>64</v>
      </c>
      <c r="N53" s="188"/>
      <c r="O53" s="188"/>
      <c r="P53" s="188"/>
      <c r="Q53" s="188"/>
      <c r="R53" s="214"/>
      <c r="S53" s="7">
        <v>82.352164343360243</v>
      </c>
      <c r="T53" s="157">
        <v>5225.2632666861191</v>
      </c>
      <c r="U53" s="228" t="s">
        <v>64</v>
      </c>
      <c r="V53" s="7"/>
      <c r="W53" s="7">
        <v>8.9754365370506246</v>
      </c>
      <c r="X53" s="157">
        <v>569.49345792518193</v>
      </c>
      <c r="Y53" s="7">
        <v>5.7035011005135727</v>
      </c>
      <c r="Z53" s="157">
        <v>361.88842187267011</v>
      </c>
      <c r="AA53" s="188"/>
      <c r="AB53" s="214"/>
      <c r="AC53" s="7">
        <v>21.132607483492297</v>
      </c>
      <c r="AD53" s="176">
        <v>1340.8686765339596</v>
      </c>
      <c r="AE53" s="943"/>
      <c r="AF53" s="944"/>
      <c r="AG53" s="211">
        <v>82.352164343360243</v>
      </c>
      <c r="AH53" s="176">
        <v>10450.526533372238</v>
      </c>
      <c r="AI53" s="177">
        <f t="shared" si="1"/>
        <v>10450.526533372238</v>
      </c>
      <c r="AJ53" s="1003"/>
      <c r="AK53" s="979"/>
      <c r="AL53" s="995"/>
      <c r="AM53" s="440"/>
      <c r="AN53" s="90"/>
      <c r="AO53" s="128"/>
      <c r="AP53" s="106"/>
    </row>
    <row r="54" spans="1:42" s="69" customFormat="1">
      <c r="A54" s="1197"/>
      <c r="B54" s="233"/>
      <c r="C54" s="18"/>
      <c r="D54" s="223" t="s">
        <v>812</v>
      </c>
      <c r="E54" s="225" t="s">
        <v>64</v>
      </c>
      <c r="F54" s="228" t="s">
        <v>64</v>
      </c>
      <c r="G54" s="6">
        <v>69.041819515774023</v>
      </c>
      <c r="H54" s="225" t="s">
        <v>64</v>
      </c>
      <c r="I54" s="228" t="s">
        <v>64</v>
      </c>
      <c r="J54" s="1201"/>
      <c r="K54" s="1158"/>
      <c r="L54" s="7">
        <v>68.102239178283199</v>
      </c>
      <c r="M54" s="225" t="s">
        <v>64</v>
      </c>
      <c r="N54" s="188"/>
      <c r="O54" s="188"/>
      <c r="P54" s="188"/>
      <c r="Q54" s="188"/>
      <c r="R54" s="188"/>
      <c r="S54" s="7">
        <v>68.102239178283199</v>
      </c>
      <c r="T54" s="7">
        <v>4321.1023243258151</v>
      </c>
      <c r="U54" s="228" t="s">
        <v>64</v>
      </c>
      <c r="V54" s="119"/>
      <c r="W54" s="7">
        <v>0.89754365370506239</v>
      </c>
      <c r="X54" s="7">
        <v>56.949345792518216</v>
      </c>
      <c r="Y54" s="7">
        <v>4.7776962582538518</v>
      </c>
      <c r="Z54" s="7">
        <v>303.14589733852375</v>
      </c>
      <c r="AA54" s="346"/>
      <c r="AB54" s="347"/>
      <c r="AC54" s="7">
        <v>19.280997798972855</v>
      </c>
      <c r="AD54" s="270">
        <v>1223.3836274656646</v>
      </c>
      <c r="AE54" s="943"/>
      <c r="AF54" s="944"/>
      <c r="AG54" s="211">
        <v>68.102239178283199</v>
      </c>
      <c r="AH54" s="7">
        <v>8642.2046486516301</v>
      </c>
      <c r="AI54" s="177">
        <f t="shared" si="1"/>
        <v>8642.2046486516301</v>
      </c>
      <c r="AJ54" s="1003"/>
      <c r="AK54" s="979"/>
      <c r="AL54" s="995"/>
      <c r="AM54" s="440"/>
      <c r="AN54" s="90"/>
      <c r="AO54" s="128"/>
      <c r="AP54" s="106"/>
    </row>
    <row r="55" spans="1:42" s="69" customFormat="1">
      <c r="A55" s="1197"/>
      <c r="B55" s="344"/>
      <c r="C55" s="327"/>
      <c r="D55" s="223" t="s">
        <v>813</v>
      </c>
      <c r="E55" s="225" t="s">
        <v>64</v>
      </c>
      <c r="F55" s="228" t="s">
        <v>64</v>
      </c>
      <c r="G55" s="73">
        <v>1630.3888481291269</v>
      </c>
      <c r="H55" s="225" t="s">
        <v>64</v>
      </c>
      <c r="I55" s="228" t="s">
        <v>64</v>
      </c>
      <c r="J55" s="1201"/>
      <c r="K55" s="1158"/>
      <c r="L55" s="24">
        <v>105.85143066764491</v>
      </c>
      <c r="M55" s="225" t="s">
        <v>64</v>
      </c>
      <c r="N55" s="188"/>
      <c r="O55" s="188"/>
      <c r="P55" s="188"/>
      <c r="Q55" s="188"/>
      <c r="R55" s="188"/>
      <c r="S55" s="24">
        <v>105.85143066764491</v>
      </c>
      <c r="T55" s="24">
        <v>6716.2969765762109</v>
      </c>
      <c r="U55" s="228" t="s">
        <v>64</v>
      </c>
      <c r="V55" s="119"/>
      <c r="W55" s="24">
        <v>21.195055025678652</v>
      </c>
      <c r="X55" s="24">
        <v>1344.8309870680289</v>
      </c>
      <c r="Y55" s="24">
        <v>7.3954482758620683</v>
      </c>
      <c r="Z55" s="24">
        <v>469.24284898475673</v>
      </c>
      <c r="AA55" s="346"/>
      <c r="AB55" s="347"/>
      <c r="AC55" s="24">
        <v>24.516501834189288</v>
      </c>
      <c r="AD55" s="411">
        <v>1555.5775307581298</v>
      </c>
      <c r="AE55" s="943"/>
      <c r="AF55" s="944"/>
      <c r="AG55" s="211">
        <v>105.85143066764491</v>
      </c>
      <c r="AH55" s="7">
        <v>13432.593953152422</v>
      </c>
      <c r="AI55" s="177">
        <f t="shared" si="1"/>
        <v>13432.593953152422</v>
      </c>
      <c r="AJ55" s="1003"/>
      <c r="AK55" s="979"/>
      <c r="AL55" s="995"/>
      <c r="AM55" s="440"/>
      <c r="AN55" s="90"/>
      <c r="AO55" s="128"/>
      <c r="AP55" s="106"/>
    </row>
    <row r="56" spans="1:42" s="69" customFormat="1" ht="13.5" thickBot="1">
      <c r="A56" s="1197"/>
      <c r="B56" s="234"/>
      <c r="C56" s="26"/>
      <c r="D56" s="224" t="s">
        <v>814</v>
      </c>
      <c r="E56" s="226" t="s">
        <v>64</v>
      </c>
      <c r="F56" s="229" t="s">
        <v>64</v>
      </c>
      <c r="G56" s="27">
        <v>17608.217168011739</v>
      </c>
      <c r="H56" s="226" t="s">
        <v>64</v>
      </c>
      <c r="I56" s="229" t="s">
        <v>64</v>
      </c>
      <c r="J56" s="1201"/>
      <c r="K56" s="1159"/>
      <c r="L56" s="28">
        <v>505.29713866471019</v>
      </c>
      <c r="M56" s="226" t="s">
        <v>64</v>
      </c>
      <c r="N56" s="116"/>
      <c r="O56" s="116"/>
      <c r="P56" s="116"/>
      <c r="Q56" s="116"/>
      <c r="R56" s="175"/>
      <c r="S56" s="28">
        <v>505.29713866471019</v>
      </c>
      <c r="T56" s="118">
        <v>32061.216587068244</v>
      </c>
      <c r="U56" s="229" t="s">
        <v>64</v>
      </c>
      <c r="V56" s="28"/>
      <c r="W56" s="28">
        <v>228.90682318415261</v>
      </c>
      <c r="X56" s="118">
        <v>14524.189184523864</v>
      </c>
      <c r="Y56" s="28">
        <v>36.155539251650772</v>
      </c>
      <c r="Z56" s="118">
        <v>2294.0770609401807</v>
      </c>
      <c r="AA56" s="116"/>
      <c r="AB56" s="175"/>
      <c r="AC56" s="28">
        <v>82.036683785766698</v>
      </c>
      <c r="AD56" s="180">
        <v>5205.2459546689824</v>
      </c>
      <c r="AE56" s="943"/>
      <c r="AF56" s="944"/>
      <c r="AG56" s="199">
        <v>505.29713866471019</v>
      </c>
      <c r="AH56" s="180">
        <v>64122.433174136488</v>
      </c>
      <c r="AI56" s="180">
        <f t="shared" si="1"/>
        <v>64122.433174136488</v>
      </c>
      <c r="AJ56" s="1003"/>
      <c r="AK56" s="980"/>
      <c r="AL56" s="995"/>
      <c r="AM56" s="440"/>
      <c r="AN56" s="90"/>
      <c r="AO56" s="128"/>
      <c r="AP56" s="106"/>
    </row>
    <row r="57" spans="1:42" s="69" customFormat="1">
      <c r="A57" s="1197"/>
      <c r="B57" s="235">
        <v>12770</v>
      </c>
      <c r="C57" s="231">
        <v>35185</v>
      </c>
      <c r="D57" s="222" t="s">
        <v>223</v>
      </c>
      <c r="E57" s="222" t="s">
        <v>73</v>
      </c>
      <c r="F57" s="222" t="s">
        <v>75</v>
      </c>
      <c r="G57" s="11">
        <v>1531.9148936170213</v>
      </c>
      <c r="H57" s="320" t="s">
        <v>221</v>
      </c>
      <c r="I57" s="228" t="s">
        <v>64</v>
      </c>
      <c r="J57" s="1201"/>
      <c r="K57" s="1160" t="s">
        <v>495</v>
      </c>
      <c r="L57" s="120">
        <v>93.61702127659575</v>
      </c>
      <c r="M57" s="12">
        <v>12.942039618488629</v>
      </c>
      <c r="N57" s="115"/>
      <c r="O57" s="115"/>
      <c r="P57" s="115"/>
      <c r="Q57" s="115"/>
      <c r="R57" s="174"/>
      <c r="S57" s="120">
        <v>80.674981658107114</v>
      </c>
      <c r="T57" s="117">
        <v>4333.5887905840609</v>
      </c>
      <c r="U57" s="228" t="s">
        <v>64</v>
      </c>
      <c r="V57" s="120"/>
      <c r="W57" s="120">
        <v>19.914893617021278</v>
      </c>
      <c r="X57" s="117">
        <v>1069.761132517405</v>
      </c>
      <c r="Y57" s="120">
        <v>9.8418195157740271</v>
      </c>
      <c r="Z57" s="117">
        <v>528.66945682439825</v>
      </c>
      <c r="AA57" s="115"/>
      <c r="AB57" s="174"/>
      <c r="AC57" s="120">
        <v>16.696111518708729</v>
      </c>
      <c r="AD57" s="177">
        <v>896.85897953404242</v>
      </c>
      <c r="AE57" s="943"/>
      <c r="AF57" s="944"/>
      <c r="AG57" s="209">
        <v>80.674981658107114</v>
      </c>
      <c r="AH57" s="177">
        <v>8667.1775811681218</v>
      </c>
      <c r="AI57" s="177">
        <f t="shared" si="1"/>
        <v>8667.1775811681218</v>
      </c>
      <c r="AJ57" s="1003"/>
      <c r="AK57" s="978">
        <f>SUM(AI57:AI63)</f>
        <v>23742.533325163491</v>
      </c>
      <c r="AL57" s="995"/>
      <c r="AM57" s="151"/>
      <c r="AN57" s="90"/>
      <c r="AO57" s="128"/>
      <c r="AP57" s="106"/>
    </row>
    <row r="58" spans="1:42" s="69" customFormat="1">
      <c r="A58" s="1197"/>
      <c r="B58" s="249"/>
      <c r="C58" s="95"/>
      <c r="D58" s="223" t="s">
        <v>808</v>
      </c>
      <c r="E58" s="225" t="s">
        <v>64</v>
      </c>
      <c r="F58" s="228" t="s">
        <v>64</v>
      </c>
      <c r="G58" s="6">
        <v>14.673514306676449</v>
      </c>
      <c r="H58" s="225" t="s">
        <v>64</v>
      </c>
      <c r="I58" s="228" t="s">
        <v>64</v>
      </c>
      <c r="J58" s="1201"/>
      <c r="K58" s="1161"/>
      <c r="L58" s="24">
        <v>21.027146001467351</v>
      </c>
      <c r="M58" s="225" t="s">
        <v>64</v>
      </c>
      <c r="N58" s="197"/>
      <c r="O58" s="197"/>
      <c r="P58" s="197"/>
      <c r="Q58" s="197"/>
      <c r="R58" s="213"/>
      <c r="S58" s="24">
        <v>21.027146001467351</v>
      </c>
      <c r="T58" s="159">
        <v>1129.5075912890059</v>
      </c>
      <c r="U58" s="228" t="s">
        <v>64</v>
      </c>
      <c r="V58" s="24"/>
      <c r="W58" s="24">
        <v>0.19075568598679385</v>
      </c>
      <c r="X58" s="159">
        <v>10.246754142887013</v>
      </c>
      <c r="Y58" s="24">
        <v>4.7776962582538518</v>
      </c>
      <c r="Z58" s="159">
        <v>256.64178068646231</v>
      </c>
      <c r="AA58" s="197"/>
      <c r="AB58" s="213"/>
      <c r="AC58" s="24">
        <v>5.37050623624358</v>
      </c>
      <c r="AD58" s="187">
        <v>288.48553971512638</v>
      </c>
      <c r="AE58" s="943"/>
      <c r="AF58" s="944"/>
      <c r="AG58" s="210">
        <v>21.027146001467351</v>
      </c>
      <c r="AH58" s="187">
        <v>2259.0151825780117</v>
      </c>
      <c r="AI58" s="177">
        <f t="shared" si="1"/>
        <v>2259.0151825780117</v>
      </c>
      <c r="AJ58" s="1003"/>
      <c r="AK58" s="979"/>
      <c r="AL58" s="995"/>
      <c r="AM58" s="151"/>
      <c r="AN58" s="90"/>
      <c r="AO58" s="128"/>
      <c r="AP58" s="106"/>
    </row>
    <row r="59" spans="1:42" s="69" customFormat="1">
      <c r="A59" s="1197"/>
      <c r="B59" s="249"/>
      <c r="C59" s="95"/>
      <c r="D59" s="223" t="s">
        <v>809</v>
      </c>
      <c r="E59" s="225" t="s">
        <v>64</v>
      </c>
      <c r="F59" s="228" t="s">
        <v>64</v>
      </c>
      <c r="G59" s="6">
        <v>11.73881144534116</v>
      </c>
      <c r="H59" s="225" t="s">
        <v>64</v>
      </c>
      <c r="I59" s="228" t="s">
        <v>64</v>
      </c>
      <c r="J59" s="1201"/>
      <c r="K59" s="1161"/>
      <c r="L59" s="7">
        <v>20.988994864269994</v>
      </c>
      <c r="M59" s="225" t="s">
        <v>64</v>
      </c>
      <c r="N59" s="188"/>
      <c r="O59" s="188"/>
      <c r="P59" s="188"/>
      <c r="Q59" s="188"/>
      <c r="R59" s="214"/>
      <c r="S59" s="7">
        <v>20.988994864269994</v>
      </c>
      <c r="T59" s="157">
        <v>1127.4582404604309</v>
      </c>
      <c r="U59" s="228" t="s">
        <v>64</v>
      </c>
      <c r="V59" s="7"/>
      <c r="W59" s="7">
        <v>0.15260454878943508</v>
      </c>
      <c r="X59" s="157">
        <v>8.1974033143096054</v>
      </c>
      <c r="Y59" s="7">
        <v>4.7776962582538518</v>
      </c>
      <c r="Z59" s="157">
        <v>256.64178068646231</v>
      </c>
      <c r="AA59" s="188"/>
      <c r="AB59" s="214"/>
      <c r="AC59" s="7">
        <v>5.37050623624358</v>
      </c>
      <c r="AD59" s="176">
        <v>288.48553971512638</v>
      </c>
      <c r="AE59" s="943"/>
      <c r="AF59" s="944"/>
      <c r="AG59" s="211">
        <v>20.988994864269994</v>
      </c>
      <c r="AH59" s="157">
        <v>2254.9164809208619</v>
      </c>
      <c r="AI59" s="177">
        <f t="shared" si="1"/>
        <v>2254.9164809208619</v>
      </c>
      <c r="AJ59" s="1003"/>
      <c r="AK59" s="979"/>
      <c r="AL59" s="995"/>
      <c r="AM59" s="151"/>
      <c r="AN59" s="90"/>
      <c r="AO59" s="128"/>
      <c r="AP59" s="106"/>
    </row>
    <row r="60" spans="1:42" s="69" customFormat="1">
      <c r="A60" s="1197"/>
      <c r="B60" s="249"/>
      <c r="C60" s="95"/>
      <c r="D60" s="223" t="s">
        <v>810</v>
      </c>
      <c r="E60" s="225" t="s">
        <v>64</v>
      </c>
      <c r="F60" s="228" t="s">
        <v>64</v>
      </c>
      <c r="G60" s="6">
        <v>358.68525311812181</v>
      </c>
      <c r="H60" s="225" t="s">
        <v>64</v>
      </c>
      <c r="I60" s="228" t="s">
        <v>64</v>
      </c>
      <c r="J60" s="1201"/>
      <c r="K60" s="1161"/>
      <c r="L60" s="7">
        <v>27.69053558327219</v>
      </c>
      <c r="M60" s="225" t="s">
        <v>64</v>
      </c>
      <c r="N60" s="188"/>
      <c r="O60" s="188"/>
      <c r="P60" s="188"/>
      <c r="Q60" s="188"/>
      <c r="R60" s="214"/>
      <c r="S60" s="7">
        <v>27.69053558327219</v>
      </c>
      <c r="T60" s="157">
        <v>1487.4424777371903</v>
      </c>
      <c r="U60" s="228" t="s">
        <v>64</v>
      </c>
      <c r="V60" s="7"/>
      <c r="W60" s="7">
        <v>4.6629082905355839</v>
      </c>
      <c r="X60" s="157">
        <v>250.47575697038701</v>
      </c>
      <c r="Y60" s="7">
        <v>5.1063818048422602</v>
      </c>
      <c r="Z60" s="157">
        <v>274.2976632295655</v>
      </c>
      <c r="AA60" s="188"/>
      <c r="AB60" s="214"/>
      <c r="AC60" s="7">
        <v>6.0278773294203951</v>
      </c>
      <c r="AD60" s="176">
        <v>323.79730480133225</v>
      </c>
      <c r="AE60" s="943"/>
      <c r="AF60" s="944"/>
      <c r="AG60" s="211">
        <v>27.69053558327219</v>
      </c>
      <c r="AH60" s="157">
        <v>2974.8849554743806</v>
      </c>
      <c r="AI60" s="177">
        <f t="shared" si="1"/>
        <v>2974.8849554743806</v>
      </c>
      <c r="AJ60" s="1003"/>
      <c r="AK60" s="979"/>
      <c r="AL60" s="995"/>
      <c r="AM60" s="151"/>
      <c r="AN60" s="90"/>
      <c r="AO60" s="128"/>
      <c r="AP60" s="106"/>
    </row>
    <row r="61" spans="1:42" s="69" customFormat="1">
      <c r="A61" s="1197"/>
      <c r="B61" s="249"/>
      <c r="C61" s="95"/>
      <c r="D61" s="223" t="s">
        <v>811</v>
      </c>
      <c r="E61" s="225" t="s">
        <v>64</v>
      </c>
      <c r="F61" s="228" t="s">
        <v>64</v>
      </c>
      <c r="G61" s="73">
        <v>73.367571533382247</v>
      </c>
      <c r="H61" s="225" t="s">
        <v>64</v>
      </c>
      <c r="I61" s="228" t="s">
        <v>64</v>
      </c>
      <c r="J61" s="1201"/>
      <c r="K61" s="1161"/>
      <c r="L61" s="7">
        <v>21.790168745414526</v>
      </c>
      <c r="M61" s="225" t="s">
        <v>64</v>
      </c>
      <c r="N61" s="188"/>
      <c r="O61" s="188"/>
      <c r="P61" s="188"/>
      <c r="Q61" s="188"/>
      <c r="R61" s="214"/>
      <c r="S61" s="7">
        <v>21.790168745414526</v>
      </c>
      <c r="T61" s="157">
        <v>1170.4946078605542</v>
      </c>
      <c r="U61" s="228" t="s">
        <v>64</v>
      </c>
      <c r="V61" s="7"/>
      <c r="W61" s="7">
        <v>0.95377842993396933</v>
      </c>
      <c r="X61" s="157">
        <v>51.233770714435011</v>
      </c>
      <c r="Y61" s="7">
        <v>4.7776962582538518</v>
      </c>
      <c r="Z61" s="157">
        <v>256.64178068646231</v>
      </c>
      <c r="AA61" s="188"/>
      <c r="AB61" s="214"/>
      <c r="AC61" s="7">
        <v>5.37050623624358</v>
      </c>
      <c r="AD61" s="176">
        <v>288.48553971512638</v>
      </c>
      <c r="AE61" s="943"/>
      <c r="AF61" s="944"/>
      <c r="AG61" s="211">
        <v>21.790168745414526</v>
      </c>
      <c r="AH61" s="157">
        <v>2340.9892157211084</v>
      </c>
      <c r="AI61" s="177">
        <f t="shared" si="1"/>
        <v>2340.9892157211084</v>
      </c>
      <c r="AJ61" s="1003"/>
      <c r="AK61" s="979"/>
      <c r="AL61" s="995"/>
      <c r="AM61" s="151"/>
      <c r="AN61" s="90"/>
      <c r="AO61" s="128"/>
      <c r="AP61" s="106"/>
    </row>
    <row r="62" spans="1:42" s="69" customFormat="1">
      <c r="A62" s="1197"/>
      <c r="B62" s="249"/>
      <c r="C62" s="95"/>
      <c r="D62" s="223" t="s">
        <v>812</v>
      </c>
      <c r="E62" s="225" t="s">
        <v>64</v>
      </c>
      <c r="F62" s="228" t="s">
        <v>64</v>
      </c>
      <c r="G62" s="73">
        <v>366.83785766691125</v>
      </c>
      <c r="H62" s="225" t="s">
        <v>64</v>
      </c>
      <c r="I62" s="228" t="s">
        <v>64</v>
      </c>
      <c r="J62" s="1201"/>
      <c r="K62" s="1161"/>
      <c r="L62" s="24">
        <v>27.894350696991928</v>
      </c>
      <c r="M62" s="225" t="s">
        <v>64</v>
      </c>
      <c r="N62" s="197"/>
      <c r="O62" s="197"/>
      <c r="P62" s="197"/>
      <c r="Q62" s="197"/>
      <c r="R62" s="213"/>
      <c r="S62" s="24">
        <v>27.894350696991928</v>
      </c>
      <c r="T62" s="159">
        <v>1498.3907404329402</v>
      </c>
      <c r="U62" s="228" t="s">
        <v>64</v>
      </c>
      <c r="V62" s="24"/>
      <c r="W62" s="24">
        <v>4.7688921496698464</v>
      </c>
      <c r="X62" s="159">
        <v>256.16885357217507</v>
      </c>
      <c r="Y62" s="24">
        <v>5.121056493030081</v>
      </c>
      <c r="Z62" s="159">
        <v>275.08593814365884</v>
      </c>
      <c r="AA62" s="197"/>
      <c r="AB62" s="213"/>
      <c r="AC62" s="24">
        <v>6.0572267057960385</v>
      </c>
      <c r="AD62" s="187">
        <v>325.37385462952045</v>
      </c>
      <c r="AE62" s="943"/>
      <c r="AF62" s="944"/>
      <c r="AG62" s="210">
        <v>27.894350696991928</v>
      </c>
      <c r="AH62" s="187">
        <v>2996.7814808658804</v>
      </c>
      <c r="AI62" s="177">
        <f t="shared" si="1"/>
        <v>2996.7814808658804</v>
      </c>
      <c r="AJ62" s="1003"/>
      <c r="AK62" s="979"/>
      <c r="AL62" s="995"/>
      <c r="AM62" s="151"/>
      <c r="AN62" s="90"/>
      <c r="AO62" s="128"/>
      <c r="AP62" s="106"/>
    </row>
    <row r="63" spans="1:42" s="69" customFormat="1" ht="13.5" thickBot="1">
      <c r="A63" s="1198"/>
      <c r="B63" s="237"/>
      <c r="C63" s="105"/>
      <c r="D63" s="224" t="s">
        <v>813</v>
      </c>
      <c r="E63" s="409" t="s">
        <v>64</v>
      </c>
      <c r="F63" s="313" t="s">
        <v>64</v>
      </c>
      <c r="G63" s="314">
        <v>7.3367571533382243</v>
      </c>
      <c r="H63" s="409" t="s">
        <v>64</v>
      </c>
      <c r="I63" s="229" t="s">
        <v>64</v>
      </c>
      <c r="J63" s="1202"/>
      <c r="K63" s="1162"/>
      <c r="L63" s="28">
        <v>20.931768158473954</v>
      </c>
      <c r="M63" s="226" t="s">
        <v>64</v>
      </c>
      <c r="N63" s="116"/>
      <c r="O63" s="116"/>
      <c r="P63" s="116"/>
      <c r="Q63" s="116"/>
      <c r="R63" s="175"/>
      <c r="S63" s="28">
        <v>20.931768158473954</v>
      </c>
      <c r="T63" s="118">
        <v>1124.3842142175642</v>
      </c>
      <c r="U63" s="229" t="s">
        <v>64</v>
      </c>
      <c r="V63" s="28"/>
      <c r="W63" s="28">
        <v>9.5377842993396925E-2</v>
      </c>
      <c r="X63" s="118">
        <v>5.1233770714435067</v>
      </c>
      <c r="Y63" s="28">
        <v>4.7776962582538518</v>
      </c>
      <c r="Z63" s="118">
        <v>256.64178068646231</v>
      </c>
      <c r="AA63" s="116"/>
      <c r="AB63" s="175"/>
      <c r="AC63" s="28">
        <v>5.37050623624358</v>
      </c>
      <c r="AD63" s="180">
        <v>288.48553971512638</v>
      </c>
      <c r="AE63" s="945"/>
      <c r="AF63" s="946"/>
      <c r="AG63" s="199">
        <v>20.931768158473954</v>
      </c>
      <c r="AH63" s="180">
        <v>2248.7684284351285</v>
      </c>
      <c r="AI63" s="180">
        <f t="shared" si="1"/>
        <v>2248.7684284351285</v>
      </c>
      <c r="AJ63" s="1004"/>
      <c r="AK63" s="980"/>
      <c r="AL63" s="996"/>
      <c r="AM63" s="151"/>
      <c r="AN63" s="90"/>
      <c r="AO63" s="128"/>
      <c r="AP63" s="106"/>
    </row>
    <row r="64" spans="1:42" s="69" customFormat="1">
      <c r="A64" s="1014" t="s">
        <v>24</v>
      </c>
      <c r="B64" s="232" t="s">
        <v>151</v>
      </c>
      <c r="C64" s="912" t="s">
        <v>151</v>
      </c>
      <c r="D64" s="222" t="s">
        <v>817</v>
      </c>
      <c r="E64" s="240" t="s">
        <v>1</v>
      </c>
      <c r="F64" s="240" t="s">
        <v>0</v>
      </c>
      <c r="G64" s="425">
        <v>5297.62</v>
      </c>
      <c r="H64" s="320" t="s">
        <v>221</v>
      </c>
      <c r="I64" s="228" t="s">
        <v>64</v>
      </c>
      <c r="J64" s="1163" t="s">
        <v>51</v>
      </c>
      <c r="K64" s="1163" t="s">
        <v>496</v>
      </c>
      <c r="L64" s="120">
        <v>252.84049999999999</v>
      </c>
      <c r="M64" s="120">
        <v>18.5</v>
      </c>
      <c r="N64" s="115"/>
      <c r="O64" s="115"/>
      <c r="P64" s="115"/>
      <c r="Q64" s="115"/>
      <c r="R64" s="174"/>
      <c r="S64" s="120">
        <v>234.34049999999999</v>
      </c>
      <c r="T64" s="117">
        <v>2043.6776736091679</v>
      </c>
      <c r="U64" s="228" t="s">
        <v>64</v>
      </c>
      <c r="V64" s="120"/>
      <c r="W64" s="120">
        <v>68.869060000000005</v>
      </c>
      <c r="X64" s="117">
        <v>600.60535982662032</v>
      </c>
      <c r="Y64" s="120">
        <v>14.795716000000001</v>
      </c>
      <c r="Z64" s="117">
        <v>129.03307133961866</v>
      </c>
      <c r="AA64" s="197"/>
      <c r="AB64" s="197"/>
      <c r="AC64" s="88">
        <v>64.788576000000006</v>
      </c>
      <c r="AD64" s="361">
        <v>565.01956032410374</v>
      </c>
      <c r="AE64" s="1178" t="s">
        <v>19</v>
      </c>
      <c r="AF64" s="1179"/>
      <c r="AG64" s="209">
        <v>234.34049999999999</v>
      </c>
      <c r="AH64" s="117">
        <v>4087.3553472183357</v>
      </c>
      <c r="AI64" s="177">
        <f>AH64</f>
        <v>4087.3553472183357</v>
      </c>
      <c r="AJ64" s="975">
        <v>46142</v>
      </c>
      <c r="AK64" s="981">
        <f>SUM(AI64:AI73)</f>
        <v>15379.396548500908</v>
      </c>
      <c r="AL64" s="1005">
        <f>AK64+AK74+AK83+AK97+AK110+AK119+AK140+AK141+AK143+AK181+AK206+AK232+AK233</f>
        <v>112764.23072070768</v>
      </c>
      <c r="AM64" s="440"/>
      <c r="AN64" s="89"/>
      <c r="AO64" s="89"/>
    </row>
    <row r="65" spans="1:41" s="69" customFormat="1" ht="12.75" customHeight="1">
      <c r="A65" s="1015"/>
      <c r="B65" s="233"/>
      <c r="C65" s="95"/>
      <c r="D65" s="223" t="s">
        <v>808</v>
      </c>
      <c r="E65" s="225" t="s">
        <v>64</v>
      </c>
      <c r="F65" s="228" t="s">
        <v>64</v>
      </c>
      <c r="G65" s="426">
        <v>167.26</v>
      </c>
      <c r="H65" s="225" t="s">
        <v>64</v>
      </c>
      <c r="I65" s="228" t="s">
        <v>64</v>
      </c>
      <c r="J65" s="1057"/>
      <c r="K65" s="1057"/>
      <c r="L65" s="24">
        <v>27.1815</v>
      </c>
      <c r="M65" s="225" t="s">
        <v>64</v>
      </c>
      <c r="N65" s="197"/>
      <c r="O65" s="197"/>
      <c r="P65" s="197"/>
      <c r="Q65" s="197"/>
      <c r="R65" s="213"/>
      <c r="S65" s="24">
        <v>27.1815</v>
      </c>
      <c r="T65" s="159">
        <v>237.04918563034391</v>
      </c>
      <c r="U65" s="228" t="s">
        <v>64</v>
      </c>
      <c r="V65" s="24"/>
      <c r="W65" s="24">
        <v>2.1743800000000002</v>
      </c>
      <c r="X65" s="159">
        <v>18.962713913908601</v>
      </c>
      <c r="Y65" s="24">
        <v>4.6210680000000002</v>
      </c>
      <c r="Z65" s="159">
        <v>40.300219124862167</v>
      </c>
      <c r="AA65" s="188"/>
      <c r="AB65" s="188"/>
      <c r="AC65" s="24">
        <v>8.8028480000000009</v>
      </c>
      <c r="AD65" s="187">
        <v>76.769418524647236</v>
      </c>
      <c r="AE65" s="1180"/>
      <c r="AF65" s="1181"/>
      <c r="AG65" s="210">
        <v>27.1815</v>
      </c>
      <c r="AH65" s="159">
        <v>474.09837126068783</v>
      </c>
      <c r="AI65" s="177">
        <f t="shared" ref="AI65:AI73" si="2">AH65</f>
        <v>474.09837126068783</v>
      </c>
      <c r="AJ65" s="976"/>
      <c r="AK65" s="982"/>
      <c r="AL65" s="1006"/>
      <c r="AM65" s="440"/>
      <c r="AN65" s="89"/>
      <c r="AO65" s="89"/>
    </row>
    <row r="66" spans="1:41" s="69" customFormat="1" ht="12.75" customHeight="1">
      <c r="A66" s="1015"/>
      <c r="B66" s="233"/>
      <c r="C66" s="95"/>
      <c r="D66" s="223" t="s">
        <v>809</v>
      </c>
      <c r="E66" s="225" t="s">
        <v>64</v>
      </c>
      <c r="F66" s="228" t="s">
        <v>64</v>
      </c>
      <c r="G66" s="426">
        <v>167.26</v>
      </c>
      <c r="H66" s="225" t="s">
        <v>64</v>
      </c>
      <c r="I66" s="228" t="s">
        <v>64</v>
      </c>
      <c r="J66" s="1057"/>
      <c r="K66" s="1057"/>
      <c r="L66" s="7">
        <v>27.1815</v>
      </c>
      <c r="M66" s="225" t="s">
        <v>64</v>
      </c>
      <c r="N66" s="188"/>
      <c r="O66" s="188"/>
      <c r="P66" s="188"/>
      <c r="Q66" s="188"/>
      <c r="R66" s="214"/>
      <c r="S66" s="7">
        <v>27.1815</v>
      </c>
      <c r="T66" s="157">
        <v>237.04918563034391</v>
      </c>
      <c r="U66" s="228" t="s">
        <v>64</v>
      </c>
      <c r="V66" s="7"/>
      <c r="W66" s="7">
        <v>2.1743800000000002</v>
      </c>
      <c r="X66" s="157">
        <v>18.962713913908601</v>
      </c>
      <c r="Y66" s="7">
        <v>4.6210680000000002</v>
      </c>
      <c r="Z66" s="157">
        <v>40.300219124862167</v>
      </c>
      <c r="AA66" s="188"/>
      <c r="AB66" s="188"/>
      <c r="AC66" s="7">
        <v>8.8028480000000009</v>
      </c>
      <c r="AD66" s="176">
        <v>76.769418524647236</v>
      </c>
      <c r="AE66" s="1180"/>
      <c r="AF66" s="1181"/>
      <c r="AG66" s="211">
        <v>27.1815</v>
      </c>
      <c r="AH66" s="157">
        <v>474.09837126068783</v>
      </c>
      <c r="AI66" s="177">
        <f t="shared" si="2"/>
        <v>474.09837126068783</v>
      </c>
      <c r="AJ66" s="976"/>
      <c r="AK66" s="982"/>
      <c r="AL66" s="1006"/>
      <c r="AM66" s="440"/>
      <c r="AN66" s="89"/>
      <c r="AO66" s="89"/>
    </row>
    <row r="67" spans="1:41" s="69" customFormat="1" ht="12.75" customHeight="1">
      <c r="A67" s="1015"/>
      <c r="B67" s="233"/>
      <c r="C67" s="95"/>
      <c r="D67" s="223" t="s">
        <v>810</v>
      </c>
      <c r="E67" s="225" t="s">
        <v>64</v>
      </c>
      <c r="F67" s="228" t="s">
        <v>64</v>
      </c>
      <c r="G67" s="426">
        <v>72</v>
      </c>
      <c r="H67" s="225" t="s">
        <v>64</v>
      </c>
      <c r="I67" s="228" t="s">
        <v>64</v>
      </c>
      <c r="J67" s="1057"/>
      <c r="K67" s="1057"/>
      <c r="L67" s="7">
        <v>24.8</v>
      </c>
      <c r="M67" s="225" t="s">
        <v>64</v>
      </c>
      <c r="N67" s="188"/>
      <c r="O67" s="188"/>
      <c r="P67" s="188"/>
      <c r="Q67" s="188"/>
      <c r="R67" s="214"/>
      <c r="S67" s="7">
        <v>24.8</v>
      </c>
      <c r="T67" s="157">
        <v>216.28018334648681</v>
      </c>
      <c r="U67" s="228" t="s">
        <v>64</v>
      </c>
      <c r="V67" s="7"/>
      <c r="W67" s="7">
        <v>0.93600000000000005</v>
      </c>
      <c r="X67" s="157">
        <v>8.1628327263028773</v>
      </c>
      <c r="Y67" s="7">
        <v>4.4496000000000002</v>
      </c>
      <c r="Z67" s="157">
        <v>38.804850960424439</v>
      </c>
      <c r="AA67" s="188"/>
      <c r="AB67" s="188"/>
      <c r="AC67" s="7">
        <v>8.345600000000001</v>
      </c>
      <c r="AD67" s="176">
        <v>72.781770086146707</v>
      </c>
      <c r="AE67" s="1180"/>
      <c r="AF67" s="1181"/>
      <c r="AG67" s="211">
        <v>24.8</v>
      </c>
      <c r="AH67" s="157">
        <v>432.56036669297362</v>
      </c>
      <c r="AI67" s="177">
        <f t="shared" si="2"/>
        <v>432.56036669297362</v>
      </c>
      <c r="AJ67" s="976"/>
      <c r="AK67" s="982"/>
      <c r="AL67" s="1006"/>
      <c r="AM67" s="440"/>
      <c r="AN67" s="89"/>
      <c r="AO67" s="89"/>
    </row>
    <row r="68" spans="1:41" s="69" customFormat="1" ht="12.75" customHeight="1">
      <c r="A68" s="1015"/>
      <c r="B68" s="233"/>
      <c r="C68" s="95"/>
      <c r="D68" s="223" t="s">
        <v>811</v>
      </c>
      <c r="E68" s="225" t="s">
        <v>64</v>
      </c>
      <c r="F68" s="228" t="s">
        <v>64</v>
      </c>
      <c r="G68" s="426">
        <v>7336.7571533382243</v>
      </c>
      <c r="H68" s="225" t="s">
        <v>64</v>
      </c>
      <c r="I68" s="228" t="s">
        <v>64</v>
      </c>
      <c r="J68" s="1057"/>
      <c r="K68" s="1057"/>
      <c r="L68" s="7">
        <v>206.41892883345565</v>
      </c>
      <c r="M68" s="225" t="s">
        <v>64</v>
      </c>
      <c r="N68" s="188"/>
      <c r="O68" s="188"/>
      <c r="P68" s="188"/>
      <c r="Q68" s="188"/>
      <c r="R68" s="214"/>
      <c r="S68" s="7">
        <v>206.41892883345565</v>
      </c>
      <c r="T68" s="157">
        <v>1800.174345737305</v>
      </c>
      <c r="U68" s="228" t="s">
        <v>64</v>
      </c>
      <c r="V68" s="7"/>
      <c r="W68" s="7">
        <v>95.377842993396925</v>
      </c>
      <c r="X68" s="157">
        <v>831.78779716952818</v>
      </c>
      <c r="Y68" s="7">
        <v>17.526162876008804</v>
      </c>
      <c r="Z68" s="157">
        <v>152.84523065256323</v>
      </c>
      <c r="AA68" s="188"/>
      <c r="AB68" s="188"/>
      <c r="AC68" s="7">
        <v>43.216434336023489</v>
      </c>
      <c r="AD68" s="176">
        <v>376.88944926518366</v>
      </c>
      <c r="AE68" s="1180"/>
      <c r="AF68" s="1181"/>
      <c r="AG68" s="211">
        <v>206.41892883345565</v>
      </c>
      <c r="AH68" s="157">
        <v>3600.34869147461</v>
      </c>
      <c r="AI68" s="177">
        <f t="shared" si="2"/>
        <v>3600.34869147461</v>
      </c>
      <c r="AJ68" s="976"/>
      <c r="AK68" s="982"/>
      <c r="AL68" s="1006"/>
      <c r="AM68" s="440"/>
      <c r="AN68" s="89"/>
      <c r="AO68" s="89"/>
    </row>
    <row r="69" spans="1:41" s="69" customFormat="1" ht="12.75" customHeight="1">
      <c r="A69" s="1015"/>
      <c r="B69" s="233"/>
      <c r="C69" s="95"/>
      <c r="D69" s="223" t="s">
        <v>812</v>
      </c>
      <c r="E69" s="225" t="s">
        <v>64</v>
      </c>
      <c r="F69" s="228" t="s">
        <v>64</v>
      </c>
      <c r="G69" s="427">
        <v>690.42</v>
      </c>
      <c r="H69" s="225" t="s">
        <v>64</v>
      </c>
      <c r="I69" s="228" t="s">
        <v>64</v>
      </c>
      <c r="J69" s="1057"/>
      <c r="K69" s="1057"/>
      <c r="L69" s="7">
        <v>40.2605</v>
      </c>
      <c r="M69" s="225" t="s">
        <v>64</v>
      </c>
      <c r="N69" s="188"/>
      <c r="O69" s="188"/>
      <c r="P69" s="188"/>
      <c r="Q69" s="188"/>
      <c r="R69" s="214"/>
      <c r="S69" s="7">
        <v>40.2605</v>
      </c>
      <c r="T69" s="157">
        <v>351.11081942021036</v>
      </c>
      <c r="U69" s="228" t="s">
        <v>64</v>
      </c>
      <c r="V69" s="7"/>
      <c r="W69" s="7">
        <v>8.97546</v>
      </c>
      <c r="X69" s="157">
        <v>78.274763484639379</v>
      </c>
      <c r="Y69" s="7">
        <v>5.5627560000000003</v>
      </c>
      <c r="Z69" s="157">
        <v>48.512656757732543</v>
      </c>
      <c r="AA69" s="188"/>
      <c r="AB69" s="188"/>
      <c r="AC69" s="7">
        <v>11.314016000000002</v>
      </c>
      <c r="AD69" s="176">
        <v>98.669252212301828</v>
      </c>
      <c r="AE69" s="1180"/>
      <c r="AF69" s="1181"/>
      <c r="AG69" s="211">
        <v>40.2605</v>
      </c>
      <c r="AH69" s="157">
        <v>702.22163884042072</v>
      </c>
      <c r="AI69" s="177">
        <f t="shared" si="2"/>
        <v>702.22163884042072</v>
      </c>
      <c r="AJ69" s="976"/>
      <c r="AK69" s="982"/>
      <c r="AL69" s="1006"/>
      <c r="AM69" s="440"/>
      <c r="AN69" s="89"/>
      <c r="AO69" s="89"/>
    </row>
    <row r="70" spans="1:41" s="69" customFormat="1" ht="12.75" customHeight="1">
      <c r="A70" s="1015"/>
      <c r="B70" s="233"/>
      <c r="C70" s="95"/>
      <c r="D70" s="223" t="s">
        <v>813</v>
      </c>
      <c r="E70" s="225" t="s">
        <v>64</v>
      </c>
      <c r="F70" s="228" t="s">
        <v>64</v>
      </c>
      <c r="G70" s="428">
        <f>11*G69</f>
        <v>7594.62</v>
      </c>
      <c r="H70" s="225" t="s">
        <v>64</v>
      </c>
      <c r="I70" s="228" t="s">
        <v>64</v>
      </c>
      <c r="J70" s="1057"/>
      <c r="K70" s="1057"/>
      <c r="L70" s="7">
        <v>212.86550000000003</v>
      </c>
      <c r="M70" s="225" t="s">
        <v>64</v>
      </c>
      <c r="N70" s="188"/>
      <c r="O70" s="188"/>
      <c r="P70" s="188"/>
      <c r="Q70" s="188"/>
      <c r="R70" s="214"/>
      <c r="S70" s="7">
        <v>212.86550000000003</v>
      </c>
      <c r="T70" s="157">
        <v>1856.394732586351</v>
      </c>
      <c r="U70" s="228" t="s">
        <v>64</v>
      </c>
      <c r="V70" s="7"/>
      <c r="W70" s="7">
        <v>98.730060000000009</v>
      </c>
      <c r="X70" s="157">
        <v>861.02239833103306</v>
      </c>
      <c r="Y70" s="7">
        <v>17.990316</v>
      </c>
      <c r="Z70" s="157">
        <v>156.89309850569487</v>
      </c>
      <c r="AA70" s="188"/>
      <c r="AB70" s="188"/>
      <c r="AC70" s="7">
        <v>44.454176000000011</v>
      </c>
      <c r="AD70" s="176">
        <v>387.68376354020086</v>
      </c>
      <c r="AE70" s="1180"/>
      <c r="AF70" s="1181"/>
      <c r="AG70" s="211">
        <v>212.86550000000003</v>
      </c>
      <c r="AH70" s="157">
        <v>3712.789465172702</v>
      </c>
      <c r="AI70" s="177">
        <f t="shared" si="2"/>
        <v>3712.789465172702</v>
      </c>
      <c r="AJ70" s="976"/>
      <c r="AK70" s="982"/>
      <c r="AL70" s="1006"/>
      <c r="AM70" s="440"/>
      <c r="AN70" s="89"/>
      <c r="AO70" s="89"/>
    </row>
    <row r="71" spans="1:41" s="69" customFormat="1" ht="12.75" customHeight="1">
      <c r="A71" s="1015"/>
      <c r="B71" s="233"/>
      <c r="C71" s="95"/>
      <c r="D71" s="223" t="s">
        <v>814</v>
      </c>
      <c r="E71" s="225" t="s">
        <v>64</v>
      </c>
      <c r="F71" s="228" t="s">
        <v>64</v>
      </c>
      <c r="G71" s="428">
        <v>69.040000000000006</v>
      </c>
      <c r="H71" s="225" t="s">
        <v>64</v>
      </c>
      <c r="I71" s="228" t="s">
        <v>64</v>
      </c>
      <c r="J71" s="1057"/>
      <c r="K71" s="1057"/>
      <c r="L71" s="7">
        <v>24.726000000000003</v>
      </c>
      <c r="M71" s="225" t="s">
        <v>64</v>
      </c>
      <c r="N71" s="188"/>
      <c r="O71" s="188"/>
      <c r="P71" s="188"/>
      <c r="Q71" s="188"/>
      <c r="R71" s="214"/>
      <c r="S71" s="7">
        <v>24.726000000000003</v>
      </c>
      <c r="T71" s="157">
        <v>215.634831186501</v>
      </c>
      <c r="U71" s="228" t="s">
        <v>64</v>
      </c>
      <c r="V71" s="7"/>
      <c r="W71" s="7">
        <v>0.89752000000000021</v>
      </c>
      <c r="X71" s="157">
        <v>7.8272496031104346</v>
      </c>
      <c r="Y71" s="7">
        <v>4.4442720000000007</v>
      </c>
      <c r="Z71" s="157">
        <v>38.75838560490552</v>
      </c>
      <c r="AA71" s="188"/>
      <c r="AB71" s="188"/>
      <c r="AC71" s="7">
        <v>8.331392000000001</v>
      </c>
      <c r="AD71" s="176">
        <v>72.65786247142934</v>
      </c>
      <c r="AE71" s="1180"/>
      <c r="AF71" s="1181"/>
      <c r="AG71" s="211">
        <v>24.726000000000003</v>
      </c>
      <c r="AH71" s="157">
        <v>431.26966237300201</v>
      </c>
      <c r="AI71" s="177">
        <f t="shared" si="2"/>
        <v>431.26966237300201</v>
      </c>
      <c r="AJ71" s="976"/>
      <c r="AK71" s="982"/>
      <c r="AL71" s="1006"/>
      <c r="AM71" s="440"/>
      <c r="AN71" s="89"/>
      <c r="AO71" s="89"/>
    </row>
    <row r="72" spans="1:41" s="69" customFormat="1" ht="12.75" customHeight="1">
      <c r="A72" s="1015"/>
      <c r="B72" s="233"/>
      <c r="C72" s="95"/>
      <c r="D72" s="223" t="s">
        <v>815</v>
      </c>
      <c r="E72" s="225" t="s">
        <v>64</v>
      </c>
      <c r="F72" s="228" t="s">
        <v>64</v>
      </c>
      <c r="G72" s="428">
        <f>G70*10%</f>
        <v>759.46199999999999</v>
      </c>
      <c r="H72" s="225" t="s">
        <v>64</v>
      </c>
      <c r="I72" s="228" t="s">
        <v>64</v>
      </c>
      <c r="J72" s="1057"/>
      <c r="K72" s="1057"/>
      <c r="L72" s="7">
        <v>41.986549999999994</v>
      </c>
      <c r="M72" s="225" t="s">
        <v>64</v>
      </c>
      <c r="N72" s="188"/>
      <c r="O72" s="188"/>
      <c r="P72" s="188"/>
      <c r="Q72" s="188"/>
      <c r="R72" s="214"/>
      <c r="S72" s="7">
        <v>41.986549999999994</v>
      </c>
      <c r="T72" s="157">
        <v>366.16365855187161</v>
      </c>
      <c r="U72" s="228" t="s">
        <v>64</v>
      </c>
      <c r="V72" s="7"/>
      <c r="W72" s="7">
        <v>9.8730060000000002</v>
      </c>
      <c r="X72" s="157">
        <v>86.102239833103326</v>
      </c>
      <c r="Y72" s="7">
        <v>5.6870316000000001</v>
      </c>
      <c r="Z72" s="157">
        <v>49.596461175212198</v>
      </c>
      <c r="AA72" s="188"/>
      <c r="AB72" s="188"/>
      <c r="AC72" s="7">
        <v>11.6454176</v>
      </c>
      <c r="AD72" s="176">
        <v>101.55939732558062</v>
      </c>
      <c r="AE72" s="1180"/>
      <c r="AF72" s="1181"/>
      <c r="AG72" s="211">
        <v>41.986549999999994</v>
      </c>
      <c r="AH72" s="159">
        <v>732.32731710374321</v>
      </c>
      <c r="AI72" s="177">
        <f t="shared" si="2"/>
        <v>732.32731710374321</v>
      </c>
      <c r="AJ72" s="976"/>
      <c r="AK72" s="982"/>
      <c r="AL72" s="1006"/>
      <c r="AM72" s="440"/>
      <c r="AN72" s="89"/>
      <c r="AO72" s="89"/>
    </row>
    <row r="73" spans="1:41" s="69" customFormat="1" ht="15.75" customHeight="1" thickBot="1">
      <c r="A73" s="1015"/>
      <c r="B73" s="357"/>
      <c r="C73" s="191"/>
      <c r="D73" s="224" t="s">
        <v>816</v>
      </c>
      <c r="E73" s="226" t="s">
        <v>64</v>
      </c>
      <c r="F73" s="229" t="s">
        <v>64</v>
      </c>
      <c r="G73" s="429">
        <f>G72</f>
        <v>759.46199999999999</v>
      </c>
      <c r="H73" s="226" t="s">
        <v>64</v>
      </c>
      <c r="I73" s="229" t="s">
        <v>64</v>
      </c>
      <c r="J73" s="1057"/>
      <c r="K73" s="1057"/>
      <c r="L73" s="46">
        <v>41.986549999999994</v>
      </c>
      <c r="M73" s="409" t="s">
        <v>64</v>
      </c>
      <c r="N73" s="189"/>
      <c r="O73" s="189"/>
      <c r="P73" s="189"/>
      <c r="Q73" s="189"/>
      <c r="R73" s="275"/>
      <c r="S73" s="46">
        <v>41.986549999999994</v>
      </c>
      <c r="T73" s="156">
        <v>366.16365855187161</v>
      </c>
      <c r="U73" s="229" t="s">
        <v>64</v>
      </c>
      <c r="V73" s="46"/>
      <c r="W73" s="46">
        <v>9.8730060000000002</v>
      </c>
      <c r="X73" s="156">
        <v>86.102239833103326</v>
      </c>
      <c r="Y73" s="46">
        <v>5.6870316000000001</v>
      </c>
      <c r="Z73" s="156">
        <v>49.596461175212198</v>
      </c>
      <c r="AA73" s="189"/>
      <c r="AB73" s="189"/>
      <c r="AC73" s="46">
        <v>11.6454176</v>
      </c>
      <c r="AD73" s="362">
        <v>101.55939732558062</v>
      </c>
      <c r="AE73" s="1180"/>
      <c r="AF73" s="1181"/>
      <c r="AG73" s="444">
        <v>41.986549999999994</v>
      </c>
      <c r="AH73" s="118">
        <v>732.32731710374321</v>
      </c>
      <c r="AI73" s="177">
        <f t="shared" si="2"/>
        <v>732.32731710374321</v>
      </c>
      <c r="AJ73" s="976"/>
      <c r="AK73" s="983"/>
      <c r="AL73" s="1006"/>
      <c r="AM73" s="440"/>
      <c r="AN73" s="89"/>
      <c r="AO73" s="89"/>
    </row>
    <row r="74" spans="1:41" s="69" customFormat="1" ht="15" customHeight="1">
      <c r="A74" s="1015"/>
      <c r="B74" s="465" t="s">
        <v>151</v>
      </c>
      <c r="C74" s="386" t="s">
        <v>151</v>
      </c>
      <c r="D74" s="315" t="s">
        <v>818</v>
      </c>
      <c r="E74" s="316" t="s">
        <v>1</v>
      </c>
      <c r="F74" s="316" t="s">
        <v>0</v>
      </c>
      <c r="G74" s="430">
        <v>26488.080000000002</v>
      </c>
      <c r="H74" s="320" t="s">
        <v>221</v>
      </c>
      <c r="I74" s="317" t="s">
        <v>64</v>
      </c>
      <c r="J74" s="1057"/>
      <c r="K74" s="1057"/>
      <c r="L74" s="88">
        <v>858.45476800000017</v>
      </c>
      <c r="M74" s="50">
        <v>26.1</v>
      </c>
      <c r="N74" s="114"/>
      <c r="O74" s="114"/>
      <c r="P74" s="114"/>
      <c r="Q74" s="114"/>
      <c r="R74" s="173"/>
      <c r="S74" s="88">
        <v>832.35476800000015</v>
      </c>
      <c r="T74" s="109">
        <v>5372.9287912701984</v>
      </c>
      <c r="U74" s="317" t="s">
        <v>64</v>
      </c>
      <c r="V74" s="88"/>
      <c r="W74" s="88">
        <v>344.34504000000004</v>
      </c>
      <c r="X74" s="109">
        <v>2222.7798177844857</v>
      </c>
      <c r="Y74" s="88">
        <v>44.932120000000005</v>
      </c>
      <c r="Z74" s="109">
        <v>290.04108642386882</v>
      </c>
      <c r="AA74" s="88">
        <v>70.428928000000013</v>
      </c>
      <c r="AB74" s="88">
        <v>454.62539476856313</v>
      </c>
      <c r="AC74" s="88">
        <v>186.33636000000004</v>
      </c>
      <c r="AD74" s="361">
        <v>1202.818836384065</v>
      </c>
      <c r="AE74" s="1180"/>
      <c r="AF74" s="1181"/>
      <c r="AG74" s="445">
        <v>832.35476800000015</v>
      </c>
      <c r="AH74" s="117">
        <v>10745.857582540397</v>
      </c>
      <c r="AI74" s="177">
        <f t="shared" ref="AI74:AI135" si="3">AH74</f>
        <v>10745.857582540397</v>
      </c>
      <c r="AJ74" s="976"/>
      <c r="AK74" s="981">
        <f>SUM(AI74:AI82)</f>
        <v>16295.308889082058</v>
      </c>
      <c r="AL74" s="1006"/>
      <c r="AM74" s="440"/>
      <c r="AN74" s="108"/>
      <c r="AO74" s="89"/>
    </row>
    <row r="75" spans="1:41" s="69" customFormat="1" ht="15" customHeight="1">
      <c r="A75" s="1015"/>
      <c r="B75" s="437"/>
      <c r="C75" s="420"/>
      <c r="D75" s="223" t="s">
        <v>808</v>
      </c>
      <c r="E75" s="225" t="s">
        <v>64</v>
      </c>
      <c r="F75" s="228" t="s">
        <v>64</v>
      </c>
      <c r="G75" s="430">
        <v>216</v>
      </c>
      <c r="H75" s="225" t="s">
        <v>64</v>
      </c>
      <c r="I75" s="228" t="s">
        <v>64</v>
      </c>
      <c r="J75" s="1057"/>
      <c r="K75" s="1057"/>
      <c r="L75" s="7">
        <v>50.073599999999999</v>
      </c>
      <c r="M75" s="225" t="s">
        <v>64</v>
      </c>
      <c r="N75" s="188"/>
      <c r="O75" s="188"/>
      <c r="P75" s="188"/>
      <c r="Q75" s="188"/>
      <c r="R75" s="214"/>
      <c r="S75" s="7">
        <v>50.073599999999999</v>
      </c>
      <c r="T75" s="157">
        <v>323.22982635037596</v>
      </c>
      <c r="U75" s="228" t="s">
        <v>64</v>
      </c>
      <c r="V75" s="7"/>
      <c r="W75" s="7">
        <v>2.8080000000000003</v>
      </c>
      <c r="X75" s="157">
        <v>18.125905714625169</v>
      </c>
      <c r="Y75" s="7">
        <v>5.524</v>
      </c>
      <c r="Z75" s="157">
        <v>35.657942723500497</v>
      </c>
      <c r="AA75" s="7">
        <v>6.105599999999999</v>
      </c>
      <c r="AB75" s="7">
        <v>39.412225758979851</v>
      </c>
      <c r="AC75" s="7">
        <v>17.172000000000001</v>
      </c>
      <c r="AD75" s="176">
        <v>110.8468849471308</v>
      </c>
      <c r="AE75" s="1180"/>
      <c r="AF75" s="1181"/>
      <c r="AG75" s="210">
        <v>50.073599999999999</v>
      </c>
      <c r="AH75" s="159">
        <v>646.45965270075192</v>
      </c>
      <c r="AI75" s="177">
        <f t="shared" si="3"/>
        <v>646.45965270075192</v>
      </c>
      <c r="AJ75" s="976"/>
      <c r="AK75" s="982"/>
      <c r="AL75" s="1006"/>
      <c r="AM75" s="440"/>
      <c r="AN75" s="108"/>
      <c r="AO75" s="89"/>
    </row>
    <row r="76" spans="1:41" s="69" customFormat="1" ht="15" customHeight="1">
      <c r="A76" s="1015"/>
      <c r="B76" s="437"/>
      <c r="C76" s="239"/>
      <c r="D76" s="223" t="s">
        <v>809</v>
      </c>
      <c r="E76" s="225" t="s">
        <v>64</v>
      </c>
      <c r="F76" s="228" t="s">
        <v>64</v>
      </c>
      <c r="G76" s="430">
        <v>144</v>
      </c>
      <c r="H76" s="225" t="s">
        <v>64</v>
      </c>
      <c r="I76" s="228" t="s">
        <v>64</v>
      </c>
      <c r="J76" s="1057"/>
      <c r="K76" s="1057"/>
      <c r="L76" s="7">
        <v>48.302399999999999</v>
      </c>
      <c r="M76" s="225" t="s">
        <v>64</v>
      </c>
      <c r="N76" s="188"/>
      <c r="O76" s="188"/>
      <c r="P76" s="188"/>
      <c r="Q76" s="188"/>
      <c r="R76" s="214"/>
      <c r="S76" s="7">
        <v>48.302399999999999</v>
      </c>
      <c r="T76" s="157">
        <v>311.79656274576581</v>
      </c>
      <c r="U76" s="228" t="s">
        <v>64</v>
      </c>
      <c r="V76" s="7"/>
      <c r="W76" s="7">
        <v>1.8720000000000001</v>
      </c>
      <c r="X76" s="157">
        <v>12.083937143083451</v>
      </c>
      <c r="Y76" s="7">
        <v>5.4160000000000004</v>
      </c>
      <c r="Z76" s="157">
        <v>34.960792503707246</v>
      </c>
      <c r="AA76" s="7">
        <v>5.9904000000000011</v>
      </c>
      <c r="AB76" s="7">
        <v>38.668598857867053</v>
      </c>
      <c r="AC76" s="7">
        <v>16.847999999999999</v>
      </c>
      <c r="AD76" s="176">
        <v>108.75543428775104</v>
      </c>
      <c r="AE76" s="1180"/>
      <c r="AF76" s="1181"/>
      <c r="AG76" s="211">
        <v>48.302399999999999</v>
      </c>
      <c r="AH76" s="157">
        <v>623.59312549153162</v>
      </c>
      <c r="AI76" s="177">
        <f t="shared" si="3"/>
        <v>623.59312549153162</v>
      </c>
      <c r="AJ76" s="976"/>
      <c r="AK76" s="982"/>
      <c r="AL76" s="1006"/>
      <c r="AM76" s="440"/>
      <c r="AN76" s="108"/>
      <c r="AO76" s="89"/>
    </row>
    <row r="77" spans="1:41" s="69" customFormat="1" ht="15" customHeight="1">
      <c r="A77" s="1015"/>
      <c r="B77" s="437"/>
      <c r="C77" s="239"/>
      <c r="D77" s="223" t="s">
        <v>810</v>
      </c>
      <c r="E77" s="225" t="s">
        <v>64</v>
      </c>
      <c r="F77" s="228" t="s">
        <v>64</v>
      </c>
      <c r="G77" s="426">
        <v>72</v>
      </c>
      <c r="H77" s="225" t="s">
        <v>64</v>
      </c>
      <c r="I77" s="228" t="s">
        <v>64</v>
      </c>
      <c r="J77" s="1057"/>
      <c r="K77" s="1057"/>
      <c r="L77" s="7">
        <v>46.531199999999998</v>
      </c>
      <c r="M77" s="225" t="s">
        <v>64</v>
      </c>
      <c r="N77" s="188"/>
      <c r="O77" s="188"/>
      <c r="P77" s="188"/>
      <c r="Q77" s="188"/>
      <c r="R77" s="214"/>
      <c r="S77" s="7">
        <v>46.531199999999998</v>
      </c>
      <c r="T77" s="157">
        <v>300.36329914115657</v>
      </c>
      <c r="U77" s="228" t="s">
        <v>64</v>
      </c>
      <c r="V77" s="7"/>
      <c r="W77" s="7">
        <v>0.93600000000000005</v>
      </c>
      <c r="X77" s="157">
        <v>6.0419685715417257</v>
      </c>
      <c r="Y77" s="7">
        <v>5.3079999999999998</v>
      </c>
      <c r="Z77" s="157">
        <v>34.263642283913995</v>
      </c>
      <c r="AA77" s="7">
        <v>5.8751999999999995</v>
      </c>
      <c r="AB77" s="7">
        <v>37.924971956754199</v>
      </c>
      <c r="AC77" s="7">
        <v>16.524000000000001</v>
      </c>
      <c r="AD77" s="176">
        <v>106.66398362837123</v>
      </c>
      <c r="AE77" s="1180"/>
      <c r="AF77" s="1181"/>
      <c r="AG77" s="211">
        <v>46.531199999999998</v>
      </c>
      <c r="AH77" s="157">
        <v>600.72659828231315</v>
      </c>
      <c r="AI77" s="177">
        <f t="shared" si="3"/>
        <v>600.72659828231315</v>
      </c>
      <c r="AJ77" s="976"/>
      <c r="AK77" s="982"/>
      <c r="AL77" s="1006"/>
      <c r="AM77" s="440"/>
      <c r="AN77" s="108"/>
      <c r="AO77" s="89"/>
    </row>
    <row r="78" spans="1:41" s="69" customFormat="1" ht="15" customHeight="1">
      <c r="A78" s="1015"/>
      <c r="B78" s="437"/>
      <c r="C78" s="239"/>
      <c r="D78" s="223" t="s">
        <v>811</v>
      </c>
      <c r="E78" s="225" t="s">
        <v>64</v>
      </c>
      <c r="F78" s="228" t="s">
        <v>64</v>
      </c>
      <c r="G78" s="427">
        <v>690.42</v>
      </c>
      <c r="H78" s="225" t="s">
        <v>64</v>
      </c>
      <c r="I78" s="228" t="s">
        <v>64</v>
      </c>
      <c r="J78" s="1057"/>
      <c r="K78" s="1057"/>
      <c r="L78" s="7">
        <v>61.744332</v>
      </c>
      <c r="M78" s="225" t="s">
        <v>64</v>
      </c>
      <c r="N78" s="188"/>
      <c r="O78" s="188"/>
      <c r="P78" s="188"/>
      <c r="Q78" s="188"/>
      <c r="R78" s="214"/>
      <c r="S78" s="7">
        <v>61.744332</v>
      </c>
      <c r="T78" s="157">
        <v>398.56550578508347</v>
      </c>
      <c r="U78" s="228" t="s">
        <v>64</v>
      </c>
      <c r="V78" s="7"/>
      <c r="W78" s="7">
        <v>8.97546</v>
      </c>
      <c r="X78" s="157">
        <v>57.937443627275428</v>
      </c>
      <c r="Y78" s="7">
        <v>6.2356299999999996</v>
      </c>
      <c r="Z78" s="157">
        <v>40.25158171342165</v>
      </c>
      <c r="AA78" s="7">
        <v>6.8646720000000006</v>
      </c>
      <c r="AB78" s="7">
        <v>44.312107348229148</v>
      </c>
      <c r="AC78" s="7">
        <v>19.306889999999999</v>
      </c>
      <c r="AD78" s="176">
        <v>124.62780191689438</v>
      </c>
      <c r="AE78" s="1180"/>
      <c r="AF78" s="1181"/>
      <c r="AG78" s="211">
        <v>61.744332</v>
      </c>
      <c r="AH78" s="157">
        <v>797.13101157016695</v>
      </c>
      <c r="AI78" s="177">
        <f t="shared" si="3"/>
        <v>797.13101157016695</v>
      </c>
      <c r="AJ78" s="976"/>
      <c r="AK78" s="982"/>
      <c r="AL78" s="1006"/>
      <c r="AM78" s="440"/>
      <c r="AN78" s="108"/>
      <c r="AO78" s="89"/>
    </row>
    <row r="79" spans="1:41" s="69" customFormat="1" ht="15" customHeight="1">
      <c r="A79" s="1015"/>
      <c r="B79" s="437"/>
      <c r="C79" s="239"/>
      <c r="D79" s="223" t="s">
        <v>812</v>
      </c>
      <c r="E79" s="225" t="s">
        <v>64</v>
      </c>
      <c r="F79" s="228" t="s">
        <v>64</v>
      </c>
      <c r="G79" s="428">
        <f>G78*2</f>
        <v>1380.84</v>
      </c>
      <c r="H79" s="225" t="s">
        <v>64</v>
      </c>
      <c r="I79" s="228" t="s">
        <v>64</v>
      </c>
      <c r="J79" s="1057"/>
      <c r="K79" s="1057"/>
      <c r="L79" s="7">
        <v>78.728663999999995</v>
      </c>
      <c r="M79" s="225" t="s">
        <v>64</v>
      </c>
      <c r="N79" s="188"/>
      <c r="O79" s="188"/>
      <c r="P79" s="188"/>
      <c r="Q79" s="188"/>
      <c r="R79" s="214"/>
      <c r="S79" s="7">
        <v>78.728663999999995</v>
      </c>
      <c r="T79" s="157">
        <v>508.20097603361955</v>
      </c>
      <c r="U79" s="228" t="s">
        <v>64</v>
      </c>
      <c r="V79" s="7"/>
      <c r="W79" s="7">
        <v>17.95092</v>
      </c>
      <c r="X79" s="157">
        <v>115.87488725455086</v>
      </c>
      <c r="Y79" s="7">
        <v>7.2712599999999998</v>
      </c>
      <c r="Z79" s="157">
        <v>46.936671362722706</v>
      </c>
      <c r="AA79" s="7">
        <v>7.9693439999999995</v>
      </c>
      <c r="AB79" s="7">
        <v>51.44286964081688</v>
      </c>
      <c r="AC79" s="7">
        <v>22.413779999999999</v>
      </c>
      <c r="AD79" s="176">
        <v>144.68307086479749</v>
      </c>
      <c r="AE79" s="1180"/>
      <c r="AF79" s="1181"/>
      <c r="AG79" s="211">
        <v>78.728663999999995</v>
      </c>
      <c r="AH79" s="157">
        <v>1016.4019520672391</v>
      </c>
      <c r="AI79" s="177">
        <f t="shared" si="3"/>
        <v>1016.4019520672391</v>
      </c>
      <c r="AJ79" s="976"/>
      <c r="AK79" s="982"/>
      <c r="AL79" s="1006"/>
      <c r="AM79" s="440"/>
      <c r="AN79" s="108"/>
      <c r="AO79" s="89"/>
    </row>
    <row r="80" spans="1:41" s="69" customFormat="1" ht="15" customHeight="1">
      <c r="A80" s="1015"/>
      <c r="B80" s="437"/>
      <c r="C80" s="239"/>
      <c r="D80" s="223" t="s">
        <v>813</v>
      </c>
      <c r="E80" s="225" t="s">
        <v>64</v>
      </c>
      <c r="F80" s="228" t="s">
        <v>64</v>
      </c>
      <c r="G80" s="428">
        <v>69.040000000000006</v>
      </c>
      <c r="H80" s="225" t="s">
        <v>64</v>
      </c>
      <c r="I80" s="228" t="s">
        <v>64</v>
      </c>
      <c r="J80" s="1057"/>
      <c r="K80" s="1057"/>
      <c r="L80" s="7">
        <v>46.458384000000002</v>
      </c>
      <c r="M80" s="225" t="s">
        <v>64</v>
      </c>
      <c r="N80" s="188"/>
      <c r="O80" s="188"/>
      <c r="P80" s="188"/>
      <c r="Q80" s="188"/>
      <c r="R80" s="214"/>
      <c r="S80" s="7">
        <v>46.458384000000002</v>
      </c>
      <c r="T80" s="157">
        <v>299.89326497074461</v>
      </c>
      <c r="U80" s="228" t="s">
        <v>64</v>
      </c>
      <c r="V80" s="7"/>
      <c r="W80" s="7">
        <v>0.89752000000000021</v>
      </c>
      <c r="X80" s="157">
        <v>5.7935765302672282</v>
      </c>
      <c r="Y80" s="7">
        <v>5.3035600000000009</v>
      </c>
      <c r="Z80" s="157">
        <v>34.234981663766895</v>
      </c>
      <c r="AA80" s="7">
        <v>5.8704640000000001</v>
      </c>
      <c r="AB80" s="7">
        <v>37.894400628597346</v>
      </c>
      <c r="AC80" s="7">
        <v>16.510680000000001</v>
      </c>
      <c r="AD80" s="176">
        <v>106.57800176793008</v>
      </c>
      <c r="AE80" s="1180"/>
      <c r="AF80" s="1181"/>
      <c r="AG80" s="211">
        <v>46.458384000000002</v>
      </c>
      <c r="AH80" s="157">
        <v>599.78652994148922</v>
      </c>
      <c r="AI80" s="177">
        <f t="shared" si="3"/>
        <v>599.78652994148922</v>
      </c>
      <c r="AJ80" s="976"/>
      <c r="AK80" s="982"/>
      <c r="AL80" s="1006"/>
      <c r="AM80" s="440"/>
      <c r="AN80" s="108"/>
      <c r="AO80" s="89"/>
    </row>
    <row r="81" spans="1:41" s="69" customFormat="1" ht="15" customHeight="1">
      <c r="A81" s="1015"/>
      <c r="B81" s="437"/>
      <c r="C81" s="420"/>
      <c r="D81" s="223" t="s">
        <v>814</v>
      </c>
      <c r="E81" s="225" t="s">
        <v>64</v>
      </c>
      <c r="F81" s="228" t="s">
        <v>64</v>
      </c>
      <c r="G81" s="428">
        <f>G80*2</f>
        <v>138.08000000000001</v>
      </c>
      <c r="H81" s="225" t="s">
        <v>64</v>
      </c>
      <c r="I81" s="228" t="s">
        <v>64</v>
      </c>
      <c r="J81" s="1057"/>
      <c r="K81" s="1057"/>
      <c r="L81" s="24">
        <v>48.156768000000007</v>
      </c>
      <c r="M81" s="225" t="s">
        <v>64</v>
      </c>
      <c r="N81" s="197"/>
      <c r="O81" s="197"/>
      <c r="P81" s="197"/>
      <c r="Q81" s="197"/>
      <c r="R81" s="213"/>
      <c r="S81" s="24">
        <v>48.156768000000007</v>
      </c>
      <c r="T81" s="159">
        <v>310.85649440494279</v>
      </c>
      <c r="U81" s="228" t="s">
        <v>64</v>
      </c>
      <c r="V81" s="24"/>
      <c r="W81" s="24">
        <v>1.7950400000000004</v>
      </c>
      <c r="X81" s="159">
        <v>11.587153060534456</v>
      </c>
      <c r="Y81" s="24">
        <v>5.4071199999999999</v>
      </c>
      <c r="Z81" s="159">
        <v>34.903471263413103</v>
      </c>
      <c r="AA81" s="24">
        <v>5.9809280000000005</v>
      </c>
      <c r="AB81" s="24">
        <v>38.607456201553283</v>
      </c>
      <c r="AC81" s="24">
        <v>16.821360000000002</v>
      </c>
      <c r="AD81" s="187">
        <v>108.58347056686867</v>
      </c>
      <c r="AE81" s="1180"/>
      <c r="AF81" s="1181"/>
      <c r="AG81" s="210">
        <v>48.156768000000007</v>
      </c>
      <c r="AH81" s="159">
        <v>621.71298880988559</v>
      </c>
      <c r="AI81" s="177">
        <f t="shared" si="3"/>
        <v>621.71298880988559</v>
      </c>
      <c r="AJ81" s="976"/>
      <c r="AK81" s="982"/>
      <c r="AL81" s="1006"/>
      <c r="AM81" s="440"/>
      <c r="AN81" s="108"/>
      <c r="AO81" s="89"/>
    </row>
    <row r="82" spans="1:41" s="69" customFormat="1" ht="15.75" customHeight="1" thickBot="1">
      <c r="A82" s="1015"/>
      <c r="B82" s="358"/>
      <c r="C82" s="238"/>
      <c r="D82" s="224" t="s">
        <v>815</v>
      </c>
      <c r="E82" s="226" t="s">
        <v>64</v>
      </c>
      <c r="F82" s="229" t="s">
        <v>64</v>
      </c>
      <c r="G82" s="429">
        <f>G80*3</f>
        <v>207.12</v>
      </c>
      <c r="H82" s="226" t="s">
        <v>64</v>
      </c>
      <c r="I82" s="229" t="s">
        <v>64</v>
      </c>
      <c r="J82" s="1059"/>
      <c r="K82" s="1059"/>
      <c r="L82" s="28">
        <v>49.855152000000004</v>
      </c>
      <c r="M82" s="409" t="s">
        <v>64</v>
      </c>
      <c r="N82" s="116"/>
      <c r="O82" s="116"/>
      <c r="P82" s="116"/>
      <c r="Q82" s="116"/>
      <c r="R82" s="175"/>
      <c r="S82" s="28">
        <v>49.855152000000004</v>
      </c>
      <c r="T82" s="118">
        <v>321.81972383914024</v>
      </c>
      <c r="U82" s="229" t="s">
        <v>64</v>
      </c>
      <c r="V82" s="28"/>
      <c r="W82" s="28">
        <v>2.6925600000000003</v>
      </c>
      <c r="X82" s="118">
        <v>17.380729590801696</v>
      </c>
      <c r="Y82" s="28">
        <v>5.5106799999999998</v>
      </c>
      <c r="Z82" s="118">
        <v>35.571960863059367</v>
      </c>
      <c r="AA82" s="28">
        <v>6.0913920000000008</v>
      </c>
      <c r="AB82" s="28">
        <v>39.320511774509256</v>
      </c>
      <c r="AC82" s="28">
        <v>17.132040000000003</v>
      </c>
      <c r="AD82" s="180">
        <v>110.58893936580743</v>
      </c>
      <c r="AE82" s="1180"/>
      <c r="AF82" s="1181"/>
      <c r="AG82" s="199">
        <v>49.855152000000004</v>
      </c>
      <c r="AH82" s="118">
        <v>643.63944767828048</v>
      </c>
      <c r="AI82" s="177">
        <f t="shared" si="3"/>
        <v>643.63944767828048</v>
      </c>
      <c r="AJ82" s="976"/>
      <c r="AK82" s="983"/>
      <c r="AL82" s="1006"/>
      <c r="AM82" s="440"/>
      <c r="AN82" s="108"/>
      <c r="AO82" s="89"/>
    </row>
    <row r="83" spans="1:41" s="69" customFormat="1" ht="15" customHeight="1">
      <c r="A83" s="1015"/>
      <c r="B83" s="232" t="s">
        <v>151</v>
      </c>
      <c r="C83" s="912" t="s">
        <v>151</v>
      </c>
      <c r="D83" s="222" t="s">
        <v>242</v>
      </c>
      <c r="E83" s="241" t="s">
        <v>79</v>
      </c>
      <c r="F83" s="241" t="s">
        <v>0</v>
      </c>
      <c r="G83" s="430">
        <v>3303.72</v>
      </c>
      <c r="H83" s="230">
        <v>3303.72</v>
      </c>
      <c r="I83" s="247" t="s">
        <v>21</v>
      </c>
      <c r="J83" s="1203" t="s">
        <v>243</v>
      </c>
      <c r="K83" s="1163" t="s">
        <v>497</v>
      </c>
      <c r="L83" s="1098" t="s">
        <v>244</v>
      </c>
      <c r="M83" s="1099"/>
      <c r="N83" s="1099"/>
      <c r="O83" s="1099"/>
      <c r="P83" s="1099"/>
      <c r="Q83" s="1099"/>
      <c r="R83" s="1100"/>
      <c r="S83" s="1098" t="s">
        <v>244</v>
      </c>
      <c r="T83" s="1099"/>
      <c r="U83" s="1099"/>
      <c r="V83" s="1099"/>
      <c r="W83" s="1099"/>
      <c r="X83" s="1099"/>
      <c r="Y83" s="1099"/>
      <c r="Z83" s="1099"/>
      <c r="AA83" s="1099"/>
      <c r="AB83" s="1099"/>
      <c r="AC83" s="1099"/>
      <c r="AD83" s="1099"/>
      <c r="AE83" s="1180"/>
      <c r="AF83" s="1181"/>
      <c r="AG83" s="1099" t="s">
        <v>245</v>
      </c>
      <c r="AH83" s="1099"/>
      <c r="AI83" s="1099"/>
      <c r="AJ83" s="976"/>
      <c r="AK83" s="981">
        <f>AI84+AI85+AI87+AI88+AI89+AI93+AI94</f>
        <v>8877.2090733487003</v>
      </c>
      <c r="AL83" s="1006"/>
      <c r="AM83" s="440"/>
      <c r="AN83" s="108"/>
      <c r="AO83" s="128"/>
    </row>
    <row r="84" spans="1:41" s="69" customFormat="1" ht="15" customHeight="1">
      <c r="A84" s="1015"/>
      <c r="B84" s="318"/>
      <c r="C84" s="239"/>
      <c r="D84" s="223" t="s">
        <v>808</v>
      </c>
      <c r="E84" s="320" t="s">
        <v>64</v>
      </c>
      <c r="F84" s="245" t="s">
        <v>21</v>
      </c>
      <c r="G84" s="430">
        <v>1101.24</v>
      </c>
      <c r="H84" s="225" t="s">
        <v>64</v>
      </c>
      <c r="I84" s="245" t="s">
        <v>21</v>
      </c>
      <c r="J84" s="1166"/>
      <c r="K84" s="1057"/>
      <c r="L84" s="7">
        <v>150.730504</v>
      </c>
      <c r="M84" s="320" t="s">
        <v>64</v>
      </c>
      <c r="N84" s="188"/>
      <c r="O84" s="188"/>
      <c r="P84" s="188"/>
      <c r="Q84" s="188"/>
      <c r="R84" s="214"/>
      <c r="S84" s="7">
        <v>150.730504</v>
      </c>
      <c r="T84" s="157">
        <v>660.35760852473038</v>
      </c>
      <c r="U84" s="245" t="s">
        <v>21</v>
      </c>
      <c r="V84" s="7"/>
      <c r="W84" s="7">
        <v>14.32</v>
      </c>
      <c r="X84" s="157">
        <v>62.72</v>
      </c>
      <c r="Y84" s="7">
        <v>6.85</v>
      </c>
      <c r="Z84" s="157">
        <v>30</v>
      </c>
      <c r="AA84" s="7">
        <v>18.401983999999999</v>
      </c>
      <c r="AB84" s="7">
        <v>80.6199795255136</v>
      </c>
      <c r="AC84" s="7">
        <v>37.954092000000003</v>
      </c>
      <c r="AD84" s="176">
        <v>166.27870777137213</v>
      </c>
      <c r="AE84" s="1180"/>
      <c r="AF84" s="1181"/>
      <c r="AG84" s="211">
        <v>150.730504</v>
      </c>
      <c r="AH84" s="7">
        <v>1320.7152170494608</v>
      </c>
      <c r="AI84" s="176">
        <f t="shared" si="3"/>
        <v>1320.7152170494608</v>
      </c>
      <c r="AJ84" s="976"/>
      <c r="AK84" s="982"/>
      <c r="AL84" s="1006"/>
      <c r="AM84" s="440"/>
      <c r="AN84" s="89"/>
      <c r="AO84" s="89"/>
    </row>
    <row r="85" spans="1:41" s="69" customFormat="1" ht="15" customHeight="1">
      <c r="A85" s="1015"/>
      <c r="B85" s="319"/>
      <c r="C85" s="239"/>
      <c r="D85" s="223" t="s">
        <v>809</v>
      </c>
      <c r="E85" s="225" t="s">
        <v>64</v>
      </c>
      <c r="F85" s="245" t="s">
        <v>21</v>
      </c>
      <c r="G85" s="430">
        <v>1101.24</v>
      </c>
      <c r="H85" s="225" t="s">
        <v>64</v>
      </c>
      <c r="I85" s="245" t="s">
        <v>21</v>
      </c>
      <c r="J85" s="1166"/>
      <c r="K85" s="1057"/>
      <c r="L85" s="7">
        <v>150.730504</v>
      </c>
      <c r="M85" s="320" t="s">
        <v>64</v>
      </c>
      <c r="N85" s="188"/>
      <c r="O85" s="188"/>
      <c r="P85" s="188"/>
      <c r="Q85" s="188"/>
      <c r="R85" s="214"/>
      <c r="S85" s="7">
        <v>150.730504</v>
      </c>
      <c r="T85" s="157">
        <v>660.35760852473038</v>
      </c>
      <c r="U85" s="245" t="s">
        <v>21</v>
      </c>
      <c r="V85" s="7"/>
      <c r="W85" s="7">
        <v>14.32</v>
      </c>
      <c r="X85" s="157">
        <v>62.72</v>
      </c>
      <c r="Y85" s="7">
        <v>6.85</v>
      </c>
      <c r="Z85" s="157">
        <v>30</v>
      </c>
      <c r="AA85" s="7">
        <v>18.401983999999999</v>
      </c>
      <c r="AB85" s="7">
        <v>80.6199795255136</v>
      </c>
      <c r="AC85" s="7">
        <v>37.954092000000003</v>
      </c>
      <c r="AD85" s="176">
        <v>166.27870777137213</v>
      </c>
      <c r="AE85" s="1180"/>
      <c r="AF85" s="1181"/>
      <c r="AG85" s="211">
        <v>150.730504</v>
      </c>
      <c r="AH85" s="7">
        <v>1320.7152170494608</v>
      </c>
      <c r="AI85" s="176">
        <f t="shared" si="3"/>
        <v>1320.7152170494608</v>
      </c>
      <c r="AJ85" s="976"/>
      <c r="AK85" s="982"/>
      <c r="AL85" s="1006"/>
      <c r="AM85" s="440"/>
      <c r="AN85" s="108"/>
      <c r="AO85" s="89"/>
    </row>
    <row r="86" spans="1:41" s="69" customFormat="1" ht="15" customHeight="1">
      <c r="A86" s="1015"/>
      <c r="B86" s="319"/>
      <c r="C86" s="239"/>
      <c r="D86" s="223" t="s">
        <v>810</v>
      </c>
      <c r="E86" s="320" t="s">
        <v>64</v>
      </c>
      <c r="F86" s="245" t="s">
        <v>21</v>
      </c>
      <c r="G86" s="428">
        <v>666.66</v>
      </c>
      <c r="H86" s="320" t="s">
        <v>64</v>
      </c>
      <c r="I86" s="245" t="s">
        <v>21</v>
      </c>
      <c r="J86" s="1166"/>
      <c r="K86" s="1057"/>
      <c r="L86" s="968" t="s">
        <v>244</v>
      </c>
      <c r="M86" s="969"/>
      <c r="N86" s="969"/>
      <c r="O86" s="969"/>
      <c r="P86" s="969"/>
      <c r="Q86" s="969"/>
      <c r="R86" s="993"/>
      <c r="S86" s="965" t="s">
        <v>244</v>
      </c>
      <c r="T86" s="939"/>
      <c r="U86" s="939"/>
      <c r="V86" s="939"/>
      <c r="W86" s="939"/>
      <c r="X86" s="939"/>
      <c r="Y86" s="939"/>
      <c r="Z86" s="939"/>
      <c r="AA86" s="939"/>
      <c r="AB86" s="939"/>
      <c r="AC86" s="939"/>
      <c r="AD86" s="939"/>
      <c r="AE86" s="1180"/>
      <c r="AF86" s="1181"/>
      <c r="AG86" s="939" t="s">
        <v>245</v>
      </c>
      <c r="AH86" s="939"/>
      <c r="AI86" s="939"/>
      <c r="AJ86" s="976"/>
      <c r="AK86" s="982"/>
      <c r="AL86" s="1006"/>
      <c r="AM86" s="440"/>
      <c r="AN86" s="108"/>
      <c r="AO86" s="128"/>
    </row>
    <row r="87" spans="1:41" s="69" customFormat="1" ht="15" customHeight="1">
      <c r="A87" s="1015"/>
      <c r="B87" s="319"/>
      <c r="C87" s="239"/>
      <c r="D87" s="223" t="s">
        <v>811</v>
      </c>
      <c r="E87" s="320" t="s">
        <v>64</v>
      </c>
      <c r="F87" s="245" t="s">
        <v>21</v>
      </c>
      <c r="G87" s="428">
        <v>666.66</v>
      </c>
      <c r="H87" s="320" t="s">
        <v>64</v>
      </c>
      <c r="I87" s="245" t="s">
        <v>21</v>
      </c>
      <c r="J87" s="1166"/>
      <c r="K87" s="1057"/>
      <c r="L87" s="7">
        <v>140.03983599999998</v>
      </c>
      <c r="M87" s="320" t="s">
        <v>64</v>
      </c>
      <c r="N87" s="188"/>
      <c r="O87" s="188"/>
      <c r="P87" s="188"/>
      <c r="Q87" s="188"/>
      <c r="R87" s="214"/>
      <c r="S87" s="7">
        <v>140.03983599999998</v>
      </c>
      <c r="T87" s="157">
        <v>613.52127635130512</v>
      </c>
      <c r="U87" s="245" t="s">
        <v>21</v>
      </c>
      <c r="V87" s="7"/>
      <c r="W87" s="7">
        <v>8.6665799999999997</v>
      </c>
      <c r="X87" s="157">
        <v>37.968705013341307</v>
      </c>
      <c r="Y87" s="7">
        <v>6.1999899999999997</v>
      </c>
      <c r="Z87" s="157">
        <v>27</v>
      </c>
      <c r="AA87" s="7">
        <v>17.706656000000002</v>
      </c>
      <c r="AB87" s="7">
        <v>77.573714018299057</v>
      </c>
      <c r="AC87" s="7">
        <v>36.519978000000002</v>
      </c>
      <c r="AD87" s="176">
        <v>159.9957851627419</v>
      </c>
      <c r="AE87" s="1180"/>
      <c r="AF87" s="1181"/>
      <c r="AG87" s="211">
        <v>140.03983599999998</v>
      </c>
      <c r="AH87" s="157">
        <v>1227.0425527026102</v>
      </c>
      <c r="AI87" s="176">
        <f t="shared" si="3"/>
        <v>1227.0425527026102</v>
      </c>
      <c r="AJ87" s="976"/>
      <c r="AK87" s="982"/>
      <c r="AL87" s="1006"/>
      <c r="AM87" s="440"/>
      <c r="AN87" s="108"/>
      <c r="AO87" s="128"/>
    </row>
    <row r="88" spans="1:41" s="69" customFormat="1" ht="15" customHeight="1">
      <c r="A88" s="1015"/>
      <c r="B88" s="319"/>
      <c r="C88" s="239"/>
      <c r="D88" s="223" t="s">
        <v>812</v>
      </c>
      <c r="E88" s="320" t="s">
        <v>64</v>
      </c>
      <c r="F88" s="245" t="s">
        <v>21</v>
      </c>
      <c r="G88" s="428">
        <v>66.599999999999994</v>
      </c>
      <c r="H88" s="225" t="s">
        <v>64</v>
      </c>
      <c r="I88" s="245" t="s">
        <v>21</v>
      </c>
      <c r="J88" s="1166"/>
      <c r="K88" s="1057"/>
      <c r="L88" s="7">
        <v>125.27836000000001</v>
      </c>
      <c r="M88" s="225" t="s">
        <v>64</v>
      </c>
      <c r="N88" s="188"/>
      <c r="O88" s="188"/>
      <c r="P88" s="188"/>
      <c r="Q88" s="188"/>
      <c r="R88" s="214"/>
      <c r="S88" s="7">
        <v>125.27836000000001</v>
      </c>
      <c r="T88" s="157">
        <v>548.85053797405419</v>
      </c>
      <c r="U88" s="245" t="s">
        <v>21</v>
      </c>
      <c r="V88" s="7"/>
      <c r="W88" s="7">
        <v>0.86580000000000001</v>
      </c>
      <c r="X88" s="157">
        <v>3.7931115619484159</v>
      </c>
      <c r="Y88" s="7">
        <v>5.2999000000000001</v>
      </c>
      <c r="Z88" s="157">
        <v>23</v>
      </c>
      <c r="AA88" s="7">
        <v>16.746560000000002</v>
      </c>
      <c r="AB88" s="7">
        <v>73.367487131973746</v>
      </c>
      <c r="AC88" s="7">
        <v>34.53978</v>
      </c>
      <c r="AD88" s="176">
        <v>151.32044220969573</v>
      </c>
      <c r="AE88" s="1180"/>
      <c r="AF88" s="1181"/>
      <c r="AG88" s="211">
        <v>125.27836000000001</v>
      </c>
      <c r="AH88" s="157">
        <v>1097.7010759481084</v>
      </c>
      <c r="AI88" s="176">
        <f t="shared" si="3"/>
        <v>1097.7010759481084</v>
      </c>
      <c r="AJ88" s="976"/>
      <c r="AK88" s="982"/>
      <c r="AL88" s="1006"/>
      <c r="AM88" s="440"/>
      <c r="AN88" s="108"/>
      <c r="AO88" s="128"/>
    </row>
    <row r="89" spans="1:41" s="69" customFormat="1" ht="15" customHeight="1">
      <c r="A89" s="1015"/>
      <c r="B89" s="319"/>
      <c r="C89" s="239"/>
      <c r="D89" s="223" t="s">
        <v>813</v>
      </c>
      <c r="E89" s="320" t="s">
        <v>64</v>
      </c>
      <c r="F89" s="245" t="s">
        <v>21</v>
      </c>
      <c r="G89" s="428">
        <v>66.599999999999994</v>
      </c>
      <c r="H89" s="225" t="s">
        <v>64</v>
      </c>
      <c r="I89" s="245" t="s">
        <v>21</v>
      </c>
      <c r="J89" s="1166"/>
      <c r="K89" s="1057"/>
      <c r="L89" s="7">
        <v>125.27836000000001</v>
      </c>
      <c r="M89" s="225" t="s">
        <v>64</v>
      </c>
      <c r="N89" s="188"/>
      <c r="O89" s="188"/>
      <c r="P89" s="188"/>
      <c r="Q89" s="188"/>
      <c r="R89" s="214"/>
      <c r="S89" s="7">
        <v>125.27836000000001</v>
      </c>
      <c r="T89" s="157">
        <v>548.85053797405419</v>
      </c>
      <c r="U89" s="245" t="s">
        <v>21</v>
      </c>
      <c r="V89" s="7"/>
      <c r="W89" s="7">
        <v>0.86580000000000001</v>
      </c>
      <c r="X89" s="157">
        <v>3.7931115619484159</v>
      </c>
      <c r="Y89" s="7">
        <v>5.2999000000000001</v>
      </c>
      <c r="Z89" s="157">
        <v>23</v>
      </c>
      <c r="AA89" s="7">
        <v>16.746560000000002</v>
      </c>
      <c r="AB89" s="7">
        <v>73.367487131973746</v>
      </c>
      <c r="AC89" s="7">
        <v>34.53978</v>
      </c>
      <c r="AD89" s="176">
        <v>151.32044220969573</v>
      </c>
      <c r="AE89" s="1180"/>
      <c r="AF89" s="1181"/>
      <c r="AG89" s="211">
        <v>125.27836000000001</v>
      </c>
      <c r="AH89" s="157">
        <v>1097.7010759481084</v>
      </c>
      <c r="AI89" s="176">
        <f t="shared" si="3"/>
        <v>1097.7010759481084</v>
      </c>
      <c r="AJ89" s="976"/>
      <c r="AK89" s="982"/>
      <c r="AL89" s="1006"/>
      <c r="AM89" s="440"/>
      <c r="AN89" s="108"/>
      <c r="AO89" s="128"/>
    </row>
    <row r="90" spans="1:41" s="69" customFormat="1" ht="15" customHeight="1">
      <c r="A90" s="1015"/>
      <c r="B90" s="319"/>
      <c r="C90" s="239"/>
      <c r="D90" s="223" t="s">
        <v>814</v>
      </c>
      <c r="E90" s="242" t="s">
        <v>78</v>
      </c>
      <c r="F90" s="242" t="s">
        <v>241</v>
      </c>
      <c r="G90" s="426">
        <v>5000</v>
      </c>
      <c r="H90" s="436">
        <v>5000</v>
      </c>
      <c r="I90" s="245" t="s">
        <v>21</v>
      </c>
      <c r="J90" s="1166"/>
      <c r="K90" s="1057"/>
      <c r="L90" s="924" t="s">
        <v>244</v>
      </c>
      <c r="M90" s="925"/>
      <c r="N90" s="925"/>
      <c r="O90" s="925"/>
      <c r="P90" s="925"/>
      <c r="Q90" s="925"/>
      <c r="R90" s="926"/>
      <c r="S90" s="924" t="s">
        <v>244</v>
      </c>
      <c r="T90" s="925"/>
      <c r="U90" s="925"/>
      <c r="V90" s="925"/>
      <c r="W90" s="925"/>
      <c r="X90" s="925"/>
      <c r="Y90" s="925"/>
      <c r="Z90" s="925"/>
      <c r="AA90" s="925"/>
      <c r="AB90" s="925"/>
      <c r="AC90" s="925"/>
      <c r="AD90" s="925"/>
      <c r="AE90" s="1180"/>
      <c r="AF90" s="1181"/>
      <c r="AG90" s="925" t="s">
        <v>245</v>
      </c>
      <c r="AH90" s="925"/>
      <c r="AI90" s="925"/>
      <c r="AJ90" s="976"/>
      <c r="AK90" s="982"/>
      <c r="AL90" s="1006"/>
      <c r="AM90" s="440"/>
      <c r="AN90" s="108"/>
      <c r="AO90" s="128"/>
    </row>
    <row r="91" spans="1:41" s="69" customFormat="1" ht="15" customHeight="1">
      <c r="A91" s="1015"/>
      <c r="B91" s="319"/>
      <c r="C91" s="239"/>
      <c r="D91" s="223" t="s">
        <v>815</v>
      </c>
      <c r="E91" s="320" t="s">
        <v>64</v>
      </c>
      <c r="F91" s="245" t="s">
        <v>21</v>
      </c>
      <c r="G91" s="431">
        <v>40903</v>
      </c>
      <c r="H91" s="225" t="s">
        <v>64</v>
      </c>
      <c r="I91" s="245" t="s">
        <v>21</v>
      </c>
      <c r="J91" s="1166"/>
      <c r="K91" s="1057"/>
      <c r="L91" s="971"/>
      <c r="M91" s="932"/>
      <c r="N91" s="932"/>
      <c r="O91" s="932"/>
      <c r="P91" s="932"/>
      <c r="Q91" s="932"/>
      <c r="R91" s="933"/>
      <c r="S91" s="971"/>
      <c r="T91" s="932"/>
      <c r="U91" s="932"/>
      <c r="V91" s="932"/>
      <c r="W91" s="932"/>
      <c r="X91" s="932"/>
      <c r="Y91" s="932"/>
      <c r="Z91" s="932"/>
      <c r="AA91" s="932"/>
      <c r="AB91" s="932"/>
      <c r="AC91" s="932"/>
      <c r="AD91" s="932"/>
      <c r="AE91" s="1180"/>
      <c r="AF91" s="1181"/>
      <c r="AG91" s="932"/>
      <c r="AH91" s="932"/>
      <c r="AI91" s="932"/>
      <c r="AJ91" s="976"/>
      <c r="AK91" s="982"/>
      <c r="AL91" s="1006"/>
      <c r="AM91" s="440"/>
      <c r="AN91" s="108"/>
      <c r="AO91" s="128"/>
    </row>
    <row r="92" spans="1:41" s="69" customFormat="1" ht="15" customHeight="1">
      <c r="A92" s="1015"/>
      <c r="B92" s="319"/>
      <c r="C92" s="239"/>
      <c r="D92" s="223" t="s">
        <v>816</v>
      </c>
      <c r="E92" s="320" t="s">
        <v>64</v>
      </c>
      <c r="F92" s="245" t="s">
        <v>21</v>
      </c>
      <c r="G92" s="431">
        <v>15000</v>
      </c>
      <c r="H92" s="225" t="s">
        <v>64</v>
      </c>
      <c r="I92" s="245" t="s">
        <v>21</v>
      </c>
      <c r="J92" s="1166"/>
      <c r="K92" s="1057"/>
      <c r="L92" s="968"/>
      <c r="M92" s="969"/>
      <c r="N92" s="969"/>
      <c r="O92" s="969"/>
      <c r="P92" s="969"/>
      <c r="Q92" s="969"/>
      <c r="R92" s="993"/>
      <c r="S92" s="968"/>
      <c r="T92" s="969"/>
      <c r="U92" s="969"/>
      <c r="V92" s="969"/>
      <c r="W92" s="969"/>
      <c r="X92" s="969"/>
      <c r="Y92" s="969"/>
      <c r="Z92" s="969"/>
      <c r="AA92" s="969"/>
      <c r="AB92" s="969"/>
      <c r="AC92" s="969"/>
      <c r="AD92" s="969"/>
      <c r="AE92" s="1180"/>
      <c r="AF92" s="1181"/>
      <c r="AG92" s="969"/>
      <c r="AH92" s="969"/>
      <c r="AI92" s="969"/>
      <c r="AJ92" s="976"/>
      <c r="AK92" s="982"/>
      <c r="AL92" s="1006"/>
      <c r="AM92" s="440"/>
      <c r="AN92" s="108"/>
      <c r="AO92" s="128"/>
    </row>
    <row r="93" spans="1:41" s="69" customFormat="1" ht="15" customHeight="1">
      <c r="A93" s="1015"/>
      <c r="B93" s="319"/>
      <c r="C93" s="239"/>
      <c r="D93" s="223" t="s">
        <v>820</v>
      </c>
      <c r="E93" s="320" t="s">
        <v>64</v>
      </c>
      <c r="F93" s="245" t="s">
        <v>21</v>
      </c>
      <c r="G93" s="426">
        <v>1500</v>
      </c>
      <c r="H93" s="225" t="s">
        <v>64</v>
      </c>
      <c r="I93" s="245" t="s">
        <v>21</v>
      </c>
      <c r="J93" s="1166"/>
      <c r="K93" s="1057"/>
      <c r="L93" s="7">
        <v>160.53999999999996</v>
      </c>
      <c r="M93" s="225" t="s">
        <v>64</v>
      </c>
      <c r="N93" s="188"/>
      <c r="O93" s="188"/>
      <c r="P93" s="188"/>
      <c r="Q93" s="188"/>
      <c r="R93" s="214"/>
      <c r="S93" s="7">
        <v>160.53999999999996</v>
      </c>
      <c r="T93" s="157">
        <v>703</v>
      </c>
      <c r="U93" s="245" t="s">
        <v>21</v>
      </c>
      <c r="V93" s="7"/>
      <c r="W93" s="7">
        <v>19.5</v>
      </c>
      <c r="X93" s="439">
        <v>85.430440584423792</v>
      </c>
      <c r="Y93" s="7">
        <v>7.45</v>
      </c>
      <c r="Z93" s="157">
        <v>33</v>
      </c>
      <c r="AA93" s="7">
        <v>19.04</v>
      </c>
      <c r="AB93" s="7">
        <v>83.415158396278358</v>
      </c>
      <c r="AC93" s="7">
        <v>39.270000000000003</v>
      </c>
      <c r="AD93" s="176">
        <v>172.04376419232437</v>
      </c>
      <c r="AE93" s="1180"/>
      <c r="AF93" s="1181"/>
      <c r="AG93" s="211">
        <v>160.53999999999996</v>
      </c>
      <c r="AH93" s="157">
        <v>1406.6669673254762</v>
      </c>
      <c r="AI93" s="176">
        <f t="shared" si="3"/>
        <v>1406.6669673254762</v>
      </c>
      <c r="AJ93" s="976"/>
      <c r="AK93" s="982"/>
      <c r="AL93" s="1006"/>
      <c r="AM93" s="440"/>
      <c r="AN93" s="108"/>
      <c r="AO93" s="128"/>
    </row>
    <row r="94" spans="1:41" s="69" customFormat="1" ht="15" customHeight="1">
      <c r="A94" s="1015"/>
      <c r="B94" s="319"/>
      <c r="C94" s="239"/>
      <c r="D94" s="223" t="s">
        <v>821</v>
      </c>
      <c r="E94" s="320" t="s">
        <v>64</v>
      </c>
      <c r="F94" s="245" t="s">
        <v>21</v>
      </c>
      <c r="G94" s="426">
        <v>1500</v>
      </c>
      <c r="H94" s="225" t="s">
        <v>64</v>
      </c>
      <c r="I94" s="245" t="s">
        <v>21</v>
      </c>
      <c r="J94" s="1166"/>
      <c r="K94" s="1057"/>
      <c r="L94" s="7">
        <v>160.53999999999996</v>
      </c>
      <c r="M94" s="225" t="s">
        <v>64</v>
      </c>
      <c r="N94" s="188"/>
      <c r="O94" s="188"/>
      <c r="P94" s="188"/>
      <c r="Q94" s="188"/>
      <c r="R94" s="214"/>
      <c r="S94" s="7">
        <v>160.53999999999996</v>
      </c>
      <c r="T94" s="157">
        <v>703</v>
      </c>
      <c r="U94" s="245" t="s">
        <v>21</v>
      </c>
      <c r="V94" s="7"/>
      <c r="W94" s="7">
        <v>19.5</v>
      </c>
      <c r="X94" s="439">
        <v>85.430440584423792</v>
      </c>
      <c r="Y94" s="7">
        <v>7.45</v>
      </c>
      <c r="Z94" s="157">
        <v>33</v>
      </c>
      <c r="AA94" s="7">
        <v>19.04</v>
      </c>
      <c r="AB94" s="7">
        <v>83.415158396278358</v>
      </c>
      <c r="AC94" s="7">
        <v>39.270000000000003</v>
      </c>
      <c r="AD94" s="176">
        <v>172.04376419232437</v>
      </c>
      <c r="AE94" s="1180"/>
      <c r="AF94" s="1181"/>
      <c r="AG94" s="211">
        <v>160.53999999999996</v>
      </c>
      <c r="AH94" s="157">
        <v>1406.6669673254762</v>
      </c>
      <c r="AI94" s="176">
        <f t="shared" si="3"/>
        <v>1406.6669673254762</v>
      </c>
      <c r="AJ94" s="976"/>
      <c r="AK94" s="982"/>
      <c r="AL94" s="1006"/>
      <c r="AM94" s="440"/>
      <c r="AN94" s="108"/>
      <c r="AO94" s="128"/>
    </row>
    <row r="95" spans="1:41" s="69" customFormat="1" ht="15" customHeight="1">
      <c r="A95" s="1015"/>
      <c r="B95" s="319"/>
      <c r="C95" s="239"/>
      <c r="D95" s="223" t="s">
        <v>822</v>
      </c>
      <c r="E95" s="320" t="s">
        <v>64</v>
      </c>
      <c r="F95" s="245" t="s">
        <v>21</v>
      </c>
      <c r="G95" s="426"/>
      <c r="H95" s="320" t="s">
        <v>64</v>
      </c>
      <c r="I95" s="245" t="s">
        <v>21</v>
      </c>
      <c r="J95" s="1166"/>
      <c r="K95" s="1057"/>
      <c r="L95" s="924" t="s">
        <v>244</v>
      </c>
      <c r="M95" s="925"/>
      <c r="N95" s="925"/>
      <c r="O95" s="925"/>
      <c r="P95" s="925"/>
      <c r="Q95" s="925"/>
      <c r="R95" s="926"/>
      <c r="S95" s="924" t="s">
        <v>244</v>
      </c>
      <c r="T95" s="925"/>
      <c r="U95" s="925"/>
      <c r="V95" s="925"/>
      <c r="W95" s="925"/>
      <c r="X95" s="925"/>
      <c r="Y95" s="925"/>
      <c r="Z95" s="925"/>
      <c r="AA95" s="925"/>
      <c r="AB95" s="925"/>
      <c r="AC95" s="925"/>
      <c r="AD95" s="925"/>
      <c r="AE95" s="1180"/>
      <c r="AF95" s="1181"/>
      <c r="AG95" s="925" t="s">
        <v>245</v>
      </c>
      <c r="AH95" s="925"/>
      <c r="AI95" s="925"/>
      <c r="AJ95" s="976"/>
      <c r="AK95" s="982"/>
      <c r="AL95" s="1006"/>
      <c r="AM95" s="440"/>
      <c r="AN95" s="108"/>
      <c r="AO95" s="128"/>
    </row>
    <row r="96" spans="1:41" s="69" customFormat="1" ht="15.75" customHeight="1" thickBot="1">
      <c r="A96" s="1015"/>
      <c r="B96" s="359"/>
      <c r="C96" s="311"/>
      <c r="D96" s="224" t="s">
        <v>823</v>
      </c>
      <c r="E96" s="226" t="s">
        <v>64</v>
      </c>
      <c r="F96" s="246" t="s">
        <v>21</v>
      </c>
      <c r="G96" s="432">
        <v>164206.72</v>
      </c>
      <c r="H96" s="226" t="s">
        <v>64</v>
      </c>
      <c r="I96" s="246" t="s">
        <v>21</v>
      </c>
      <c r="J96" s="1168"/>
      <c r="K96" s="1059"/>
      <c r="L96" s="927"/>
      <c r="M96" s="928"/>
      <c r="N96" s="928"/>
      <c r="O96" s="928"/>
      <c r="P96" s="928"/>
      <c r="Q96" s="928"/>
      <c r="R96" s="929"/>
      <c r="S96" s="927"/>
      <c r="T96" s="928"/>
      <c r="U96" s="928"/>
      <c r="V96" s="928"/>
      <c r="W96" s="928"/>
      <c r="X96" s="928"/>
      <c r="Y96" s="928"/>
      <c r="Z96" s="928"/>
      <c r="AA96" s="928"/>
      <c r="AB96" s="928"/>
      <c r="AC96" s="928"/>
      <c r="AD96" s="928"/>
      <c r="AE96" s="1180"/>
      <c r="AF96" s="1181"/>
      <c r="AG96" s="928"/>
      <c r="AH96" s="928"/>
      <c r="AI96" s="928"/>
      <c r="AJ96" s="976"/>
      <c r="AK96" s="983"/>
      <c r="AL96" s="1006"/>
      <c r="AM96" s="440"/>
      <c r="AN96" s="108"/>
      <c r="AO96" s="128"/>
    </row>
    <row r="97" spans="1:41" s="69" customFormat="1" ht="12.75" customHeight="1">
      <c r="A97" s="1015"/>
      <c r="B97" s="465" t="s">
        <v>151</v>
      </c>
      <c r="C97" s="386" t="s">
        <v>151</v>
      </c>
      <c r="D97" s="248" t="s">
        <v>824</v>
      </c>
      <c r="E97" s="240" t="s">
        <v>1</v>
      </c>
      <c r="F97" s="247" t="s">
        <v>21</v>
      </c>
      <c r="G97" s="433">
        <v>26608.84</v>
      </c>
      <c r="H97" s="320" t="s">
        <v>221</v>
      </c>
      <c r="I97" s="247" t="s">
        <v>21</v>
      </c>
      <c r="J97" s="1287" t="s">
        <v>310</v>
      </c>
      <c r="K97" s="1163" t="s">
        <v>498</v>
      </c>
      <c r="L97" s="88">
        <v>781.56546400000002</v>
      </c>
      <c r="M97" s="50">
        <v>70.48</v>
      </c>
      <c r="N97" s="114"/>
      <c r="O97" s="114"/>
      <c r="P97" s="114"/>
      <c r="Q97" s="114"/>
      <c r="R97" s="173"/>
      <c r="S97" s="88">
        <v>719.32546400000001</v>
      </c>
      <c r="T97" s="109">
        <v>3038.8437841586906</v>
      </c>
      <c r="U97" s="247" t="s">
        <v>21</v>
      </c>
      <c r="V97" s="88"/>
      <c r="W97" s="88">
        <v>345.91492000000005</v>
      </c>
      <c r="X97" s="109">
        <v>1461.3432404358077</v>
      </c>
      <c r="Y97" s="88">
        <v>39.913259999999994</v>
      </c>
      <c r="Z97" s="109">
        <v>168.61652774259306</v>
      </c>
      <c r="AA97" s="88">
        <v>51.02214399999999</v>
      </c>
      <c r="AB97" s="88">
        <v>215.54683228737971</v>
      </c>
      <c r="AC97" s="88">
        <v>105.728172</v>
      </c>
      <c r="AD97" s="361">
        <v>446.65650581314736</v>
      </c>
      <c r="AE97" s="1180"/>
      <c r="AF97" s="1181"/>
      <c r="AG97" s="445">
        <v>719.32546400000001</v>
      </c>
      <c r="AH97" s="109">
        <v>6077.6875683173812</v>
      </c>
      <c r="AI97" s="179">
        <f t="shared" si="3"/>
        <v>6077.6875683173812</v>
      </c>
      <c r="AJ97" s="976"/>
      <c r="AK97" s="981">
        <f>SUM(AI97:AI109)</f>
        <v>12519.601108860184</v>
      </c>
      <c r="AL97" s="1006"/>
      <c r="AM97" s="440"/>
      <c r="AN97" s="89"/>
      <c r="AO97" s="128"/>
    </row>
    <row r="98" spans="1:41" s="69" customFormat="1" ht="15" customHeight="1">
      <c r="A98" s="1015"/>
      <c r="B98" s="438"/>
      <c r="C98" s="424"/>
      <c r="D98" s="223" t="s">
        <v>808</v>
      </c>
      <c r="E98" s="320" t="s">
        <v>64</v>
      </c>
      <c r="F98" s="245" t="s">
        <v>21</v>
      </c>
      <c r="G98" s="433">
        <v>778</v>
      </c>
      <c r="H98" s="225" t="s">
        <v>64</v>
      </c>
      <c r="I98" s="245" t="s">
        <v>21</v>
      </c>
      <c r="J98" s="1288"/>
      <c r="K98" s="1057"/>
      <c r="L98" s="24">
        <v>68.538799999999995</v>
      </c>
      <c r="M98" s="225" t="s">
        <v>64</v>
      </c>
      <c r="N98" s="197"/>
      <c r="O98" s="197"/>
      <c r="P98" s="197"/>
      <c r="Q98" s="197"/>
      <c r="R98" s="213"/>
      <c r="S98" s="24">
        <v>68.538799999999995</v>
      </c>
      <c r="T98" s="159">
        <v>289.54724499186608</v>
      </c>
      <c r="U98" s="245" t="s">
        <v>21</v>
      </c>
      <c r="V98" s="24"/>
      <c r="W98" s="24">
        <v>10.114000000000001</v>
      </c>
      <c r="X98" s="159">
        <v>42.72734328362521</v>
      </c>
      <c r="Y98" s="24">
        <v>6.3670000000000009</v>
      </c>
      <c r="Z98" s="159">
        <v>26.897863821123373</v>
      </c>
      <c r="AA98" s="24">
        <v>7.6448</v>
      </c>
      <c r="AB98" s="24">
        <v>32.296024711751834</v>
      </c>
      <c r="AC98" s="24">
        <v>15.767399999999999</v>
      </c>
      <c r="AD98" s="187">
        <v>66.61055096798809</v>
      </c>
      <c r="AE98" s="1180"/>
      <c r="AF98" s="1181"/>
      <c r="AG98" s="210">
        <v>68.538799999999995</v>
      </c>
      <c r="AH98" s="159">
        <v>579.09448998373216</v>
      </c>
      <c r="AI98" s="176">
        <f t="shared" si="3"/>
        <v>579.09448998373216</v>
      </c>
      <c r="AJ98" s="976"/>
      <c r="AK98" s="982"/>
      <c r="AL98" s="1006"/>
      <c r="AM98" s="440"/>
      <c r="AN98" s="89"/>
      <c r="AO98" s="128"/>
    </row>
    <row r="99" spans="1:41" s="69" customFormat="1" ht="15" customHeight="1">
      <c r="A99" s="1015"/>
      <c r="B99" s="438"/>
      <c r="C99" s="424"/>
      <c r="D99" s="223" t="s">
        <v>809</v>
      </c>
      <c r="E99" s="320" t="s">
        <v>64</v>
      </c>
      <c r="F99" s="245" t="s">
        <v>21</v>
      </c>
      <c r="G99" s="433">
        <v>778</v>
      </c>
      <c r="H99" s="225" t="s">
        <v>64</v>
      </c>
      <c r="I99" s="245" t="s">
        <v>21</v>
      </c>
      <c r="J99" s="1288"/>
      <c r="K99" s="1057"/>
      <c r="L99" s="7">
        <v>68.538799999999995</v>
      </c>
      <c r="M99" s="225" t="s">
        <v>64</v>
      </c>
      <c r="N99" s="188"/>
      <c r="O99" s="188"/>
      <c r="P99" s="188"/>
      <c r="Q99" s="188"/>
      <c r="R99" s="214"/>
      <c r="S99" s="7">
        <v>68.538799999999995</v>
      </c>
      <c r="T99" s="157">
        <v>289.54724499186608</v>
      </c>
      <c r="U99" s="245" t="s">
        <v>21</v>
      </c>
      <c r="V99" s="7"/>
      <c r="W99" s="7">
        <v>10.114000000000001</v>
      </c>
      <c r="X99" s="157">
        <v>42.72734328362521</v>
      </c>
      <c r="Y99" s="7">
        <v>6.3670000000000009</v>
      </c>
      <c r="Z99" s="157">
        <v>26.897863821123373</v>
      </c>
      <c r="AA99" s="7">
        <v>7.6448</v>
      </c>
      <c r="AB99" s="7">
        <v>32.296024711751834</v>
      </c>
      <c r="AC99" s="7">
        <v>15.767399999999999</v>
      </c>
      <c r="AD99" s="176">
        <v>66.61055096798809</v>
      </c>
      <c r="AE99" s="1180"/>
      <c r="AF99" s="1181"/>
      <c r="AG99" s="211">
        <v>68.538799999999995</v>
      </c>
      <c r="AH99" s="157">
        <v>579.09448998373216</v>
      </c>
      <c r="AI99" s="176">
        <f t="shared" si="3"/>
        <v>579.09448998373216</v>
      </c>
      <c r="AJ99" s="976"/>
      <c r="AK99" s="982"/>
      <c r="AL99" s="1006"/>
      <c r="AM99" s="440"/>
      <c r="AN99" s="89"/>
      <c r="AO99" s="128"/>
    </row>
    <row r="100" spans="1:41" s="69" customFormat="1" ht="15" customHeight="1">
      <c r="A100" s="1015"/>
      <c r="B100" s="438"/>
      <c r="C100" s="424"/>
      <c r="D100" s="223" t="s">
        <v>810</v>
      </c>
      <c r="E100" s="320" t="s">
        <v>64</v>
      </c>
      <c r="F100" s="245" t="s">
        <v>21</v>
      </c>
      <c r="G100" s="433">
        <v>150</v>
      </c>
      <c r="H100" s="225" t="s">
        <v>64</v>
      </c>
      <c r="I100" s="245" t="s">
        <v>21</v>
      </c>
      <c r="J100" s="1288"/>
      <c r="K100" s="1057"/>
      <c r="L100" s="7">
        <v>53.089999999999996</v>
      </c>
      <c r="M100" s="225" t="s">
        <v>64</v>
      </c>
      <c r="N100" s="188"/>
      <c r="O100" s="188"/>
      <c r="P100" s="188"/>
      <c r="Q100" s="188"/>
      <c r="R100" s="214"/>
      <c r="S100" s="7">
        <v>53.089999999999996</v>
      </c>
      <c r="T100" s="157">
        <v>224.28264335847973</v>
      </c>
      <c r="U100" s="245" t="s">
        <v>21</v>
      </c>
      <c r="V100" s="7"/>
      <c r="W100" s="7">
        <v>1.9500000000000002</v>
      </c>
      <c r="X100" s="157">
        <v>8.2379196562259445</v>
      </c>
      <c r="Y100" s="7">
        <v>5.4249999999999998</v>
      </c>
      <c r="Z100" s="157">
        <v>22.918314941038862</v>
      </c>
      <c r="AA100" s="7">
        <v>6.6400000000000006</v>
      </c>
      <c r="AB100" s="7">
        <v>28.051172572995011</v>
      </c>
      <c r="AC100" s="7">
        <v>13.695</v>
      </c>
      <c r="AD100" s="176">
        <v>57.855543431802161</v>
      </c>
      <c r="AE100" s="1180"/>
      <c r="AF100" s="1181"/>
      <c r="AG100" s="211">
        <v>53.089999999999996</v>
      </c>
      <c r="AH100" s="157">
        <v>448.56528671695946</v>
      </c>
      <c r="AI100" s="176">
        <f t="shared" si="3"/>
        <v>448.56528671695946</v>
      </c>
      <c r="AJ100" s="976"/>
      <c r="AK100" s="982"/>
      <c r="AL100" s="1006"/>
      <c r="AM100" s="440"/>
      <c r="AN100" s="89"/>
      <c r="AO100" s="128"/>
    </row>
    <row r="101" spans="1:41" s="69" customFormat="1" ht="15" customHeight="1">
      <c r="A101" s="1015"/>
      <c r="B101" s="438"/>
      <c r="C101" s="424"/>
      <c r="D101" s="223" t="s">
        <v>811</v>
      </c>
      <c r="E101" s="320" t="s">
        <v>64</v>
      </c>
      <c r="F101" s="245" t="s">
        <v>21</v>
      </c>
      <c r="G101" s="434">
        <v>1111.1099999999999</v>
      </c>
      <c r="H101" s="225" t="s">
        <v>64</v>
      </c>
      <c r="I101" s="245" t="s">
        <v>21</v>
      </c>
      <c r="J101" s="1288"/>
      <c r="K101" s="1057"/>
      <c r="L101" s="7">
        <v>76.733305999999985</v>
      </c>
      <c r="M101" s="225" t="s">
        <v>64</v>
      </c>
      <c r="N101" s="188"/>
      <c r="O101" s="188"/>
      <c r="P101" s="188"/>
      <c r="Q101" s="188"/>
      <c r="R101" s="214"/>
      <c r="S101" s="7">
        <v>76.733305999999985</v>
      </c>
      <c r="T101" s="157">
        <v>324.16554347928189</v>
      </c>
      <c r="U101" s="245" t="s">
        <v>21</v>
      </c>
      <c r="V101" s="7"/>
      <c r="W101" s="7">
        <v>14.444430000000001</v>
      </c>
      <c r="X101" s="157">
        <v>61.021566061528141</v>
      </c>
      <c r="Y101" s="7">
        <v>6.8666649999999994</v>
      </c>
      <c r="Z101" s="157">
        <v>29.008735680112153</v>
      </c>
      <c r="AA101" s="7">
        <v>8.1777759999999997</v>
      </c>
      <c r="AB101" s="7">
        <v>34.547621361339871</v>
      </c>
      <c r="AC101" s="7">
        <v>16.866662999999999</v>
      </c>
      <c r="AD101" s="176">
        <v>71.254469057763487</v>
      </c>
      <c r="AE101" s="1180"/>
      <c r="AF101" s="1181"/>
      <c r="AG101" s="211">
        <v>76.733305999999985</v>
      </c>
      <c r="AH101" s="157">
        <v>648.33108695856379</v>
      </c>
      <c r="AI101" s="176">
        <f t="shared" si="3"/>
        <v>648.33108695856379</v>
      </c>
      <c r="AJ101" s="976"/>
      <c r="AK101" s="982"/>
      <c r="AL101" s="1006"/>
      <c r="AM101" s="440"/>
      <c r="AN101" s="89"/>
      <c r="AO101" s="128"/>
    </row>
    <row r="102" spans="1:41" s="69" customFormat="1" ht="15" customHeight="1">
      <c r="A102" s="1015"/>
      <c r="B102" s="438"/>
      <c r="C102" s="424"/>
      <c r="D102" s="223" t="s">
        <v>812</v>
      </c>
      <c r="E102" s="320" t="s">
        <v>64</v>
      </c>
      <c r="F102" s="245" t="s">
        <v>21</v>
      </c>
      <c r="G102" s="434">
        <f>9*G101</f>
        <v>9999.99</v>
      </c>
      <c r="H102" s="225" t="s">
        <v>64</v>
      </c>
      <c r="I102" s="245" t="s">
        <v>21</v>
      </c>
      <c r="J102" s="1288"/>
      <c r="K102" s="1057"/>
      <c r="L102" s="7">
        <v>295.39975400000003</v>
      </c>
      <c r="M102" s="225" t="s">
        <v>64</v>
      </c>
      <c r="N102" s="188"/>
      <c r="O102" s="188"/>
      <c r="P102" s="188"/>
      <c r="Q102" s="188"/>
      <c r="R102" s="214"/>
      <c r="S102" s="7">
        <v>295.39975400000003</v>
      </c>
      <c r="T102" s="157">
        <v>1247.9381743184158</v>
      </c>
      <c r="U102" s="245" t="s">
        <v>21</v>
      </c>
      <c r="V102" s="7"/>
      <c r="W102" s="7">
        <v>129.99987000000002</v>
      </c>
      <c r="X102" s="157">
        <v>549.19409455375285</v>
      </c>
      <c r="Y102" s="7">
        <v>20.199984999999998</v>
      </c>
      <c r="Z102" s="157">
        <v>85.336335121522737</v>
      </c>
      <c r="AA102" s="7">
        <v>22.399984</v>
      </c>
      <c r="AB102" s="7">
        <v>94.630394098844491</v>
      </c>
      <c r="AC102" s="7">
        <v>46.199967000000001</v>
      </c>
      <c r="AD102" s="176">
        <v>195.17518782886665</v>
      </c>
      <c r="AE102" s="1180"/>
      <c r="AF102" s="1181"/>
      <c r="AG102" s="211">
        <v>295.39975400000003</v>
      </c>
      <c r="AH102" s="157">
        <v>2495.8763486368316</v>
      </c>
      <c r="AI102" s="176">
        <f t="shared" si="3"/>
        <v>2495.8763486368316</v>
      </c>
      <c r="AJ102" s="976"/>
      <c r="AK102" s="982"/>
      <c r="AL102" s="1006"/>
      <c r="AM102" s="440"/>
      <c r="AN102" s="89"/>
      <c r="AO102" s="128"/>
    </row>
    <row r="103" spans="1:41" s="69" customFormat="1" ht="15" customHeight="1">
      <c r="A103" s="1015"/>
      <c r="B103" s="438"/>
      <c r="C103" s="424"/>
      <c r="D103" s="223" t="s">
        <v>813</v>
      </c>
      <c r="E103" s="320" t="s">
        <v>64</v>
      </c>
      <c r="F103" s="245" t="s">
        <v>21</v>
      </c>
      <c r="G103" s="434">
        <v>111.11</v>
      </c>
      <c r="H103" s="225" t="s">
        <v>64</v>
      </c>
      <c r="I103" s="245" t="s">
        <v>21</v>
      </c>
      <c r="J103" s="1288"/>
      <c r="K103" s="1057"/>
      <c r="L103" s="7">
        <v>52.133305999999997</v>
      </c>
      <c r="M103" s="225" t="s">
        <v>64</v>
      </c>
      <c r="N103" s="188"/>
      <c r="O103" s="188"/>
      <c r="P103" s="188"/>
      <c r="Q103" s="188"/>
      <c r="R103" s="214"/>
      <c r="S103" s="7">
        <v>52.133305999999997</v>
      </c>
      <c r="T103" s="157">
        <v>220.24101858535482</v>
      </c>
      <c r="U103" s="245" t="s">
        <v>21</v>
      </c>
      <c r="V103" s="7"/>
      <c r="W103" s="7">
        <v>1.4444300000000001</v>
      </c>
      <c r="X103" s="157">
        <v>6.1021016866884281</v>
      </c>
      <c r="Y103" s="7">
        <v>5.3666649999999994</v>
      </c>
      <c r="Z103" s="157">
        <v>22.671874406092201</v>
      </c>
      <c r="AA103" s="7">
        <v>6.5777760000000001</v>
      </c>
      <c r="AB103" s="7">
        <v>27.788302669051927</v>
      </c>
      <c r="AC103" s="7">
        <v>13.566663</v>
      </c>
      <c r="AD103" s="176">
        <v>57.313374254919601</v>
      </c>
      <c r="AE103" s="1180"/>
      <c r="AF103" s="1181"/>
      <c r="AG103" s="211">
        <v>52.133305999999997</v>
      </c>
      <c r="AH103" s="157">
        <v>440.48203717070965</v>
      </c>
      <c r="AI103" s="176">
        <f t="shared" si="3"/>
        <v>440.48203717070965</v>
      </c>
      <c r="AJ103" s="976"/>
      <c r="AK103" s="982"/>
      <c r="AL103" s="1006"/>
      <c r="AM103" s="440"/>
      <c r="AN103" s="89"/>
      <c r="AO103" s="128"/>
    </row>
    <row r="104" spans="1:41" s="69" customFormat="1" ht="15" customHeight="1">
      <c r="A104" s="1015"/>
      <c r="B104" s="438"/>
      <c r="C104" s="424"/>
      <c r="D104" s="223" t="s">
        <v>814</v>
      </c>
      <c r="E104" s="320" t="s">
        <v>64</v>
      </c>
      <c r="F104" s="245" t="s">
        <v>21</v>
      </c>
      <c r="G104" s="434">
        <v>999.99</v>
      </c>
      <c r="H104" s="225" t="s">
        <v>64</v>
      </c>
      <c r="I104" s="245" t="s">
        <v>21</v>
      </c>
      <c r="J104" s="1288"/>
      <c r="K104" s="1057"/>
      <c r="L104" s="7">
        <v>73.999753999999996</v>
      </c>
      <c r="M104" s="225" t="s">
        <v>64</v>
      </c>
      <c r="N104" s="188"/>
      <c r="O104" s="188"/>
      <c r="P104" s="188"/>
      <c r="Q104" s="188"/>
      <c r="R104" s="214"/>
      <c r="S104" s="7">
        <v>73.999753999999996</v>
      </c>
      <c r="T104" s="157">
        <v>312.6174502730687</v>
      </c>
      <c r="U104" s="245" t="s">
        <v>21</v>
      </c>
      <c r="V104" s="7"/>
      <c r="W104" s="7">
        <v>12.999870000000001</v>
      </c>
      <c r="X104" s="157">
        <v>54.918915180195825</v>
      </c>
      <c r="Y104" s="7">
        <v>6.6999849999999999</v>
      </c>
      <c r="Z104" s="157">
        <v>28.30458365534307</v>
      </c>
      <c r="AA104" s="7">
        <v>7.9999839999999995</v>
      </c>
      <c r="AB104" s="7">
        <v>33.796525868252829</v>
      </c>
      <c r="AC104" s="7">
        <v>16.499966999999998</v>
      </c>
      <c r="AD104" s="176">
        <v>69.705334603271524</v>
      </c>
      <c r="AE104" s="1180"/>
      <c r="AF104" s="1181"/>
      <c r="AG104" s="211">
        <v>73.999753999999996</v>
      </c>
      <c r="AH104" s="157">
        <v>625.2349005461374</v>
      </c>
      <c r="AI104" s="176">
        <f t="shared" si="3"/>
        <v>625.2349005461374</v>
      </c>
      <c r="AJ104" s="976"/>
      <c r="AK104" s="982"/>
      <c r="AL104" s="1006"/>
      <c r="AM104" s="440"/>
      <c r="AN104" s="89"/>
      <c r="AO104" s="128"/>
    </row>
    <row r="105" spans="1:41" s="69" customFormat="1" ht="15" customHeight="1">
      <c r="A105" s="1015"/>
      <c r="B105" s="438"/>
      <c r="C105" s="424"/>
      <c r="D105" s="223" t="s">
        <v>815</v>
      </c>
      <c r="E105" s="320" t="s">
        <v>64</v>
      </c>
      <c r="F105" s="245" t="s">
        <v>21</v>
      </c>
      <c r="G105" s="434">
        <v>999.99</v>
      </c>
      <c r="H105" s="225" t="s">
        <v>64</v>
      </c>
      <c r="I105" s="245" t="s">
        <v>21</v>
      </c>
      <c r="J105" s="1288"/>
      <c r="K105" s="1057"/>
      <c r="L105" s="7">
        <v>74</v>
      </c>
      <c r="M105" s="225" t="s">
        <v>64</v>
      </c>
      <c r="N105" s="188"/>
      <c r="O105" s="188"/>
      <c r="P105" s="188"/>
      <c r="Q105" s="188"/>
      <c r="R105" s="214"/>
      <c r="S105" s="7">
        <v>73.999753999999996</v>
      </c>
      <c r="T105" s="157">
        <v>312.6174502730687</v>
      </c>
      <c r="U105" s="245" t="s">
        <v>21</v>
      </c>
      <c r="V105" s="7"/>
      <c r="W105" s="7">
        <v>12.999870000000001</v>
      </c>
      <c r="X105" s="157">
        <v>54.918915180195825</v>
      </c>
      <c r="Y105" s="7">
        <v>6.6999849999999999</v>
      </c>
      <c r="Z105" s="157">
        <v>28.30458365534307</v>
      </c>
      <c r="AA105" s="7">
        <v>7.9999839999999995</v>
      </c>
      <c r="AB105" s="7">
        <v>33.796525868252829</v>
      </c>
      <c r="AC105" s="7">
        <v>16.499966999999998</v>
      </c>
      <c r="AD105" s="176">
        <v>69.705334603271524</v>
      </c>
      <c r="AE105" s="1180"/>
      <c r="AF105" s="1181"/>
      <c r="AG105" s="211">
        <v>73.999753999999996</v>
      </c>
      <c r="AH105" s="157">
        <v>625.2349005461374</v>
      </c>
      <c r="AI105" s="176">
        <f t="shared" ref="AI105" si="4">AH105</f>
        <v>625.2349005461374</v>
      </c>
      <c r="AJ105" s="976"/>
      <c r="AK105" s="982"/>
      <c r="AL105" s="1006"/>
      <c r="AM105" s="440"/>
      <c r="AN105" s="89"/>
      <c r="AO105" s="128"/>
    </row>
    <row r="106" spans="1:41" s="69" customFormat="1" ht="15" customHeight="1">
      <c r="A106" s="1015"/>
      <c r="B106" s="438"/>
      <c r="C106" s="424"/>
      <c r="D106" s="223" t="s">
        <v>816</v>
      </c>
      <c r="E106" s="320" t="s">
        <v>64</v>
      </c>
      <c r="F106" s="245" t="s">
        <v>21</v>
      </c>
      <c r="G106" s="434"/>
      <c r="H106" s="225" t="s">
        <v>64</v>
      </c>
      <c r="I106" s="245" t="s">
        <v>21</v>
      </c>
      <c r="J106" s="1288"/>
      <c r="K106" s="1057"/>
      <c r="L106" s="19"/>
      <c r="M106" s="225" t="s">
        <v>64</v>
      </c>
      <c r="N106" s="188"/>
      <c r="O106" s="188"/>
      <c r="P106" s="188"/>
      <c r="Q106" s="188"/>
      <c r="R106" s="214"/>
      <c r="S106" s="19"/>
      <c r="T106" s="19"/>
      <c r="U106" s="245" t="s">
        <v>21</v>
      </c>
      <c r="V106" s="19"/>
      <c r="W106" s="19"/>
      <c r="X106" s="19"/>
      <c r="Y106" s="19"/>
      <c r="Z106" s="19"/>
      <c r="AA106" s="19"/>
      <c r="AB106" s="19"/>
      <c r="AC106" s="19"/>
      <c r="AD106" s="442"/>
      <c r="AE106" s="1180"/>
      <c r="AF106" s="1181"/>
      <c r="AG106" s="446"/>
      <c r="AH106" s="441"/>
      <c r="AI106" s="448">
        <f t="shared" si="3"/>
        <v>0</v>
      </c>
      <c r="AJ106" s="976"/>
      <c r="AK106" s="982"/>
      <c r="AL106" s="1006"/>
      <c r="AM106" s="440"/>
      <c r="AN106" s="89"/>
      <c r="AO106" s="128"/>
    </row>
    <row r="107" spans="1:41" s="69" customFormat="1" ht="15" customHeight="1">
      <c r="A107" s="1015"/>
      <c r="B107" s="438"/>
      <c r="C107" s="424"/>
      <c r="D107" s="223" t="s">
        <v>820</v>
      </c>
      <c r="E107" s="320" t="s">
        <v>64</v>
      </c>
      <c r="F107" s="245" t="s">
        <v>21</v>
      </c>
      <c r="G107" s="434"/>
      <c r="H107" s="225" t="s">
        <v>64</v>
      </c>
      <c r="I107" s="245" t="s">
        <v>21</v>
      </c>
      <c r="J107" s="1288"/>
      <c r="K107" s="1057"/>
      <c r="L107" s="19"/>
      <c r="M107" s="225" t="s">
        <v>64</v>
      </c>
      <c r="N107" s="188"/>
      <c r="O107" s="188"/>
      <c r="P107" s="188"/>
      <c r="Q107" s="188"/>
      <c r="R107" s="214"/>
      <c r="S107" s="19"/>
      <c r="T107" s="19"/>
      <c r="U107" s="245" t="s">
        <v>21</v>
      </c>
      <c r="V107" s="19"/>
      <c r="W107" s="19"/>
      <c r="X107" s="19"/>
      <c r="Y107" s="19"/>
      <c r="Z107" s="19"/>
      <c r="AA107" s="19"/>
      <c r="AB107" s="19"/>
      <c r="AC107" s="19"/>
      <c r="AD107" s="442"/>
      <c r="AE107" s="1180"/>
      <c r="AF107" s="1181"/>
      <c r="AG107" s="446"/>
      <c r="AH107" s="441"/>
      <c r="AI107" s="448">
        <f t="shared" si="3"/>
        <v>0</v>
      </c>
      <c r="AJ107" s="976"/>
      <c r="AK107" s="982"/>
      <c r="AL107" s="1006"/>
      <c r="AM107" s="440"/>
      <c r="AN107" s="89"/>
      <c r="AO107" s="128"/>
    </row>
    <row r="108" spans="1:41" s="69" customFormat="1" ht="15" customHeight="1">
      <c r="A108" s="1015"/>
      <c r="B108" s="438"/>
      <c r="C108" s="424"/>
      <c r="D108" s="223" t="s">
        <v>821</v>
      </c>
      <c r="E108" s="320" t="s">
        <v>64</v>
      </c>
      <c r="F108" s="245" t="s">
        <v>21</v>
      </c>
      <c r="G108" s="434"/>
      <c r="H108" s="225" t="s">
        <v>64</v>
      </c>
      <c r="I108" s="245" t="s">
        <v>21</v>
      </c>
      <c r="J108" s="1288"/>
      <c r="K108" s="1057"/>
      <c r="L108" s="19"/>
      <c r="M108" s="225" t="s">
        <v>64</v>
      </c>
      <c r="N108" s="188"/>
      <c r="O108" s="188"/>
      <c r="P108" s="188"/>
      <c r="Q108" s="188"/>
      <c r="R108" s="214"/>
      <c r="S108" s="19"/>
      <c r="T108" s="19"/>
      <c r="U108" s="245" t="s">
        <v>21</v>
      </c>
      <c r="V108" s="19"/>
      <c r="W108" s="19"/>
      <c r="X108" s="19"/>
      <c r="Y108" s="19"/>
      <c r="Z108" s="19"/>
      <c r="AA108" s="19"/>
      <c r="AB108" s="19"/>
      <c r="AC108" s="19"/>
      <c r="AD108" s="442"/>
      <c r="AE108" s="1180"/>
      <c r="AF108" s="1181"/>
      <c r="AG108" s="446"/>
      <c r="AH108" s="441"/>
      <c r="AI108" s="448">
        <f t="shared" si="3"/>
        <v>0</v>
      </c>
      <c r="AJ108" s="976"/>
      <c r="AK108" s="982"/>
      <c r="AL108" s="1006"/>
      <c r="AM108" s="440"/>
      <c r="AN108" s="89"/>
      <c r="AO108" s="128"/>
    </row>
    <row r="109" spans="1:41" s="69" customFormat="1" ht="15.75" customHeight="1" thickBot="1">
      <c r="A109" s="1015"/>
      <c r="B109" s="421"/>
      <c r="C109" s="422"/>
      <c r="D109" s="224" t="s">
        <v>822</v>
      </c>
      <c r="E109" s="409" t="s">
        <v>64</v>
      </c>
      <c r="F109" s="423" t="s">
        <v>21</v>
      </c>
      <c r="G109" s="435"/>
      <c r="H109" s="409" t="s">
        <v>64</v>
      </c>
      <c r="I109" s="246" t="s">
        <v>21</v>
      </c>
      <c r="J109" s="1288"/>
      <c r="K109" s="1059"/>
      <c r="L109" s="52"/>
      <c r="M109" s="409" t="s">
        <v>64</v>
      </c>
      <c r="N109" s="189"/>
      <c r="O109" s="189"/>
      <c r="P109" s="189"/>
      <c r="Q109" s="189"/>
      <c r="R109" s="275"/>
      <c r="S109" s="52"/>
      <c r="T109" s="52"/>
      <c r="U109" s="246" t="s">
        <v>21</v>
      </c>
      <c r="V109" s="52"/>
      <c r="W109" s="52"/>
      <c r="X109" s="52"/>
      <c r="Y109" s="52"/>
      <c r="Z109" s="52"/>
      <c r="AA109" s="52"/>
      <c r="AB109" s="52"/>
      <c r="AC109" s="52"/>
      <c r="AD109" s="443"/>
      <c r="AE109" s="1180"/>
      <c r="AF109" s="1181"/>
      <c r="AG109" s="447"/>
      <c r="AH109" s="172"/>
      <c r="AI109" s="449">
        <f t="shared" si="3"/>
        <v>0</v>
      </c>
      <c r="AJ109" s="977"/>
      <c r="AK109" s="983"/>
      <c r="AL109" s="1006"/>
      <c r="AM109" s="440"/>
      <c r="AN109" s="89"/>
      <c r="AO109" s="128"/>
    </row>
    <row r="110" spans="1:41" s="69" customFormat="1" ht="15" customHeight="1">
      <c r="A110" s="1015"/>
      <c r="B110" s="232" t="s">
        <v>151</v>
      </c>
      <c r="C110" s="912" t="s">
        <v>151</v>
      </c>
      <c r="D110" s="240" t="s">
        <v>80</v>
      </c>
      <c r="E110" s="77" t="s">
        <v>1</v>
      </c>
      <c r="F110" s="323"/>
      <c r="G110" s="474">
        <v>94392.42</v>
      </c>
      <c r="H110" s="11">
        <v>8303.7199999999993</v>
      </c>
      <c r="I110" s="454"/>
      <c r="J110" s="1288"/>
      <c r="K110" s="1163" t="s">
        <v>499</v>
      </c>
      <c r="L110" s="120">
        <v>1035.2808063999998</v>
      </c>
      <c r="M110" s="120">
        <v>143.13</v>
      </c>
      <c r="N110" s="115"/>
      <c r="O110" s="115"/>
      <c r="P110" s="115"/>
      <c r="Q110" s="115"/>
      <c r="R110" s="115"/>
      <c r="S110" s="120">
        <v>892.15080639999985</v>
      </c>
      <c r="T110" s="117">
        <v>3664.3305238643889</v>
      </c>
      <c r="U110" s="321"/>
      <c r="V110" s="20"/>
      <c r="W110" s="20"/>
      <c r="X110" s="153"/>
      <c r="Y110" s="120">
        <v>3</v>
      </c>
      <c r="Z110" s="117">
        <v>12.321898374953012</v>
      </c>
      <c r="AA110" s="425">
        <f t="shared" ref="AA110:AA135" si="5">Y110+Z110</f>
        <v>15.321898374953012</v>
      </c>
      <c r="AB110" s="97">
        <v>698.82187063610388</v>
      </c>
      <c r="AC110" s="97">
        <v>323.55421200000001</v>
      </c>
      <c r="AD110" s="326">
        <v>1328.9340396839993</v>
      </c>
      <c r="AE110" s="1180"/>
      <c r="AF110" s="1181"/>
      <c r="AG110" s="486">
        <v>892.15080639999985</v>
      </c>
      <c r="AH110" s="161">
        <v>7328.6610477287777</v>
      </c>
      <c r="AI110" s="185">
        <f t="shared" si="3"/>
        <v>7328.6610477287777</v>
      </c>
      <c r="AJ110" s="975">
        <v>46148</v>
      </c>
      <c r="AK110" s="981">
        <f>SUM(AI110:AI118)</f>
        <v>10150.142612417367</v>
      </c>
      <c r="AL110" s="1006"/>
      <c r="AM110" s="440"/>
      <c r="AN110" s="89" t="s">
        <v>85</v>
      </c>
      <c r="AO110" s="89"/>
    </row>
    <row r="111" spans="1:41" s="69" customFormat="1" ht="15.75" customHeight="1">
      <c r="A111" s="1015"/>
      <c r="B111" s="462">
        <v>0</v>
      </c>
      <c r="C111" s="36"/>
      <c r="D111" s="223" t="s">
        <v>808</v>
      </c>
      <c r="E111" s="320" t="s">
        <v>64</v>
      </c>
      <c r="F111" s="261"/>
      <c r="G111" s="426">
        <f>2*1101.24</f>
        <v>2202.48</v>
      </c>
      <c r="H111" s="320" t="s">
        <v>64</v>
      </c>
      <c r="I111" s="261"/>
      <c r="J111" s="1288"/>
      <c r="K111" s="1057"/>
      <c r="L111" s="119">
        <v>55.848601599999995</v>
      </c>
      <c r="M111" s="225" t="s">
        <v>64</v>
      </c>
      <c r="N111" s="346"/>
      <c r="O111" s="346"/>
      <c r="P111" s="346"/>
      <c r="Q111" s="346"/>
      <c r="R111" s="346"/>
      <c r="S111" s="119">
        <v>55.848601599999995</v>
      </c>
      <c r="T111" s="196">
        <v>229.38693109947906</v>
      </c>
      <c r="U111" s="455"/>
      <c r="V111" s="74"/>
      <c r="W111" s="74"/>
      <c r="X111" s="456"/>
      <c r="Y111" s="119">
        <v>3</v>
      </c>
      <c r="Z111" s="196">
        <v>12.321898374953012</v>
      </c>
      <c r="AA111" s="430">
        <f t="shared" si="5"/>
        <v>15.321898374953012</v>
      </c>
      <c r="AB111" s="483">
        <v>42.012586978940547</v>
      </c>
      <c r="AC111" s="483">
        <v>19.178927999999999</v>
      </c>
      <c r="AD111" s="484">
        <v>78.773600585513591</v>
      </c>
      <c r="AE111" s="1180"/>
      <c r="AF111" s="1181"/>
      <c r="AG111" s="487">
        <v>55.848601599999995</v>
      </c>
      <c r="AH111" s="488">
        <v>458.77386219895811</v>
      </c>
      <c r="AI111" s="185">
        <f t="shared" si="3"/>
        <v>458.77386219895811</v>
      </c>
      <c r="AJ111" s="976"/>
      <c r="AK111" s="982"/>
      <c r="AL111" s="1006"/>
      <c r="AM111" s="440"/>
      <c r="AN111" s="89"/>
      <c r="AO111" s="89"/>
    </row>
    <row r="112" spans="1:41" s="69" customFormat="1" ht="15" customHeight="1">
      <c r="A112" s="1015"/>
      <c r="B112" s="462">
        <v>0</v>
      </c>
      <c r="C112" s="36"/>
      <c r="D112" s="223" t="s">
        <v>809</v>
      </c>
      <c r="E112" s="320" t="s">
        <v>64</v>
      </c>
      <c r="F112" s="261"/>
      <c r="G112" s="426">
        <v>1101.24</v>
      </c>
      <c r="H112" s="320" t="s">
        <v>64</v>
      </c>
      <c r="I112" s="261"/>
      <c r="J112" s="1288"/>
      <c r="K112" s="1057"/>
      <c r="L112" s="119">
        <v>44.924300799999997</v>
      </c>
      <c r="M112" s="225" t="s">
        <v>64</v>
      </c>
      <c r="N112" s="346"/>
      <c r="O112" s="346"/>
      <c r="P112" s="346"/>
      <c r="Q112" s="346"/>
      <c r="R112" s="346"/>
      <c r="S112" s="119">
        <v>44.924300799999997</v>
      </c>
      <c r="T112" s="196">
        <v>184.51755634114005</v>
      </c>
      <c r="U112" s="455"/>
      <c r="V112" s="74"/>
      <c r="W112" s="74"/>
      <c r="X112" s="456"/>
      <c r="Y112" s="119">
        <v>3</v>
      </c>
      <c r="Z112" s="196">
        <v>12.321898374953012</v>
      </c>
      <c r="AA112" s="430">
        <f t="shared" si="5"/>
        <v>15.321898374953012</v>
      </c>
      <c r="AB112" s="483">
        <v>33.328191864423275</v>
      </c>
      <c r="AC112" s="483">
        <v>15.214464</v>
      </c>
      <c r="AD112" s="484">
        <v>62.490359745793654</v>
      </c>
      <c r="AE112" s="1180"/>
      <c r="AF112" s="1181"/>
      <c r="AG112" s="487">
        <v>44.924300799999997</v>
      </c>
      <c r="AH112" s="488">
        <v>369.0351126822801</v>
      </c>
      <c r="AI112" s="185">
        <f t="shared" si="3"/>
        <v>369.0351126822801</v>
      </c>
      <c r="AJ112" s="976"/>
      <c r="AK112" s="982"/>
      <c r="AL112" s="1006"/>
      <c r="AM112" s="440"/>
      <c r="AN112" s="89"/>
      <c r="AO112" s="89"/>
    </row>
    <row r="113" spans="1:41" s="69" customFormat="1" ht="15" customHeight="1">
      <c r="A113" s="1015"/>
      <c r="B113" s="462">
        <v>0</v>
      </c>
      <c r="C113" s="36"/>
      <c r="D113" s="223" t="s">
        <v>810</v>
      </c>
      <c r="E113" s="320" t="s">
        <v>64</v>
      </c>
      <c r="F113" s="261"/>
      <c r="G113" s="426">
        <v>1101.24</v>
      </c>
      <c r="H113" s="320" t="s">
        <v>64</v>
      </c>
      <c r="I113" s="261"/>
      <c r="J113" s="1288"/>
      <c r="K113" s="1057"/>
      <c r="L113" s="119">
        <v>44.924300799999997</v>
      </c>
      <c r="M113" s="225" t="s">
        <v>64</v>
      </c>
      <c r="N113" s="346"/>
      <c r="O113" s="346"/>
      <c r="P113" s="346"/>
      <c r="Q113" s="346"/>
      <c r="R113" s="346"/>
      <c r="S113" s="119">
        <v>44.924300799999997</v>
      </c>
      <c r="T113" s="196">
        <v>184.51755634114005</v>
      </c>
      <c r="U113" s="455"/>
      <c r="V113" s="74"/>
      <c r="W113" s="74"/>
      <c r="X113" s="456"/>
      <c r="Y113" s="119">
        <v>3</v>
      </c>
      <c r="Z113" s="196">
        <v>12.321898374953012</v>
      </c>
      <c r="AA113" s="430">
        <f t="shared" si="5"/>
        <v>15.321898374953012</v>
      </c>
      <c r="AB113" s="483">
        <v>33.328191864423275</v>
      </c>
      <c r="AC113" s="483">
        <v>15.214464</v>
      </c>
      <c r="AD113" s="484">
        <v>62.490359745793654</v>
      </c>
      <c r="AE113" s="1180"/>
      <c r="AF113" s="1181"/>
      <c r="AG113" s="487">
        <v>44.924300799999997</v>
      </c>
      <c r="AH113" s="488">
        <v>369.0351126822801</v>
      </c>
      <c r="AI113" s="185">
        <f t="shared" si="3"/>
        <v>369.0351126822801</v>
      </c>
      <c r="AJ113" s="976"/>
      <c r="AK113" s="982"/>
      <c r="AL113" s="1006"/>
      <c r="AM113" s="440"/>
      <c r="AN113" s="89"/>
      <c r="AO113" s="89"/>
    </row>
    <row r="114" spans="1:41" s="69" customFormat="1" ht="15" customHeight="1">
      <c r="A114" s="1015"/>
      <c r="B114" s="462">
        <v>0</v>
      </c>
      <c r="C114" s="36"/>
      <c r="D114" s="223" t="s">
        <v>811</v>
      </c>
      <c r="E114" s="320" t="s">
        <v>64</v>
      </c>
      <c r="F114" s="261"/>
      <c r="G114" s="427">
        <v>666.66</v>
      </c>
      <c r="H114" s="320" t="s">
        <v>64</v>
      </c>
      <c r="I114" s="261"/>
      <c r="J114" s="1288"/>
      <c r="K114" s="1057"/>
      <c r="L114" s="119">
        <v>40.613267200000003</v>
      </c>
      <c r="M114" s="225" t="s">
        <v>64</v>
      </c>
      <c r="N114" s="346"/>
      <c r="O114" s="346"/>
      <c r="P114" s="346"/>
      <c r="Q114" s="346"/>
      <c r="R114" s="346"/>
      <c r="S114" s="119">
        <v>40.613267200000003</v>
      </c>
      <c r="T114" s="196">
        <v>166.8108503710707</v>
      </c>
      <c r="U114" s="455"/>
      <c r="V114" s="74"/>
      <c r="W114" s="74"/>
      <c r="X114" s="456"/>
      <c r="Y114" s="119">
        <v>3</v>
      </c>
      <c r="Z114" s="196">
        <v>12.321898374953012</v>
      </c>
      <c r="AA114" s="430">
        <f t="shared" si="5"/>
        <v>15.321898374953012</v>
      </c>
      <c r="AB114" s="483">
        <v>29.901087483119554</v>
      </c>
      <c r="AC114" s="483">
        <v>13.649976000000001</v>
      </c>
      <c r="AD114" s="484">
        <v>56.064539030849119</v>
      </c>
      <c r="AE114" s="1180"/>
      <c r="AF114" s="1181"/>
      <c r="AG114" s="487">
        <v>40.613267200000003</v>
      </c>
      <c r="AH114" s="488">
        <v>333.6217007421414</v>
      </c>
      <c r="AI114" s="185">
        <f t="shared" si="3"/>
        <v>333.6217007421414</v>
      </c>
      <c r="AJ114" s="976"/>
      <c r="AK114" s="982"/>
      <c r="AL114" s="1006"/>
      <c r="AM114" s="440"/>
      <c r="AN114" s="89"/>
      <c r="AO114" s="89"/>
    </row>
    <row r="115" spans="1:41" s="69" customFormat="1" ht="15" customHeight="1">
      <c r="A115" s="1015"/>
      <c r="B115" s="462">
        <v>0</v>
      </c>
      <c r="C115" s="36"/>
      <c r="D115" s="223" t="s">
        <v>812</v>
      </c>
      <c r="E115" s="320" t="s">
        <v>64</v>
      </c>
      <c r="F115" s="261"/>
      <c r="G115" s="427">
        <v>666.66</v>
      </c>
      <c r="H115" s="320" t="s">
        <v>64</v>
      </c>
      <c r="I115" s="261"/>
      <c r="J115" s="1288"/>
      <c r="K115" s="1057"/>
      <c r="L115" s="119">
        <v>40.613267200000003</v>
      </c>
      <c r="M115" s="225" t="s">
        <v>64</v>
      </c>
      <c r="N115" s="346"/>
      <c r="O115" s="346"/>
      <c r="P115" s="346"/>
      <c r="Q115" s="346"/>
      <c r="R115" s="346"/>
      <c r="S115" s="119">
        <v>40.613267200000003</v>
      </c>
      <c r="T115" s="196">
        <v>166.8108503710707</v>
      </c>
      <c r="U115" s="455"/>
      <c r="V115" s="74"/>
      <c r="W115" s="74"/>
      <c r="X115" s="456"/>
      <c r="Y115" s="119">
        <v>3</v>
      </c>
      <c r="Z115" s="196">
        <v>12.321898374953012</v>
      </c>
      <c r="AA115" s="430">
        <f t="shared" si="5"/>
        <v>15.321898374953012</v>
      </c>
      <c r="AB115" s="483">
        <v>29.901087483119554</v>
      </c>
      <c r="AC115" s="483">
        <v>13.649976000000001</v>
      </c>
      <c r="AD115" s="484">
        <v>56.064539030849119</v>
      </c>
      <c r="AE115" s="1180"/>
      <c r="AF115" s="1181"/>
      <c r="AG115" s="487">
        <v>40.613267200000003</v>
      </c>
      <c r="AH115" s="488">
        <v>333.6217007421414</v>
      </c>
      <c r="AI115" s="185">
        <f t="shared" si="3"/>
        <v>333.6217007421414</v>
      </c>
      <c r="AJ115" s="976"/>
      <c r="AK115" s="982"/>
      <c r="AL115" s="1006"/>
      <c r="AM115" s="440"/>
      <c r="AN115" s="89"/>
      <c r="AO115" s="89"/>
    </row>
    <row r="116" spans="1:41" s="69" customFormat="1" ht="15" customHeight="1">
      <c r="A116" s="1015"/>
      <c r="B116" s="462">
        <v>0</v>
      </c>
      <c r="C116" s="36"/>
      <c r="D116" s="223" t="s">
        <v>813</v>
      </c>
      <c r="E116" s="320" t="s">
        <v>64</v>
      </c>
      <c r="F116" s="261"/>
      <c r="G116" s="428">
        <v>66.599999999999994</v>
      </c>
      <c r="H116" s="320" t="s">
        <v>64</v>
      </c>
      <c r="I116" s="261"/>
      <c r="J116" s="1288"/>
      <c r="K116" s="1057"/>
      <c r="L116" s="119">
        <v>34.660672000000005</v>
      </c>
      <c r="M116" s="225" t="s">
        <v>64</v>
      </c>
      <c r="N116" s="346"/>
      <c r="O116" s="346"/>
      <c r="P116" s="346"/>
      <c r="Q116" s="346"/>
      <c r="R116" s="346"/>
      <c r="S116" s="119">
        <v>34.660672000000005</v>
      </c>
      <c r="T116" s="196">
        <v>142.36175933052638</v>
      </c>
      <c r="U116" s="455"/>
      <c r="V116" s="74"/>
      <c r="W116" s="74"/>
      <c r="X116" s="456"/>
      <c r="Y116" s="119">
        <v>3</v>
      </c>
      <c r="Z116" s="196">
        <v>12.321898374953012</v>
      </c>
      <c r="AA116" s="430">
        <f t="shared" si="5"/>
        <v>15.321898374953012</v>
      </c>
      <c r="AB116" s="483">
        <v>25.169005346239999</v>
      </c>
      <c r="AC116" s="483">
        <v>11.48976</v>
      </c>
      <c r="AD116" s="484">
        <v>47.191885024199948</v>
      </c>
      <c r="AE116" s="1180"/>
      <c r="AF116" s="1181"/>
      <c r="AG116" s="487">
        <v>34.660672000000005</v>
      </c>
      <c r="AH116" s="488">
        <v>284.72351866105276</v>
      </c>
      <c r="AI116" s="185">
        <f t="shared" si="3"/>
        <v>284.72351866105276</v>
      </c>
      <c r="AJ116" s="976"/>
      <c r="AK116" s="982"/>
      <c r="AL116" s="1006"/>
      <c r="AM116" s="440"/>
      <c r="AN116" s="89"/>
      <c r="AO116" s="89"/>
    </row>
    <row r="117" spans="1:41" s="69" customFormat="1" ht="15" customHeight="1">
      <c r="A117" s="1015"/>
      <c r="B117" s="462">
        <v>0</v>
      </c>
      <c r="C117" s="36"/>
      <c r="D117" s="223" t="s">
        <v>814</v>
      </c>
      <c r="E117" s="320" t="s">
        <v>64</v>
      </c>
      <c r="F117" s="261"/>
      <c r="G117" s="428">
        <v>66.599999999999994</v>
      </c>
      <c r="H117" s="320" t="s">
        <v>64</v>
      </c>
      <c r="I117" s="261"/>
      <c r="J117" s="1288"/>
      <c r="K117" s="1057"/>
      <c r="L117" s="119">
        <v>34.660672000000005</v>
      </c>
      <c r="M117" s="225" t="s">
        <v>64</v>
      </c>
      <c r="N117" s="346"/>
      <c r="O117" s="346"/>
      <c r="P117" s="346"/>
      <c r="Q117" s="346"/>
      <c r="R117" s="346"/>
      <c r="S117" s="119">
        <v>34.660672000000005</v>
      </c>
      <c r="T117" s="196">
        <v>142.36175933052638</v>
      </c>
      <c r="U117" s="455"/>
      <c r="V117" s="74"/>
      <c r="W117" s="74"/>
      <c r="X117" s="456"/>
      <c r="Y117" s="119">
        <v>3</v>
      </c>
      <c r="Z117" s="196">
        <v>12.321898374953012</v>
      </c>
      <c r="AA117" s="430">
        <f t="shared" si="5"/>
        <v>15.321898374953012</v>
      </c>
      <c r="AB117" s="483">
        <v>25.169005346239999</v>
      </c>
      <c r="AC117" s="483">
        <v>11.48976</v>
      </c>
      <c r="AD117" s="484">
        <v>47.191885024199948</v>
      </c>
      <c r="AE117" s="1180"/>
      <c r="AF117" s="1181"/>
      <c r="AG117" s="487">
        <v>34.660672000000005</v>
      </c>
      <c r="AH117" s="488">
        <v>284.72351866105276</v>
      </c>
      <c r="AI117" s="185">
        <f t="shared" si="3"/>
        <v>284.72351866105276</v>
      </c>
      <c r="AJ117" s="976"/>
      <c r="AK117" s="982"/>
      <c r="AL117" s="1006"/>
      <c r="AM117" s="440"/>
      <c r="AN117" s="89"/>
      <c r="AO117" s="89"/>
    </row>
    <row r="118" spans="1:41" s="69" customFormat="1" ht="15.75" customHeight="1" thickBot="1">
      <c r="A118" s="1015"/>
      <c r="B118" s="360">
        <v>0</v>
      </c>
      <c r="C118" s="325"/>
      <c r="D118" s="224" t="s">
        <v>815</v>
      </c>
      <c r="E118" s="409" t="s">
        <v>64</v>
      </c>
      <c r="F118" s="324"/>
      <c r="G118" s="429">
        <f>2*G115</f>
        <v>1333.32</v>
      </c>
      <c r="H118" s="409" t="s">
        <v>64</v>
      </c>
      <c r="I118" s="261"/>
      <c r="J118" s="1289"/>
      <c r="K118" s="1057"/>
      <c r="L118" s="28">
        <v>47.226534400000006</v>
      </c>
      <c r="M118" s="226" t="s">
        <v>64</v>
      </c>
      <c r="N118" s="116"/>
      <c r="O118" s="116"/>
      <c r="P118" s="116"/>
      <c r="Q118" s="116"/>
      <c r="R118" s="116"/>
      <c r="S118" s="28">
        <v>47.226534400000006</v>
      </c>
      <c r="T118" s="118">
        <v>193.97351915934061</v>
      </c>
      <c r="U118" s="491"/>
      <c r="V118" s="31"/>
      <c r="W118" s="31"/>
      <c r="X118" s="167"/>
      <c r="Y118" s="28">
        <v>3</v>
      </c>
      <c r="Z118" s="118">
        <v>12.321898374953012</v>
      </c>
      <c r="AA118" s="432">
        <f t="shared" si="5"/>
        <v>15.321898374953012</v>
      </c>
      <c r="AB118" s="98">
        <v>35.158378216333141</v>
      </c>
      <c r="AC118" s="98">
        <v>16.049952000000001</v>
      </c>
      <c r="AD118" s="485">
        <v>65.921959155624535</v>
      </c>
      <c r="AE118" s="1180"/>
      <c r="AF118" s="1181"/>
      <c r="AG118" s="489">
        <v>47.226534400000006</v>
      </c>
      <c r="AH118" s="162">
        <v>387.94703831868122</v>
      </c>
      <c r="AI118" s="186">
        <f t="shared" si="3"/>
        <v>387.94703831868122</v>
      </c>
      <c r="AJ118" s="976"/>
      <c r="AK118" s="983"/>
      <c r="AL118" s="1006"/>
      <c r="AM118" s="440"/>
      <c r="AN118" s="89"/>
      <c r="AO118" s="89"/>
    </row>
    <row r="119" spans="1:41" s="69" customFormat="1" ht="15.75" customHeight="1">
      <c r="A119" s="1015"/>
      <c r="B119" s="465" t="s">
        <v>151</v>
      </c>
      <c r="C119" s="386" t="s">
        <v>151</v>
      </c>
      <c r="D119" s="222" t="s">
        <v>275</v>
      </c>
      <c r="E119" s="436" t="s">
        <v>294</v>
      </c>
      <c r="F119" s="323"/>
      <c r="G119" s="430"/>
      <c r="H119" s="320"/>
      <c r="I119" s="261"/>
      <c r="J119" s="1165" t="s">
        <v>311</v>
      </c>
      <c r="K119" s="1057"/>
      <c r="L119" s="1050" t="s">
        <v>328</v>
      </c>
      <c r="M119" s="1051"/>
      <c r="N119" s="1051"/>
      <c r="O119" s="1051"/>
      <c r="P119" s="1051"/>
      <c r="Q119" s="1051"/>
      <c r="R119" s="1051"/>
      <c r="S119" s="1051"/>
      <c r="T119" s="1052"/>
      <c r="U119" s="1050" t="s">
        <v>328</v>
      </c>
      <c r="V119" s="1051"/>
      <c r="W119" s="1051"/>
      <c r="X119" s="1051"/>
      <c r="Y119" s="1051"/>
      <c r="Z119" s="1051"/>
      <c r="AA119" s="1051"/>
      <c r="AB119" s="1051"/>
      <c r="AC119" s="1051"/>
      <c r="AD119" s="1101"/>
      <c r="AE119" s="1180"/>
      <c r="AF119" s="1181"/>
      <c r="AG119" s="1148" t="s">
        <v>328</v>
      </c>
      <c r="AH119" s="1149"/>
      <c r="AI119" s="1150"/>
      <c r="AJ119" s="976"/>
      <c r="AK119" s="981">
        <f>SUM(AI119:AI139)</f>
        <v>6154.6831061748007</v>
      </c>
      <c r="AL119" s="1006"/>
      <c r="AM119" s="440"/>
      <c r="AN119" s="89"/>
      <c r="AO119" s="89"/>
    </row>
    <row r="120" spans="1:41" s="69" customFormat="1" ht="15.75" customHeight="1">
      <c r="A120" s="1015"/>
      <c r="B120" s="387"/>
      <c r="C120" s="388"/>
      <c r="D120" s="223" t="s">
        <v>808</v>
      </c>
      <c r="E120" s="436" t="s">
        <v>295</v>
      </c>
      <c r="F120" s="261"/>
      <c r="G120" s="475"/>
      <c r="H120" s="320"/>
      <c r="I120" s="261"/>
      <c r="J120" s="1166"/>
      <c r="K120" s="1057"/>
      <c r="L120" s="971"/>
      <c r="M120" s="932"/>
      <c r="N120" s="932"/>
      <c r="O120" s="932"/>
      <c r="P120" s="932"/>
      <c r="Q120" s="932"/>
      <c r="R120" s="932"/>
      <c r="S120" s="932"/>
      <c r="T120" s="933"/>
      <c r="U120" s="971"/>
      <c r="V120" s="932"/>
      <c r="W120" s="932"/>
      <c r="X120" s="932"/>
      <c r="Y120" s="932"/>
      <c r="Z120" s="932"/>
      <c r="AA120" s="932"/>
      <c r="AB120" s="932"/>
      <c r="AC120" s="932"/>
      <c r="AD120" s="937"/>
      <c r="AE120" s="1180"/>
      <c r="AF120" s="1181"/>
      <c r="AG120" s="1151"/>
      <c r="AH120" s="1152"/>
      <c r="AI120" s="1153"/>
      <c r="AJ120" s="976"/>
      <c r="AK120" s="982"/>
      <c r="AL120" s="1006"/>
      <c r="AM120" s="440"/>
      <c r="AN120" s="89"/>
      <c r="AO120" s="89"/>
    </row>
    <row r="121" spans="1:41" s="69" customFormat="1" ht="15.75" customHeight="1">
      <c r="A121" s="1015"/>
      <c r="B121" s="387"/>
      <c r="C121" s="388"/>
      <c r="D121" s="223" t="s">
        <v>809</v>
      </c>
      <c r="E121" s="436" t="s">
        <v>296</v>
      </c>
      <c r="F121" s="261"/>
      <c r="G121" s="476">
        <v>66666.66</v>
      </c>
      <c r="H121" s="320" t="s">
        <v>221</v>
      </c>
      <c r="I121" s="261"/>
      <c r="J121" s="1166"/>
      <c r="K121" s="1057"/>
      <c r="L121" s="971"/>
      <c r="M121" s="932"/>
      <c r="N121" s="932"/>
      <c r="O121" s="932"/>
      <c r="P121" s="932"/>
      <c r="Q121" s="932"/>
      <c r="R121" s="932"/>
      <c r="S121" s="932"/>
      <c r="T121" s="933"/>
      <c r="U121" s="971"/>
      <c r="V121" s="932"/>
      <c r="W121" s="932"/>
      <c r="X121" s="932"/>
      <c r="Y121" s="932"/>
      <c r="Z121" s="932"/>
      <c r="AA121" s="932"/>
      <c r="AB121" s="932"/>
      <c r="AC121" s="932"/>
      <c r="AD121" s="937"/>
      <c r="AE121" s="1180"/>
      <c r="AF121" s="1181"/>
      <c r="AG121" s="1151"/>
      <c r="AH121" s="1152"/>
      <c r="AI121" s="1153"/>
      <c r="AJ121" s="976"/>
      <c r="AK121" s="982"/>
      <c r="AL121" s="1006"/>
      <c r="AM121" s="440"/>
      <c r="AN121" s="89"/>
      <c r="AO121" s="89"/>
    </row>
    <row r="122" spans="1:41" s="69" customFormat="1" ht="15.75" customHeight="1">
      <c r="A122" s="1015"/>
      <c r="B122" s="387"/>
      <c r="C122" s="388"/>
      <c r="D122" s="223" t="s">
        <v>810</v>
      </c>
      <c r="E122" s="320" t="s">
        <v>64</v>
      </c>
      <c r="F122" s="261"/>
      <c r="G122" s="426">
        <v>9596.56</v>
      </c>
      <c r="H122" s="320" t="s">
        <v>64</v>
      </c>
      <c r="I122" s="261"/>
      <c r="J122" s="1166"/>
      <c r="K122" s="1057"/>
      <c r="L122" s="968"/>
      <c r="M122" s="969"/>
      <c r="N122" s="969"/>
      <c r="O122" s="969"/>
      <c r="P122" s="969"/>
      <c r="Q122" s="969"/>
      <c r="R122" s="969"/>
      <c r="S122" s="969"/>
      <c r="T122" s="993"/>
      <c r="U122" s="968"/>
      <c r="V122" s="969"/>
      <c r="W122" s="969"/>
      <c r="X122" s="969"/>
      <c r="Y122" s="969"/>
      <c r="Z122" s="969"/>
      <c r="AA122" s="969"/>
      <c r="AB122" s="969"/>
      <c r="AC122" s="969"/>
      <c r="AD122" s="970"/>
      <c r="AE122" s="1180"/>
      <c r="AF122" s="1181"/>
      <c r="AG122" s="1185"/>
      <c r="AH122" s="1186"/>
      <c r="AI122" s="1187"/>
      <c r="AJ122" s="976"/>
      <c r="AK122" s="982"/>
      <c r="AL122" s="1006"/>
      <c r="AM122" s="440"/>
      <c r="AN122" s="89"/>
      <c r="AO122" s="89"/>
    </row>
    <row r="123" spans="1:41" s="69" customFormat="1" ht="15.75" customHeight="1">
      <c r="A123" s="1015"/>
      <c r="B123" s="387"/>
      <c r="C123" s="388"/>
      <c r="D123" s="223" t="s">
        <v>811</v>
      </c>
      <c r="E123" s="320" t="s">
        <v>64</v>
      </c>
      <c r="F123" s="261"/>
      <c r="G123" s="426">
        <v>1101.24</v>
      </c>
      <c r="H123" s="320" t="s">
        <v>64</v>
      </c>
      <c r="I123" s="261"/>
      <c r="J123" s="1166"/>
      <c r="K123" s="1057"/>
      <c r="L123" s="119">
        <v>82.1243008</v>
      </c>
      <c r="M123" s="225" t="s">
        <v>64</v>
      </c>
      <c r="N123" s="346"/>
      <c r="O123" s="346"/>
      <c r="P123" s="346"/>
      <c r="Q123" s="346"/>
      <c r="R123" s="346"/>
      <c r="S123" s="119">
        <v>82.1243008</v>
      </c>
      <c r="T123" s="196">
        <v>323.38607339841371</v>
      </c>
      <c r="U123" s="455"/>
      <c r="V123" s="74"/>
      <c r="W123" s="74"/>
      <c r="X123" s="456"/>
      <c r="Y123" s="119">
        <v>3</v>
      </c>
      <c r="Z123" s="196">
        <v>11.813290472425445</v>
      </c>
      <c r="AA123" s="633">
        <f t="shared" si="5"/>
        <v>14.813290472425445</v>
      </c>
      <c r="AB123" s="483">
        <v>60.304409598578353</v>
      </c>
      <c r="AC123" s="483">
        <v>28.714464</v>
      </c>
      <c r="AD123" s="484">
        <v>113.07076799733436</v>
      </c>
      <c r="AE123" s="1180"/>
      <c r="AF123" s="1181"/>
      <c r="AG123" s="487">
        <v>82.1243008</v>
      </c>
      <c r="AH123" s="488">
        <v>646.77214679682743</v>
      </c>
      <c r="AI123" s="185">
        <f t="shared" si="3"/>
        <v>646.77214679682743</v>
      </c>
      <c r="AJ123" s="976"/>
      <c r="AK123" s="982"/>
      <c r="AL123" s="1006"/>
      <c r="AM123" s="440"/>
      <c r="AN123" s="89"/>
      <c r="AO123" s="89"/>
    </row>
    <row r="124" spans="1:41" s="69" customFormat="1" ht="15.75" customHeight="1">
      <c r="A124" s="1015"/>
      <c r="B124" s="387"/>
      <c r="C124" s="388"/>
      <c r="D124" s="223" t="s">
        <v>812</v>
      </c>
      <c r="E124" s="320" t="s">
        <v>64</v>
      </c>
      <c r="F124" s="261"/>
      <c r="G124" s="426">
        <v>1101.24</v>
      </c>
      <c r="H124" s="320" t="s">
        <v>64</v>
      </c>
      <c r="I124" s="261"/>
      <c r="J124" s="1166"/>
      <c r="K124" s="1057"/>
      <c r="L124" s="119">
        <v>82.1243008</v>
      </c>
      <c r="M124" s="225" t="s">
        <v>64</v>
      </c>
      <c r="N124" s="346"/>
      <c r="O124" s="346"/>
      <c r="P124" s="346"/>
      <c r="Q124" s="346"/>
      <c r="R124" s="346"/>
      <c r="S124" s="119">
        <v>82.1243008</v>
      </c>
      <c r="T124" s="196">
        <v>323.38607339841371</v>
      </c>
      <c r="U124" s="455"/>
      <c r="V124" s="74"/>
      <c r="W124" s="74"/>
      <c r="X124" s="456"/>
      <c r="Y124" s="119">
        <v>3</v>
      </c>
      <c r="Z124" s="196">
        <v>11.813290472425445</v>
      </c>
      <c r="AA124" s="633">
        <f t="shared" si="5"/>
        <v>14.813290472425445</v>
      </c>
      <c r="AB124" s="483">
        <v>60.304409598578353</v>
      </c>
      <c r="AC124" s="483">
        <v>28.714464</v>
      </c>
      <c r="AD124" s="484">
        <v>113.07076799733436</v>
      </c>
      <c r="AE124" s="1180"/>
      <c r="AF124" s="1181"/>
      <c r="AG124" s="487">
        <v>82.1243008</v>
      </c>
      <c r="AH124" s="488">
        <v>646.77214679682743</v>
      </c>
      <c r="AI124" s="185">
        <f t="shared" si="3"/>
        <v>646.77214679682743</v>
      </c>
      <c r="AJ124" s="976"/>
      <c r="AK124" s="982"/>
      <c r="AL124" s="1006"/>
      <c r="AM124" s="440"/>
      <c r="AN124" s="89"/>
      <c r="AO124" s="89"/>
    </row>
    <row r="125" spans="1:41" s="69" customFormat="1" ht="15.75" customHeight="1">
      <c r="A125" s="1015"/>
      <c r="B125" s="387"/>
      <c r="C125" s="388"/>
      <c r="D125" s="223" t="s">
        <v>813</v>
      </c>
      <c r="E125" s="320" t="s">
        <v>64</v>
      </c>
      <c r="F125" s="261"/>
      <c r="G125" s="427">
        <v>3999.96</v>
      </c>
      <c r="H125" s="320" t="s">
        <v>64</v>
      </c>
      <c r="I125" s="261"/>
      <c r="J125" s="1166"/>
      <c r="K125" s="1057"/>
      <c r="L125" s="965" t="s">
        <v>328</v>
      </c>
      <c r="M125" s="939"/>
      <c r="N125" s="939"/>
      <c r="O125" s="939"/>
      <c r="P125" s="939"/>
      <c r="Q125" s="939"/>
      <c r="R125" s="939"/>
      <c r="S125" s="939"/>
      <c r="T125" s="956"/>
      <c r="U125" s="965" t="s">
        <v>328</v>
      </c>
      <c r="V125" s="939"/>
      <c r="W125" s="939"/>
      <c r="X125" s="939"/>
      <c r="Y125" s="939"/>
      <c r="Z125" s="939"/>
      <c r="AA125" s="939"/>
      <c r="AB125" s="939"/>
      <c r="AC125" s="939"/>
      <c r="AD125" s="940"/>
      <c r="AE125" s="1180"/>
      <c r="AF125" s="1181"/>
      <c r="AG125" s="1130" t="s">
        <v>328</v>
      </c>
      <c r="AH125" s="1131"/>
      <c r="AI125" s="1132"/>
      <c r="AJ125" s="976"/>
      <c r="AK125" s="982"/>
      <c r="AL125" s="1006"/>
      <c r="AM125" s="440"/>
      <c r="AN125" s="89"/>
      <c r="AO125" s="89"/>
    </row>
    <row r="126" spans="1:41" s="69" customFormat="1" ht="15.75" customHeight="1">
      <c r="A126" s="1015"/>
      <c r="B126" s="387"/>
      <c r="C126" s="388"/>
      <c r="D126" s="223" t="s">
        <v>814</v>
      </c>
      <c r="E126" s="320" t="s">
        <v>64</v>
      </c>
      <c r="F126" s="261"/>
      <c r="G126" s="427">
        <v>666.66</v>
      </c>
      <c r="H126" s="320" t="s">
        <v>64</v>
      </c>
      <c r="I126" s="261"/>
      <c r="J126" s="1166"/>
      <c r="K126" s="1057"/>
      <c r="L126" s="119">
        <v>77.813267199999999</v>
      </c>
      <c r="M126" s="225" t="s">
        <v>64</v>
      </c>
      <c r="N126" s="346"/>
      <c r="O126" s="346"/>
      <c r="P126" s="346"/>
      <c r="Q126" s="346"/>
      <c r="R126" s="346"/>
      <c r="S126" s="119">
        <v>77.813267199999999</v>
      </c>
      <c r="T126" s="196">
        <v>306.41024268068486</v>
      </c>
      <c r="U126" s="455"/>
      <c r="V126" s="74"/>
      <c r="W126" s="74"/>
      <c r="X126" s="456"/>
      <c r="Y126" s="119">
        <v>3</v>
      </c>
      <c r="Z126" s="196">
        <v>11.813290472425445</v>
      </c>
      <c r="AA126" s="633">
        <f t="shared" si="5"/>
        <v>14.813290472425445</v>
      </c>
      <c r="AB126" s="483">
        <v>57.018764943534151</v>
      </c>
      <c r="AC126" s="483">
        <v>27.149976000000002</v>
      </c>
      <c r="AD126" s="484">
        <v>106.91018426912638</v>
      </c>
      <c r="AE126" s="1180"/>
      <c r="AF126" s="1181"/>
      <c r="AG126" s="487">
        <v>77.813267199999999</v>
      </c>
      <c r="AH126" s="488">
        <v>612.82048536136972</v>
      </c>
      <c r="AI126" s="185">
        <f t="shared" si="3"/>
        <v>612.82048536136972</v>
      </c>
      <c r="AJ126" s="976"/>
      <c r="AK126" s="982"/>
      <c r="AL126" s="1006"/>
      <c r="AM126" s="440"/>
      <c r="AN126" s="89"/>
      <c r="AO126" s="89"/>
    </row>
    <row r="127" spans="1:41" s="69" customFormat="1" ht="15.75" customHeight="1">
      <c r="A127" s="1015"/>
      <c r="B127" s="387"/>
      <c r="C127" s="388"/>
      <c r="D127" s="223" t="s">
        <v>815</v>
      </c>
      <c r="E127" s="320" t="s">
        <v>64</v>
      </c>
      <c r="F127" s="261"/>
      <c r="G127" s="428">
        <v>66.599999999999994</v>
      </c>
      <c r="H127" s="320" t="s">
        <v>64</v>
      </c>
      <c r="I127" s="261"/>
      <c r="J127" s="1166"/>
      <c r="K127" s="1057"/>
      <c r="L127" s="119">
        <v>71.860671999999994</v>
      </c>
      <c r="M127" s="225" t="s">
        <v>64</v>
      </c>
      <c r="N127" s="346"/>
      <c r="O127" s="346"/>
      <c r="P127" s="346"/>
      <c r="Q127" s="346"/>
      <c r="R127" s="346"/>
      <c r="S127" s="119">
        <v>71.860671999999994</v>
      </c>
      <c r="T127" s="196">
        <v>282.97033062656317</v>
      </c>
      <c r="U127" s="455"/>
      <c r="V127" s="74"/>
      <c r="W127" s="74"/>
      <c r="X127" s="456"/>
      <c r="Y127" s="119">
        <v>3</v>
      </c>
      <c r="Z127" s="196">
        <v>11.813290472425445</v>
      </c>
      <c r="AA127" s="633">
        <f t="shared" si="5"/>
        <v>14.813290472425445</v>
      </c>
      <c r="AB127" s="483">
        <v>52.482007771768586</v>
      </c>
      <c r="AC127" s="483">
        <v>24.98976</v>
      </c>
      <c r="AD127" s="484">
        <v>98.403764572066066</v>
      </c>
      <c r="AE127" s="1180"/>
      <c r="AF127" s="1181"/>
      <c r="AG127" s="487">
        <v>71.860671999999994</v>
      </c>
      <c r="AH127" s="488">
        <v>565.94066125312634</v>
      </c>
      <c r="AI127" s="185">
        <f t="shared" si="3"/>
        <v>565.94066125312634</v>
      </c>
      <c r="AJ127" s="976"/>
      <c r="AK127" s="982"/>
      <c r="AL127" s="1006"/>
      <c r="AM127" s="440"/>
      <c r="AN127" s="89"/>
      <c r="AO127" s="89"/>
    </row>
    <row r="128" spans="1:41" s="69" customFormat="1" ht="15.75" customHeight="1">
      <c r="A128" s="1015"/>
      <c r="B128" s="387"/>
      <c r="C128" s="388"/>
      <c r="D128" s="223" t="s">
        <v>816</v>
      </c>
      <c r="E128" s="320" t="s">
        <v>64</v>
      </c>
      <c r="F128" s="261"/>
      <c r="G128" s="428">
        <v>66.599999999999994</v>
      </c>
      <c r="H128" s="320" t="s">
        <v>64</v>
      </c>
      <c r="I128" s="261"/>
      <c r="J128" s="1166"/>
      <c r="K128" s="1057"/>
      <c r="L128" s="119">
        <v>71.860671999999994</v>
      </c>
      <c r="M128" s="225" t="s">
        <v>64</v>
      </c>
      <c r="N128" s="346"/>
      <c r="O128" s="346"/>
      <c r="P128" s="346"/>
      <c r="Q128" s="346"/>
      <c r="R128" s="346"/>
      <c r="S128" s="119">
        <v>71.860671999999994</v>
      </c>
      <c r="T128" s="196">
        <v>282.97033062656317</v>
      </c>
      <c r="U128" s="455"/>
      <c r="V128" s="74"/>
      <c r="W128" s="74"/>
      <c r="X128" s="456"/>
      <c r="Y128" s="119">
        <v>3</v>
      </c>
      <c r="Z128" s="196">
        <v>11.813290472425445</v>
      </c>
      <c r="AA128" s="633">
        <f t="shared" si="5"/>
        <v>14.813290472425445</v>
      </c>
      <c r="AB128" s="483">
        <v>52.482007771768586</v>
      </c>
      <c r="AC128" s="483">
        <v>24.98976</v>
      </c>
      <c r="AD128" s="484">
        <v>98.403764572066066</v>
      </c>
      <c r="AE128" s="1180"/>
      <c r="AF128" s="1181"/>
      <c r="AG128" s="487">
        <v>71.860671999999994</v>
      </c>
      <c r="AH128" s="488">
        <v>565.94066125312634</v>
      </c>
      <c r="AI128" s="185">
        <f t="shared" si="3"/>
        <v>565.94066125312634</v>
      </c>
      <c r="AJ128" s="976"/>
      <c r="AK128" s="982"/>
      <c r="AL128" s="1006"/>
      <c r="AM128" s="440"/>
      <c r="AN128" s="89"/>
      <c r="AO128" s="89"/>
    </row>
    <row r="129" spans="1:41" s="69" customFormat="1" ht="15.75" customHeight="1">
      <c r="A129" s="1015"/>
      <c r="B129" s="387"/>
      <c r="C129" s="388"/>
      <c r="D129" s="223" t="s">
        <v>820</v>
      </c>
      <c r="E129" s="320" t="s">
        <v>64</v>
      </c>
      <c r="F129" s="261"/>
      <c r="G129" s="475">
        <v>5000</v>
      </c>
      <c r="H129" s="320" t="s">
        <v>64</v>
      </c>
      <c r="I129" s="261"/>
      <c r="J129" s="1166"/>
      <c r="K129" s="1057"/>
      <c r="L129" s="924" t="s">
        <v>328</v>
      </c>
      <c r="M129" s="925"/>
      <c r="N129" s="925"/>
      <c r="O129" s="925"/>
      <c r="P129" s="925"/>
      <c r="Q129" s="925"/>
      <c r="R129" s="925"/>
      <c r="S129" s="925"/>
      <c r="T129" s="926"/>
      <c r="U129" s="924" t="s">
        <v>328</v>
      </c>
      <c r="V129" s="925"/>
      <c r="W129" s="925"/>
      <c r="X129" s="925"/>
      <c r="Y129" s="925"/>
      <c r="Z129" s="925"/>
      <c r="AA129" s="925"/>
      <c r="AB129" s="925"/>
      <c r="AC129" s="925"/>
      <c r="AD129" s="935"/>
      <c r="AE129" s="1180"/>
      <c r="AF129" s="1181"/>
      <c r="AG129" s="1290" t="s">
        <v>328</v>
      </c>
      <c r="AH129" s="1291"/>
      <c r="AI129" s="1292"/>
      <c r="AJ129" s="976"/>
      <c r="AK129" s="982"/>
      <c r="AL129" s="1006"/>
      <c r="AM129" s="440"/>
      <c r="AN129" s="89"/>
      <c r="AO129" s="89"/>
    </row>
    <row r="130" spans="1:41" s="69" customFormat="1" ht="15.75" customHeight="1">
      <c r="A130" s="1015"/>
      <c r="B130" s="387"/>
      <c r="C130" s="388"/>
      <c r="D130" s="223" t="s">
        <v>821</v>
      </c>
      <c r="E130" s="320" t="s">
        <v>64</v>
      </c>
      <c r="F130" s="261"/>
      <c r="G130" s="475">
        <v>40903</v>
      </c>
      <c r="H130" s="320" t="s">
        <v>64</v>
      </c>
      <c r="I130" s="261"/>
      <c r="J130" s="1166"/>
      <c r="K130" s="1057"/>
      <c r="L130" s="968"/>
      <c r="M130" s="969"/>
      <c r="N130" s="969"/>
      <c r="O130" s="969"/>
      <c r="P130" s="969"/>
      <c r="Q130" s="969"/>
      <c r="R130" s="969"/>
      <c r="S130" s="969"/>
      <c r="T130" s="993"/>
      <c r="U130" s="968"/>
      <c r="V130" s="969"/>
      <c r="W130" s="969"/>
      <c r="X130" s="969"/>
      <c r="Y130" s="969"/>
      <c r="Z130" s="969"/>
      <c r="AA130" s="969"/>
      <c r="AB130" s="969"/>
      <c r="AC130" s="969"/>
      <c r="AD130" s="970"/>
      <c r="AE130" s="1180"/>
      <c r="AF130" s="1181"/>
      <c r="AG130" s="1185"/>
      <c r="AH130" s="1186"/>
      <c r="AI130" s="1187"/>
      <c r="AJ130" s="976"/>
      <c r="AK130" s="982"/>
      <c r="AL130" s="1006"/>
      <c r="AM130" s="440"/>
      <c r="AN130" s="89"/>
      <c r="AO130" s="89"/>
    </row>
    <row r="131" spans="1:41" s="69" customFormat="1" ht="15.75" customHeight="1">
      <c r="A131" s="1015"/>
      <c r="B131" s="387"/>
      <c r="C131" s="388"/>
      <c r="D131" s="223" t="s">
        <v>822</v>
      </c>
      <c r="E131" s="320" t="s">
        <v>64</v>
      </c>
      <c r="F131" s="261"/>
      <c r="G131" s="475">
        <f>G130*10%</f>
        <v>4090.3</v>
      </c>
      <c r="H131" s="320" t="s">
        <v>64</v>
      </c>
      <c r="I131" s="261"/>
      <c r="J131" s="1166"/>
      <c r="K131" s="1057"/>
      <c r="L131" s="119">
        <v>111.77577599999999</v>
      </c>
      <c r="M131" s="225" t="s">
        <v>64</v>
      </c>
      <c r="N131" s="346"/>
      <c r="O131" s="346"/>
      <c r="P131" s="346"/>
      <c r="Q131" s="346"/>
      <c r="R131" s="346"/>
      <c r="S131" s="119">
        <v>111.77577599999999</v>
      </c>
      <c r="T131" s="196">
        <v>440.14656988958666</v>
      </c>
      <c r="U131" s="455"/>
      <c r="V131" s="74"/>
      <c r="W131" s="74"/>
      <c r="X131" s="456"/>
      <c r="Y131" s="119">
        <v>3</v>
      </c>
      <c r="Z131" s="196">
        <v>11.813290472425445</v>
      </c>
      <c r="AA131" s="633">
        <f t="shared" si="5"/>
        <v>14.813290472425445</v>
      </c>
      <c r="AB131" s="483">
        <v>82.903215371063453</v>
      </c>
      <c r="AC131" s="483">
        <v>39.475079999999998</v>
      </c>
      <c r="AD131" s="484">
        <v>155.44352882074404</v>
      </c>
      <c r="AE131" s="1180"/>
      <c r="AF131" s="1181"/>
      <c r="AG131" s="487">
        <v>111.77577599999999</v>
      </c>
      <c r="AH131" s="488">
        <v>880.29313977917332</v>
      </c>
      <c r="AI131" s="185">
        <f t="shared" si="3"/>
        <v>880.29313977917332</v>
      </c>
      <c r="AJ131" s="976"/>
      <c r="AK131" s="982"/>
      <c r="AL131" s="1006"/>
      <c r="AM131" s="440"/>
      <c r="AN131" s="89"/>
      <c r="AO131" s="89"/>
    </row>
    <row r="132" spans="1:41" s="69" customFormat="1" ht="15.75" customHeight="1">
      <c r="A132" s="1015"/>
      <c r="B132" s="387"/>
      <c r="C132" s="388"/>
      <c r="D132" s="223" t="s">
        <v>823</v>
      </c>
      <c r="E132" s="320" t="s">
        <v>64</v>
      </c>
      <c r="F132" s="261"/>
      <c r="G132" s="475">
        <v>4090.3</v>
      </c>
      <c r="H132" s="320" t="s">
        <v>64</v>
      </c>
      <c r="I132" s="261"/>
      <c r="J132" s="1166"/>
      <c r="K132" s="1057"/>
      <c r="L132" s="119">
        <v>111.77577599999999</v>
      </c>
      <c r="M132" s="225" t="s">
        <v>64</v>
      </c>
      <c r="N132" s="346"/>
      <c r="O132" s="346"/>
      <c r="P132" s="346"/>
      <c r="Q132" s="346"/>
      <c r="R132" s="346"/>
      <c r="S132" s="119">
        <v>111.77577599999999</v>
      </c>
      <c r="T132" s="196">
        <v>440.14656988958666</v>
      </c>
      <c r="U132" s="455"/>
      <c r="V132" s="74"/>
      <c r="W132" s="74"/>
      <c r="X132" s="456"/>
      <c r="Y132" s="119">
        <v>3</v>
      </c>
      <c r="Z132" s="196">
        <v>11.813290472425445</v>
      </c>
      <c r="AA132" s="633">
        <f t="shared" si="5"/>
        <v>14.813290472425445</v>
      </c>
      <c r="AB132" s="483">
        <v>82.903215371063453</v>
      </c>
      <c r="AC132" s="483">
        <v>39.475079999999998</v>
      </c>
      <c r="AD132" s="484">
        <v>155.44352882074404</v>
      </c>
      <c r="AE132" s="1180"/>
      <c r="AF132" s="1181"/>
      <c r="AG132" s="487">
        <v>111.77577599999999</v>
      </c>
      <c r="AH132" s="488">
        <v>880.29313977917332</v>
      </c>
      <c r="AI132" s="185">
        <f t="shared" si="3"/>
        <v>880.29313977917332</v>
      </c>
      <c r="AJ132" s="976"/>
      <c r="AK132" s="982"/>
      <c r="AL132" s="1006"/>
      <c r="AM132" s="440"/>
      <c r="AN132" s="89"/>
      <c r="AO132" s="89"/>
    </row>
    <row r="133" spans="1:41" s="69" customFormat="1" ht="15.75" customHeight="1">
      <c r="A133" s="1015"/>
      <c r="B133" s="387"/>
      <c r="C133" s="388"/>
      <c r="D133" s="223" t="s">
        <v>825</v>
      </c>
      <c r="E133" s="320" t="s">
        <v>64</v>
      </c>
      <c r="F133" s="261"/>
      <c r="G133" s="475">
        <v>15000</v>
      </c>
      <c r="H133" s="320" t="s">
        <v>64</v>
      </c>
      <c r="I133" s="261"/>
      <c r="J133" s="1166"/>
      <c r="K133" s="1057"/>
      <c r="L133" s="965" t="s">
        <v>328</v>
      </c>
      <c r="M133" s="939"/>
      <c r="N133" s="939"/>
      <c r="O133" s="939"/>
      <c r="P133" s="939"/>
      <c r="Q133" s="939"/>
      <c r="R133" s="939"/>
      <c r="S133" s="939"/>
      <c r="T133" s="956"/>
      <c r="U133" s="965" t="s">
        <v>328</v>
      </c>
      <c r="V133" s="939"/>
      <c r="W133" s="939"/>
      <c r="X133" s="939"/>
      <c r="Y133" s="939"/>
      <c r="Z133" s="939"/>
      <c r="AA133" s="939"/>
      <c r="AB133" s="939"/>
      <c r="AC133" s="939"/>
      <c r="AD133" s="940"/>
      <c r="AE133" s="1180"/>
      <c r="AF133" s="1181"/>
      <c r="AG133" s="1130" t="s">
        <v>328</v>
      </c>
      <c r="AH133" s="1131"/>
      <c r="AI133" s="1132"/>
      <c r="AJ133" s="976"/>
      <c r="AK133" s="982"/>
      <c r="AL133" s="1006"/>
      <c r="AM133" s="440"/>
      <c r="AN133" s="89"/>
      <c r="AO133" s="89"/>
    </row>
    <row r="134" spans="1:41" s="69" customFormat="1" ht="15.75" customHeight="1">
      <c r="A134" s="1015"/>
      <c r="B134" s="387"/>
      <c r="C134" s="388"/>
      <c r="D134" s="223" t="s">
        <v>826</v>
      </c>
      <c r="E134" s="320" t="s">
        <v>64</v>
      </c>
      <c r="F134" s="261"/>
      <c r="G134" s="426">
        <v>1500</v>
      </c>
      <c r="H134" s="320" t="s">
        <v>64</v>
      </c>
      <c r="I134" s="261"/>
      <c r="J134" s="1166"/>
      <c r="K134" s="1057"/>
      <c r="L134" s="119">
        <v>86.08</v>
      </c>
      <c r="M134" s="225" t="s">
        <v>64</v>
      </c>
      <c r="N134" s="346"/>
      <c r="O134" s="346"/>
      <c r="P134" s="346"/>
      <c r="Q134" s="346"/>
      <c r="R134" s="346"/>
      <c r="S134" s="119">
        <v>86.08</v>
      </c>
      <c r="T134" s="196">
        <v>338.96268128879404</v>
      </c>
      <c r="U134" s="455"/>
      <c r="V134" s="74"/>
      <c r="W134" s="74"/>
      <c r="X134" s="456"/>
      <c r="Y134" s="119">
        <v>3</v>
      </c>
      <c r="Z134" s="196">
        <v>11.813290472425445</v>
      </c>
      <c r="AA134" s="633">
        <f t="shared" si="5"/>
        <v>14.813290472425445</v>
      </c>
      <c r="AB134" s="483">
        <v>63.319236932200383</v>
      </c>
      <c r="AC134" s="483">
        <v>30.150000000000002</v>
      </c>
      <c r="AD134" s="484">
        <v>118.72356924787572</v>
      </c>
      <c r="AE134" s="1180"/>
      <c r="AF134" s="1181"/>
      <c r="AG134" s="487">
        <v>86.08</v>
      </c>
      <c r="AH134" s="488">
        <v>677.92536257758809</v>
      </c>
      <c r="AI134" s="185">
        <f t="shared" si="3"/>
        <v>677.92536257758809</v>
      </c>
      <c r="AJ134" s="976"/>
      <c r="AK134" s="982"/>
      <c r="AL134" s="1006"/>
      <c r="AM134" s="440"/>
      <c r="AN134" s="89"/>
      <c r="AO134" s="89"/>
    </row>
    <row r="135" spans="1:41" s="69" customFormat="1" ht="15.75" customHeight="1">
      <c r="A135" s="1015"/>
      <c r="B135" s="387"/>
      <c r="C135" s="388"/>
      <c r="D135" s="223" t="s">
        <v>827</v>
      </c>
      <c r="E135" s="320" t="s">
        <v>64</v>
      </c>
      <c r="F135" s="261"/>
      <c r="G135" s="426">
        <v>1500</v>
      </c>
      <c r="H135" s="320" t="s">
        <v>64</v>
      </c>
      <c r="I135" s="261"/>
      <c r="J135" s="1166"/>
      <c r="K135" s="1057"/>
      <c r="L135" s="7">
        <v>86.08</v>
      </c>
      <c r="M135" s="320" t="s">
        <v>64</v>
      </c>
      <c r="N135" s="188"/>
      <c r="O135" s="188"/>
      <c r="P135" s="188"/>
      <c r="Q135" s="188"/>
      <c r="R135" s="188"/>
      <c r="S135" s="7">
        <v>86.08</v>
      </c>
      <c r="T135" s="157">
        <v>338.96268128879404</v>
      </c>
      <c r="U135" s="40"/>
      <c r="V135" s="83"/>
      <c r="W135" s="83"/>
      <c r="X135" s="154"/>
      <c r="Y135" s="7">
        <v>3</v>
      </c>
      <c r="Z135" s="157">
        <v>11.813290472425445</v>
      </c>
      <c r="AA135" s="633">
        <f t="shared" si="5"/>
        <v>14.813290472425445</v>
      </c>
      <c r="AB135" s="410">
        <v>63.319236932200383</v>
      </c>
      <c r="AC135" s="410">
        <v>30.150000000000002</v>
      </c>
      <c r="AD135" s="509">
        <v>118.72356924787572</v>
      </c>
      <c r="AE135" s="1180"/>
      <c r="AF135" s="1181"/>
      <c r="AG135" s="506">
        <v>86.08</v>
      </c>
      <c r="AH135" s="507">
        <v>677.92536257758809</v>
      </c>
      <c r="AI135" s="508">
        <f t="shared" si="3"/>
        <v>677.92536257758809</v>
      </c>
      <c r="AJ135" s="976"/>
      <c r="AK135" s="982"/>
      <c r="AL135" s="1006"/>
      <c r="AM135" s="440"/>
      <c r="AN135" s="89"/>
      <c r="AO135" s="89"/>
    </row>
    <row r="136" spans="1:41" s="69" customFormat="1" ht="15.75" customHeight="1">
      <c r="A136" s="1015"/>
      <c r="B136" s="387"/>
      <c r="C136" s="388"/>
      <c r="D136" s="223" t="s">
        <v>828</v>
      </c>
      <c r="E136" s="320" t="s">
        <v>64</v>
      </c>
      <c r="F136" s="261"/>
      <c r="G136" s="476">
        <v>6.66</v>
      </c>
      <c r="H136" s="320" t="s">
        <v>64</v>
      </c>
      <c r="I136" s="261"/>
      <c r="J136" s="1166"/>
      <c r="K136" s="1057"/>
      <c r="L136" s="971" t="s">
        <v>328</v>
      </c>
      <c r="M136" s="932"/>
      <c r="N136" s="932"/>
      <c r="O136" s="932"/>
      <c r="P136" s="932"/>
      <c r="Q136" s="932"/>
      <c r="R136" s="932"/>
      <c r="S136" s="932"/>
      <c r="T136" s="933"/>
      <c r="U136" s="971" t="s">
        <v>328</v>
      </c>
      <c r="V136" s="932"/>
      <c r="W136" s="932"/>
      <c r="X136" s="932"/>
      <c r="Y136" s="932"/>
      <c r="Z136" s="932"/>
      <c r="AA136" s="932"/>
      <c r="AB136" s="932"/>
      <c r="AC136" s="932"/>
      <c r="AD136" s="937"/>
      <c r="AE136" s="1180"/>
      <c r="AF136" s="1181"/>
      <c r="AG136" s="1151" t="s">
        <v>328</v>
      </c>
      <c r="AH136" s="1152"/>
      <c r="AI136" s="1153"/>
      <c r="AJ136" s="976"/>
      <c r="AK136" s="982"/>
      <c r="AL136" s="1006"/>
      <c r="AM136" s="440"/>
      <c r="AN136" s="89"/>
      <c r="AO136" s="89"/>
    </row>
    <row r="137" spans="1:41" s="69" customFormat="1" ht="15.75" customHeight="1">
      <c r="A137" s="1015"/>
      <c r="B137" s="387"/>
      <c r="C137" s="388"/>
      <c r="D137" s="223" t="s">
        <v>829</v>
      </c>
      <c r="E137" s="320" t="s">
        <v>64</v>
      </c>
      <c r="F137" s="261"/>
      <c r="G137" s="476">
        <v>66.599999999999994</v>
      </c>
      <c r="H137" s="320" t="s">
        <v>64</v>
      </c>
      <c r="I137" s="261"/>
      <c r="J137" s="1166"/>
      <c r="K137" s="1057"/>
      <c r="L137" s="971"/>
      <c r="M137" s="932"/>
      <c r="N137" s="932"/>
      <c r="O137" s="932"/>
      <c r="P137" s="932"/>
      <c r="Q137" s="932"/>
      <c r="R137" s="932"/>
      <c r="S137" s="932"/>
      <c r="T137" s="933"/>
      <c r="U137" s="971"/>
      <c r="V137" s="932"/>
      <c r="W137" s="932"/>
      <c r="X137" s="932"/>
      <c r="Y137" s="932"/>
      <c r="Z137" s="932"/>
      <c r="AA137" s="932"/>
      <c r="AB137" s="932"/>
      <c r="AC137" s="932"/>
      <c r="AD137" s="937"/>
      <c r="AE137" s="1180"/>
      <c r="AF137" s="1181"/>
      <c r="AG137" s="1151"/>
      <c r="AH137" s="1152"/>
      <c r="AI137" s="1153"/>
      <c r="AJ137" s="976"/>
      <c r="AK137" s="982"/>
      <c r="AL137" s="1006"/>
      <c r="AM137" s="440"/>
      <c r="AN137" s="89"/>
      <c r="AO137" s="89"/>
    </row>
    <row r="138" spans="1:41" s="69" customFormat="1" ht="15.75" customHeight="1">
      <c r="A138" s="1015"/>
      <c r="B138" s="387"/>
      <c r="C138" s="388"/>
      <c r="D138" s="223" t="s">
        <v>830</v>
      </c>
      <c r="E138" s="320" t="s">
        <v>64</v>
      </c>
      <c r="F138" s="261"/>
      <c r="G138" s="476">
        <v>666.66</v>
      </c>
      <c r="H138" s="320" t="s">
        <v>64</v>
      </c>
      <c r="I138" s="261"/>
      <c r="J138" s="1166"/>
      <c r="K138" s="1057"/>
      <c r="L138" s="971"/>
      <c r="M138" s="932"/>
      <c r="N138" s="932"/>
      <c r="O138" s="932"/>
      <c r="P138" s="932"/>
      <c r="Q138" s="932"/>
      <c r="R138" s="932"/>
      <c r="S138" s="932"/>
      <c r="T138" s="933"/>
      <c r="U138" s="971"/>
      <c r="V138" s="932"/>
      <c r="W138" s="932"/>
      <c r="X138" s="932"/>
      <c r="Y138" s="932"/>
      <c r="Z138" s="932"/>
      <c r="AA138" s="932"/>
      <c r="AB138" s="932"/>
      <c r="AC138" s="932"/>
      <c r="AD138" s="937"/>
      <c r="AE138" s="1180"/>
      <c r="AF138" s="1181"/>
      <c r="AG138" s="1151"/>
      <c r="AH138" s="1152"/>
      <c r="AI138" s="1153"/>
      <c r="AJ138" s="976"/>
      <c r="AK138" s="982"/>
      <c r="AL138" s="1006"/>
      <c r="AM138" s="440"/>
      <c r="AN138" s="89"/>
      <c r="AO138" s="89"/>
    </row>
    <row r="139" spans="1:41" s="69" customFormat="1" ht="16.5" customHeight="1" thickBot="1">
      <c r="A139" s="1015"/>
      <c r="B139" s="389"/>
      <c r="C139" s="390"/>
      <c r="D139" s="224" t="s">
        <v>831</v>
      </c>
      <c r="E139" s="226" t="s">
        <v>64</v>
      </c>
      <c r="F139" s="324"/>
      <c r="G139" s="432">
        <f>50*78.66</f>
        <v>3933</v>
      </c>
      <c r="H139" s="226" t="s">
        <v>64</v>
      </c>
      <c r="I139" s="261"/>
      <c r="J139" s="1168"/>
      <c r="K139" s="1059"/>
      <c r="L139" s="927"/>
      <c r="M139" s="928"/>
      <c r="N139" s="928"/>
      <c r="O139" s="928"/>
      <c r="P139" s="928"/>
      <c r="Q139" s="928"/>
      <c r="R139" s="928"/>
      <c r="S139" s="928"/>
      <c r="T139" s="929"/>
      <c r="U139" s="927"/>
      <c r="V139" s="928"/>
      <c r="W139" s="928"/>
      <c r="X139" s="928"/>
      <c r="Y139" s="928"/>
      <c r="Z139" s="928"/>
      <c r="AA139" s="928"/>
      <c r="AB139" s="928"/>
      <c r="AC139" s="928"/>
      <c r="AD139" s="936"/>
      <c r="AE139" s="1180"/>
      <c r="AF139" s="1181"/>
      <c r="AG139" s="1185"/>
      <c r="AH139" s="1186"/>
      <c r="AI139" s="1187"/>
      <c r="AJ139" s="976"/>
      <c r="AK139" s="983"/>
      <c r="AL139" s="1006"/>
      <c r="AM139" s="440"/>
      <c r="AN139" s="89"/>
      <c r="AO139" s="89"/>
    </row>
    <row r="140" spans="1:41" s="69" customFormat="1" ht="16.5" thickBot="1">
      <c r="A140" s="1015"/>
      <c r="B140" s="463" t="s">
        <v>151</v>
      </c>
      <c r="C140" s="390" t="s">
        <v>151</v>
      </c>
      <c r="D140" s="457" t="s">
        <v>832</v>
      </c>
      <c r="E140" s="471" t="s">
        <v>82</v>
      </c>
      <c r="F140" s="480"/>
      <c r="G140" s="477">
        <v>29425</v>
      </c>
      <c r="H140" s="477">
        <v>29425</v>
      </c>
      <c r="I140" s="261"/>
      <c r="J140" s="1203" t="s">
        <v>312</v>
      </c>
      <c r="K140" s="725" t="s">
        <v>500</v>
      </c>
      <c r="L140" s="1050" t="s">
        <v>329</v>
      </c>
      <c r="M140" s="1051"/>
      <c r="N140" s="1051"/>
      <c r="O140" s="1051"/>
      <c r="P140" s="1051"/>
      <c r="Q140" s="1051"/>
      <c r="R140" s="1051"/>
      <c r="S140" s="1051"/>
      <c r="T140" s="1052"/>
      <c r="U140" s="1050" t="s">
        <v>329</v>
      </c>
      <c r="V140" s="1051"/>
      <c r="W140" s="1051"/>
      <c r="X140" s="1051"/>
      <c r="Y140" s="1051"/>
      <c r="Z140" s="1052"/>
      <c r="AA140" s="957" t="s">
        <v>329</v>
      </c>
      <c r="AB140" s="958"/>
      <c r="AC140" s="958"/>
      <c r="AD140" s="962"/>
      <c r="AE140" s="1180"/>
      <c r="AF140" s="1181"/>
      <c r="AG140" s="1148" t="s">
        <v>329</v>
      </c>
      <c r="AH140" s="1149"/>
      <c r="AI140" s="1150"/>
      <c r="AJ140" s="976"/>
      <c r="AK140" s="490"/>
      <c r="AL140" s="1006"/>
      <c r="AM140" s="440"/>
      <c r="AN140" s="89"/>
      <c r="AO140" s="89"/>
    </row>
    <row r="141" spans="1:41" s="69" customFormat="1" ht="15.75" customHeight="1">
      <c r="A141" s="1015"/>
      <c r="B141" s="232" t="s">
        <v>151</v>
      </c>
      <c r="C141" s="912" t="s">
        <v>151</v>
      </c>
      <c r="D141" s="458" t="s">
        <v>81</v>
      </c>
      <c r="E141" s="240" t="s">
        <v>83</v>
      </c>
      <c r="F141" s="323"/>
      <c r="G141" s="478">
        <v>25000</v>
      </c>
      <c r="H141" s="478">
        <v>25000</v>
      </c>
      <c r="I141" s="261"/>
      <c r="J141" s="1166"/>
      <c r="K141" s="1163" t="s">
        <v>501</v>
      </c>
      <c r="L141" s="971"/>
      <c r="M141" s="932"/>
      <c r="N141" s="932"/>
      <c r="O141" s="932"/>
      <c r="P141" s="932"/>
      <c r="Q141" s="932"/>
      <c r="R141" s="932"/>
      <c r="S141" s="932"/>
      <c r="T141" s="933"/>
      <c r="U141" s="971"/>
      <c r="V141" s="932"/>
      <c r="W141" s="932"/>
      <c r="X141" s="932"/>
      <c r="Y141" s="932"/>
      <c r="Z141" s="933"/>
      <c r="AA141" s="960"/>
      <c r="AB141" s="951"/>
      <c r="AC141" s="951"/>
      <c r="AD141" s="963"/>
      <c r="AE141" s="1180"/>
      <c r="AF141" s="1181"/>
      <c r="AG141" s="1151"/>
      <c r="AH141" s="1152"/>
      <c r="AI141" s="1153"/>
      <c r="AJ141" s="976"/>
      <c r="AK141" s="981"/>
      <c r="AL141" s="1006"/>
      <c r="AM141" s="440"/>
      <c r="AN141" s="89"/>
      <c r="AO141" s="89"/>
    </row>
    <row r="142" spans="1:41" s="69" customFormat="1" ht="16.5" customHeight="1" thickBot="1">
      <c r="A142" s="1015"/>
      <c r="B142" s="464"/>
      <c r="C142" s="390"/>
      <c r="D142" s="224" t="s">
        <v>808</v>
      </c>
      <c r="E142" s="226" t="s">
        <v>64</v>
      </c>
      <c r="F142" s="324"/>
      <c r="G142" s="477">
        <v>1467.35</v>
      </c>
      <c r="H142" s="226" t="s">
        <v>64</v>
      </c>
      <c r="I142" s="261"/>
      <c r="J142" s="1168"/>
      <c r="K142" s="1059"/>
      <c r="L142" s="927"/>
      <c r="M142" s="928"/>
      <c r="N142" s="928"/>
      <c r="O142" s="928"/>
      <c r="P142" s="928"/>
      <c r="Q142" s="928"/>
      <c r="R142" s="928"/>
      <c r="S142" s="928"/>
      <c r="T142" s="929"/>
      <c r="U142" s="927"/>
      <c r="V142" s="928"/>
      <c r="W142" s="928"/>
      <c r="X142" s="928"/>
      <c r="Y142" s="928"/>
      <c r="Z142" s="929"/>
      <c r="AA142" s="1086"/>
      <c r="AB142" s="973"/>
      <c r="AC142" s="973"/>
      <c r="AD142" s="974"/>
      <c r="AE142" s="1180"/>
      <c r="AF142" s="1181"/>
      <c r="AG142" s="1154"/>
      <c r="AH142" s="1155"/>
      <c r="AI142" s="1156"/>
      <c r="AJ142" s="976"/>
      <c r="AK142" s="983"/>
      <c r="AL142" s="1006"/>
      <c r="AM142" s="440"/>
      <c r="AN142" s="89"/>
      <c r="AO142" s="89"/>
    </row>
    <row r="143" spans="1:41" s="69" customFormat="1">
      <c r="A143" s="1015"/>
      <c r="B143" s="465" t="s">
        <v>151</v>
      </c>
      <c r="C143" s="386" t="s">
        <v>151</v>
      </c>
      <c r="D143" s="498" t="s">
        <v>277</v>
      </c>
      <c r="E143" s="472" t="s">
        <v>297</v>
      </c>
      <c r="F143" s="323"/>
      <c r="G143" s="433">
        <v>0</v>
      </c>
      <c r="H143" s="320"/>
      <c r="I143" s="261"/>
      <c r="J143" s="1203" t="s">
        <v>320</v>
      </c>
      <c r="K143" s="1057" t="s">
        <v>502</v>
      </c>
      <c r="L143" s="957" t="s">
        <v>323</v>
      </c>
      <c r="M143" s="958"/>
      <c r="N143" s="959"/>
      <c r="O143" s="730"/>
      <c r="P143" s="730"/>
      <c r="Q143" s="730"/>
      <c r="R143" s="957" t="s">
        <v>323</v>
      </c>
      <c r="S143" s="958"/>
      <c r="T143" s="959"/>
      <c r="U143" s="957" t="s">
        <v>323</v>
      </c>
      <c r="V143" s="958"/>
      <c r="W143" s="959"/>
      <c r="X143" s="957" t="s">
        <v>323</v>
      </c>
      <c r="Y143" s="958"/>
      <c r="Z143" s="959"/>
      <c r="AA143" s="957" t="s">
        <v>323</v>
      </c>
      <c r="AB143" s="958"/>
      <c r="AC143" s="958"/>
      <c r="AD143" s="962"/>
      <c r="AE143" s="1180"/>
      <c r="AF143" s="1181"/>
      <c r="AG143" s="957" t="s">
        <v>323</v>
      </c>
      <c r="AH143" s="958"/>
      <c r="AI143" s="959"/>
      <c r="AJ143" s="976"/>
      <c r="AK143" s="981">
        <f>SUM(AI143:AI180)</f>
        <v>21510.223452667855</v>
      </c>
      <c r="AL143" s="1006"/>
      <c r="AM143" s="440"/>
      <c r="AN143" s="89"/>
      <c r="AO143" s="89"/>
    </row>
    <row r="144" spans="1:41" s="69" customFormat="1">
      <c r="A144" s="1015"/>
      <c r="B144" s="466"/>
      <c r="C144" s="388"/>
      <c r="D144" s="223" t="s">
        <v>808</v>
      </c>
      <c r="E144" s="472" t="s">
        <v>298</v>
      </c>
      <c r="F144" s="261"/>
      <c r="G144" s="431">
        <v>0</v>
      </c>
      <c r="H144" s="320"/>
      <c r="I144" s="261"/>
      <c r="J144" s="1166"/>
      <c r="K144" s="1057"/>
      <c r="L144" s="960"/>
      <c r="M144" s="951"/>
      <c r="N144" s="952"/>
      <c r="O144" s="737"/>
      <c r="P144" s="737"/>
      <c r="Q144" s="737"/>
      <c r="R144" s="960"/>
      <c r="S144" s="951"/>
      <c r="T144" s="952"/>
      <c r="U144" s="960"/>
      <c r="V144" s="951"/>
      <c r="W144" s="952"/>
      <c r="X144" s="960"/>
      <c r="Y144" s="951"/>
      <c r="Z144" s="952"/>
      <c r="AA144" s="960"/>
      <c r="AB144" s="951"/>
      <c r="AC144" s="951"/>
      <c r="AD144" s="963"/>
      <c r="AE144" s="1180"/>
      <c r="AF144" s="1181"/>
      <c r="AG144" s="960"/>
      <c r="AH144" s="951"/>
      <c r="AI144" s="952"/>
      <c r="AJ144" s="976"/>
      <c r="AK144" s="982"/>
      <c r="AL144" s="1006"/>
      <c r="AM144" s="440"/>
      <c r="AN144" s="89"/>
      <c r="AO144" s="89"/>
    </row>
    <row r="145" spans="1:41" s="69" customFormat="1">
      <c r="A145" s="1015"/>
      <c r="B145" s="466"/>
      <c r="C145" s="388"/>
      <c r="D145" s="223" t="s">
        <v>809</v>
      </c>
      <c r="E145" s="472" t="s">
        <v>299</v>
      </c>
      <c r="F145" s="261"/>
      <c r="G145" s="431">
        <v>250000</v>
      </c>
      <c r="H145" s="320" t="s">
        <v>221</v>
      </c>
      <c r="I145" s="261"/>
      <c r="J145" s="1166"/>
      <c r="K145" s="1057"/>
      <c r="L145" s="960"/>
      <c r="M145" s="951"/>
      <c r="N145" s="952"/>
      <c r="O145" s="737"/>
      <c r="P145" s="737"/>
      <c r="Q145" s="737"/>
      <c r="R145" s="960"/>
      <c r="S145" s="951"/>
      <c r="T145" s="952"/>
      <c r="U145" s="960"/>
      <c r="V145" s="951"/>
      <c r="W145" s="952"/>
      <c r="X145" s="960"/>
      <c r="Y145" s="951"/>
      <c r="Z145" s="952"/>
      <c r="AA145" s="960"/>
      <c r="AB145" s="951"/>
      <c r="AC145" s="951"/>
      <c r="AD145" s="963"/>
      <c r="AE145" s="1180"/>
      <c r="AF145" s="1181"/>
      <c r="AG145" s="960"/>
      <c r="AH145" s="951"/>
      <c r="AI145" s="952"/>
      <c r="AJ145" s="976"/>
      <c r="AK145" s="982"/>
      <c r="AL145" s="1006"/>
      <c r="AM145" s="440"/>
      <c r="AN145" s="89"/>
      <c r="AO145" s="89"/>
    </row>
    <row r="146" spans="1:41" s="69" customFormat="1">
      <c r="A146" s="1015"/>
      <c r="B146" s="466"/>
      <c r="C146" s="388"/>
      <c r="D146" s="223" t="s">
        <v>810</v>
      </c>
      <c r="E146" s="472" t="s">
        <v>300</v>
      </c>
      <c r="F146" s="261"/>
      <c r="G146" s="431">
        <v>0</v>
      </c>
      <c r="H146" s="431"/>
      <c r="I146" s="261"/>
      <c r="J146" s="1166"/>
      <c r="K146" s="1057"/>
      <c r="L146" s="960"/>
      <c r="M146" s="951"/>
      <c r="N146" s="952"/>
      <c r="O146" s="737"/>
      <c r="P146" s="737"/>
      <c r="Q146" s="737"/>
      <c r="R146" s="960"/>
      <c r="S146" s="951"/>
      <c r="T146" s="952"/>
      <c r="U146" s="960"/>
      <c r="V146" s="951"/>
      <c r="W146" s="952"/>
      <c r="X146" s="960"/>
      <c r="Y146" s="951"/>
      <c r="Z146" s="952"/>
      <c r="AA146" s="960"/>
      <c r="AB146" s="951"/>
      <c r="AC146" s="951"/>
      <c r="AD146" s="963"/>
      <c r="AE146" s="1180"/>
      <c r="AF146" s="1181"/>
      <c r="AG146" s="960"/>
      <c r="AH146" s="951"/>
      <c r="AI146" s="952"/>
      <c r="AJ146" s="976"/>
      <c r="AK146" s="982"/>
      <c r="AL146" s="1006"/>
      <c r="AM146" s="440"/>
      <c r="AN146" s="89"/>
      <c r="AO146" s="89"/>
    </row>
    <row r="147" spans="1:41" s="69" customFormat="1">
      <c r="A147" s="1015"/>
      <c r="B147" s="466"/>
      <c r="C147" s="388"/>
      <c r="D147" s="223" t="s">
        <v>811</v>
      </c>
      <c r="E147" s="472" t="s">
        <v>299</v>
      </c>
      <c r="F147" s="261"/>
      <c r="G147" s="431">
        <v>2540</v>
      </c>
      <c r="H147" s="320" t="s">
        <v>221</v>
      </c>
      <c r="I147" s="261"/>
      <c r="J147" s="1166"/>
      <c r="K147" s="1057"/>
      <c r="L147" s="960"/>
      <c r="M147" s="951"/>
      <c r="N147" s="952"/>
      <c r="O147" s="737"/>
      <c r="P147" s="737"/>
      <c r="Q147" s="737"/>
      <c r="R147" s="960"/>
      <c r="S147" s="951"/>
      <c r="T147" s="952"/>
      <c r="U147" s="960"/>
      <c r="V147" s="951"/>
      <c r="W147" s="952"/>
      <c r="X147" s="960"/>
      <c r="Y147" s="951"/>
      <c r="Z147" s="952"/>
      <c r="AA147" s="960"/>
      <c r="AB147" s="951"/>
      <c r="AC147" s="951"/>
      <c r="AD147" s="963"/>
      <c r="AE147" s="1180"/>
      <c r="AF147" s="1181"/>
      <c r="AG147" s="960"/>
      <c r="AH147" s="951"/>
      <c r="AI147" s="952"/>
      <c r="AJ147" s="976"/>
      <c r="AK147" s="982"/>
      <c r="AL147" s="1006"/>
      <c r="AM147" s="440"/>
      <c r="AN147" s="89"/>
      <c r="AO147" s="89"/>
    </row>
    <row r="148" spans="1:41" s="69" customFormat="1">
      <c r="A148" s="1015"/>
      <c r="B148" s="466"/>
      <c r="C148" s="388"/>
      <c r="D148" s="223" t="s">
        <v>812</v>
      </c>
      <c r="E148" s="472" t="s">
        <v>301</v>
      </c>
      <c r="F148" s="261"/>
      <c r="G148" s="431"/>
      <c r="H148" s="320"/>
      <c r="I148" s="261"/>
      <c r="J148" s="1166"/>
      <c r="K148" s="1057"/>
      <c r="L148" s="960"/>
      <c r="M148" s="951"/>
      <c r="N148" s="952"/>
      <c r="O148" s="737"/>
      <c r="P148" s="737"/>
      <c r="Q148" s="737"/>
      <c r="R148" s="960"/>
      <c r="S148" s="951"/>
      <c r="T148" s="952"/>
      <c r="U148" s="960"/>
      <c r="V148" s="951"/>
      <c r="W148" s="952"/>
      <c r="X148" s="960"/>
      <c r="Y148" s="951"/>
      <c r="Z148" s="952"/>
      <c r="AA148" s="960"/>
      <c r="AB148" s="951"/>
      <c r="AC148" s="951"/>
      <c r="AD148" s="963"/>
      <c r="AE148" s="1180"/>
      <c r="AF148" s="1181"/>
      <c r="AG148" s="960"/>
      <c r="AH148" s="951"/>
      <c r="AI148" s="952"/>
      <c r="AJ148" s="976"/>
      <c r="AK148" s="982"/>
      <c r="AL148" s="1006"/>
      <c r="AM148" s="440"/>
      <c r="AN148" s="89"/>
      <c r="AO148" s="89"/>
    </row>
    <row r="149" spans="1:41" s="69" customFormat="1">
      <c r="A149" s="1015"/>
      <c r="B149" s="466"/>
      <c r="C149" s="388"/>
      <c r="D149" s="223" t="s">
        <v>813</v>
      </c>
      <c r="E149" s="472" t="s">
        <v>302</v>
      </c>
      <c r="F149" s="261"/>
      <c r="G149" s="431"/>
      <c r="H149" s="320"/>
      <c r="I149" s="261"/>
      <c r="J149" s="1166"/>
      <c r="K149" s="1057"/>
      <c r="L149" s="960"/>
      <c r="M149" s="951"/>
      <c r="N149" s="952"/>
      <c r="O149" s="737"/>
      <c r="P149" s="737"/>
      <c r="Q149" s="737"/>
      <c r="R149" s="960"/>
      <c r="S149" s="951"/>
      <c r="T149" s="952"/>
      <c r="U149" s="960"/>
      <c r="V149" s="951"/>
      <c r="W149" s="952"/>
      <c r="X149" s="960"/>
      <c r="Y149" s="951"/>
      <c r="Z149" s="952"/>
      <c r="AA149" s="960"/>
      <c r="AB149" s="951"/>
      <c r="AC149" s="951"/>
      <c r="AD149" s="963"/>
      <c r="AE149" s="1180"/>
      <c r="AF149" s="1181"/>
      <c r="AG149" s="960"/>
      <c r="AH149" s="951"/>
      <c r="AI149" s="952"/>
      <c r="AJ149" s="976"/>
      <c r="AK149" s="982"/>
      <c r="AL149" s="1006"/>
      <c r="AM149" s="440"/>
      <c r="AN149" s="89"/>
      <c r="AO149" s="89"/>
    </row>
    <row r="150" spans="1:41" s="69" customFormat="1">
      <c r="A150" s="1015"/>
      <c r="B150" s="466"/>
      <c r="C150" s="388"/>
      <c r="D150" s="922" t="s">
        <v>315</v>
      </c>
      <c r="E150" s="472"/>
      <c r="F150" s="261"/>
      <c r="G150" s="499"/>
      <c r="H150" s="320"/>
      <c r="I150" s="261"/>
      <c r="J150" s="1166"/>
      <c r="K150" s="1057"/>
      <c r="L150" s="960"/>
      <c r="M150" s="951"/>
      <c r="N150" s="952"/>
      <c r="O150" s="737"/>
      <c r="P150" s="737"/>
      <c r="Q150" s="737"/>
      <c r="R150" s="960"/>
      <c r="S150" s="951"/>
      <c r="T150" s="952"/>
      <c r="U150" s="960"/>
      <c r="V150" s="951"/>
      <c r="W150" s="952"/>
      <c r="X150" s="960"/>
      <c r="Y150" s="951"/>
      <c r="Z150" s="952"/>
      <c r="AA150" s="960"/>
      <c r="AB150" s="951"/>
      <c r="AC150" s="951"/>
      <c r="AD150" s="963"/>
      <c r="AE150" s="1180"/>
      <c r="AF150" s="1181"/>
      <c r="AG150" s="960"/>
      <c r="AH150" s="951"/>
      <c r="AI150" s="952"/>
      <c r="AJ150" s="976"/>
      <c r="AK150" s="982"/>
      <c r="AL150" s="1006"/>
      <c r="AM150" s="440"/>
      <c r="AN150" s="89"/>
      <c r="AO150" s="89"/>
    </row>
    <row r="151" spans="1:41" s="69" customFormat="1">
      <c r="A151" s="1015"/>
      <c r="B151" s="466"/>
      <c r="C151" s="388"/>
      <c r="D151" s="922" t="s">
        <v>316</v>
      </c>
      <c r="E151" s="472"/>
      <c r="F151" s="261"/>
      <c r="G151" s="499"/>
      <c r="H151" s="320"/>
      <c r="I151" s="261"/>
      <c r="J151" s="1166"/>
      <c r="K151" s="1057"/>
      <c r="L151" s="960"/>
      <c r="M151" s="951"/>
      <c r="N151" s="952"/>
      <c r="O151" s="737"/>
      <c r="P151" s="737"/>
      <c r="Q151" s="737"/>
      <c r="R151" s="960"/>
      <c r="S151" s="951"/>
      <c r="T151" s="952"/>
      <c r="U151" s="960"/>
      <c r="V151" s="951"/>
      <c r="W151" s="952"/>
      <c r="X151" s="960"/>
      <c r="Y151" s="951"/>
      <c r="Z151" s="952"/>
      <c r="AA151" s="960"/>
      <c r="AB151" s="951"/>
      <c r="AC151" s="951"/>
      <c r="AD151" s="963"/>
      <c r="AE151" s="1180"/>
      <c r="AF151" s="1181"/>
      <c r="AG151" s="960"/>
      <c r="AH151" s="951"/>
      <c r="AI151" s="952"/>
      <c r="AJ151" s="976"/>
      <c r="AK151" s="982"/>
      <c r="AL151" s="1006"/>
      <c r="AM151" s="440"/>
      <c r="AN151" s="89"/>
      <c r="AO151" s="89"/>
    </row>
    <row r="152" spans="1:41" s="69" customFormat="1">
      <c r="A152" s="1015"/>
      <c r="B152" s="466"/>
      <c r="C152" s="388"/>
      <c r="D152" s="922" t="s">
        <v>317</v>
      </c>
      <c r="E152" s="472"/>
      <c r="F152" s="261"/>
      <c r="G152" s="499"/>
      <c r="H152" s="320"/>
      <c r="I152" s="261"/>
      <c r="J152" s="1166"/>
      <c r="K152" s="1057"/>
      <c r="L152" s="960"/>
      <c r="M152" s="951"/>
      <c r="N152" s="952"/>
      <c r="O152" s="737"/>
      <c r="P152" s="737"/>
      <c r="Q152" s="737"/>
      <c r="R152" s="960"/>
      <c r="S152" s="951"/>
      <c r="T152" s="952"/>
      <c r="U152" s="960"/>
      <c r="V152" s="951"/>
      <c r="W152" s="952"/>
      <c r="X152" s="960"/>
      <c r="Y152" s="951"/>
      <c r="Z152" s="952"/>
      <c r="AA152" s="960"/>
      <c r="AB152" s="951"/>
      <c r="AC152" s="951"/>
      <c r="AD152" s="963"/>
      <c r="AE152" s="1180"/>
      <c r="AF152" s="1181"/>
      <c r="AG152" s="960"/>
      <c r="AH152" s="951"/>
      <c r="AI152" s="952"/>
      <c r="AJ152" s="976"/>
      <c r="AK152" s="982"/>
      <c r="AL152" s="1006"/>
      <c r="AM152" s="440"/>
      <c r="AN152" s="89"/>
      <c r="AO152" s="89"/>
    </row>
    <row r="153" spans="1:41" s="69" customFormat="1" ht="13.5" thickBot="1">
      <c r="A153" s="1015"/>
      <c r="B153" s="466"/>
      <c r="C153" s="388"/>
      <c r="D153" s="922" t="s">
        <v>318</v>
      </c>
      <c r="E153" s="472"/>
      <c r="F153" s="261"/>
      <c r="G153" s="500" t="s">
        <v>319</v>
      </c>
      <c r="H153" s="320"/>
      <c r="I153" s="261"/>
      <c r="J153" s="1166"/>
      <c r="K153" s="1057"/>
      <c r="L153" s="960"/>
      <c r="M153" s="951"/>
      <c r="N153" s="952"/>
      <c r="O153" s="737"/>
      <c r="P153" s="737"/>
      <c r="Q153" s="737"/>
      <c r="R153" s="960"/>
      <c r="S153" s="951"/>
      <c r="T153" s="952"/>
      <c r="U153" s="960"/>
      <c r="V153" s="951"/>
      <c r="W153" s="952"/>
      <c r="X153" s="960"/>
      <c r="Y153" s="951"/>
      <c r="Z153" s="952"/>
      <c r="AA153" s="960"/>
      <c r="AB153" s="951"/>
      <c r="AC153" s="951"/>
      <c r="AD153" s="963"/>
      <c r="AE153" s="1180"/>
      <c r="AF153" s="1181"/>
      <c r="AG153" s="960"/>
      <c r="AH153" s="951"/>
      <c r="AI153" s="952"/>
      <c r="AJ153" s="976"/>
      <c r="AK153" s="982"/>
      <c r="AL153" s="1006"/>
      <c r="AM153" s="440"/>
      <c r="AN153" s="89"/>
      <c r="AO153" s="89"/>
    </row>
    <row r="154" spans="1:41" s="69" customFormat="1">
      <c r="A154" s="1015"/>
      <c r="B154" s="466"/>
      <c r="C154" s="388"/>
      <c r="D154" s="922" t="s">
        <v>793</v>
      </c>
      <c r="E154" s="472"/>
      <c r="F154" s="261"/>
      <c r="G154" s="501"/>
      <c r="H154" s="320"/>
      <c r="I154" s="261"/>
      <c r="J154" s="1166"/>
      <c r="K154" s="1057"/>
      <c r="L154" s="960"/>
      <c r="M154" s="951"/>
      <c r="N154" s="952"/>
      <c r="O154" s="737"/>
      <c r="P154" s="737"/>
      <c r="Q154" s="737"/>
      <c r="R154" s="960"/>
      <c r="S154" s="951"/>
      <c r="T154" s="952"/>
      <c r="U154" s="960"/>
      <c r="V154" s="951"/>
      <c r="W154" s="952"/>
      <c r="X154" s="960"/>
      <c r="Y154" s="951"/>
      <c r="Z154" s="952"/>
      <c r="AA154" s="960"/>
      <c r="AB154" s="951"/>
      <c r="AC154" s="951"/>
      <c r="AD154" s="963"/>
      <c r="AE154" s="1180"/>
      <c r="AF154" s="1181"/>
      <c r="AG154" s="960"/>
      <c r="AH154" s="951"/>
      <c r="AI154" s="952"/>
      <c r="AJ154" s="976"/>
      <c r="AK154" s="982"/>
      <c r="AL154" s="1006"/>
      <c r="AM154" s="440"/>
      <c r="AN154" s="89"/>
      <c r="AO154" s="89"/>
    </row>
    <row r="155" spans="1:41" s="69" customFormat="1">
      <c r="A155" s="1015"/>
      <c r="B155" s="466"/>
      <c r="C155" s="388"/>
      <c r="D155" s="922" t="s">
        <v>794</v>
      </c>
      <c r="E155" s="472"/>
      <c r="F155" s="261"/>
      <c r="G155" s="499"/>
      <c r="H155" s="320"/>
      <c r="I155" s="261"/>
      <c r="J155" s="1166"/>
      <c r="K155" s="1057"/>
      <c r="L155" s="960"/>
      <c r="M155" s="951"/>
      <c r="N155" s="952"/>
      <c r="O155" s="737"/>
      <c r="P155" s="737"/>
      <c r="Q155" s="737"/>
      <c r="R155" s="960"/>
      <c r="S155" s="951"/>
      <c r="T155" s="952"/>
      <c r="U155" s="960"/>
      <c r="V155" s="951"/>
      <c r="W155" s="952"/>
      <c r="X155" s="960"/>
      <c r="Y155" s="951"/>
      <c r="Z155" s="952"/>
      <c r="AA155" s="960"/>
      <c r="AB155" s="951"/>
      <c r="AC155" s="951"/>
      <c r="AD155" s="963"/>
      <c r="AE155" s="1180"/>
      <c r="AF155" s="1181"/>
      <c r="AG155" s="960"/>
      <c r="AH155" s="951"/>
      <c r="AI155" s="952"/>
      <c r="AJ155" s="976"/>
      <c r="AK155" s="982"/>
      <c r="AL155" s="1006"/>
      <c r="AM155" s="440"/>
      <c r="AN155" s="89"/>
      <c r="AO155" s="89"/>
    </row>
    <row r="156" spans="1:41" s="69" customFormat="1">
      <c r="A156" s="1015"/>
      <c r="B156" s="466"/>
      <c r="C156" s="388"/>
      <c r="D156" s="922" t="s">
        <v>795</v>
      </c>
      <c r="E156" s="472"/>
      <c r="F156" s="261"/>
      <c r="G156" s="499"/>
      <c r="H156" s="320"/>
      <c r="I156" s="261"/>
      <c r="J156" s="1166"/>
      <c r="K156" s="1057"/>
      <c r="L156" s="960"/>
      <c r="M156" s="951"/>
      <c r="N156" s="952"/>
      <c r="O156" s="737"/>
      <c r="P156" s="737"/>
      <c r="Q156" s="737"/>
      <c r="R156" s="960"/>
      <c r="S156" s="951"/>
      <c r="T156" s="952"/>
      <c r="U156" s="960"/>
      <c r="V156" s="951"/>
      <c r="W156" s="952"/>
      <c r="X156" s="960"/>
      <c r="Y156" s="951"/>
      <c r="Z156" s="952"/>
      <c r="AA156" s="960"/>
      <c r="AB156" s="951"/>
      <c r="AC156" s="951"/>
      <c r="AD156" s="963"/>
      <c r="AE156" s="1180"/>
      <c r="AF156" s="1181"/>
      <c r="AG156" s="960"/>
      <c r="AH156" s="951"/>
      <c r="AI156" s="952"/>
      <c r="AJ156" s="976"/>
      <c r="AK156" s="982"/>
      <c r="AL156" s="1006"/>
      <c r="AM156" s="440"/>
      <c r="AN156" s="89"/>
      <c r="AO156" s="89"/>
    </row>
    <row r="157" spans="1:41" s="69" customFormat="1">
      <c r="A157" s="1015"/>
      <c r="B157" s="466"/>
      <c r="C157" s="388"/>
      <c r="D157" s="922" t="s">
        <v>796</v>
      </c>
      <c r="E157" s="472"/>
      <c r="F157" s="261"/>
      <c r="G157" s="499"/>
      <c r="H157" s="320"/>
      <c r="I157" s="261"/>
      <c r="J157" s="1166"/>
      <c r="K157" s="1057"/>
      <c r="L157" s="960"/>
      <c r="M157" s="951"/>
      <c r="N157" s="952"/>
      <c r="O157" s="737"/>
      <c r="P157" s="737"/>
      <c r="Q157" s="737"/>
      <c r="R157" s="960"/>
      <c r="S157" s="951"/>
      <c r="T157" s="952"/>
      <c r="U157" s="960"/>
      <c r="V157" s="951"/>
      <c r="W157" s="952"/>
      <c r="X157" s="960"/>
      <c r="Y157" s="951"/>
      <c r="Z157" s="952"/>
      <c r="AA157" s="960"/>
      <c r="AB157" s="951"/>
      <c r="AC157" s="951"/>
      <c r="AD157" s="963"/>
      <c r="AE157" s="1180"/>
      <c r="AF157" s="1181"/>
      <c r="AG157" s="960"/>
      <c r="AH157" s="951"/>
      <c r="AI157" s="952"/>
      <c r="AJ157" s="976"/>
      <c r="AK157" s="982"/>
      <c r="AL157" s="1006"/>
      <c r="AM157" s="440"/>
      <c r="AN157" s="89"/>
      <c r="AO157" s="89"/>
    </row>
    <row r="158" spans="1:41" s="69" customFormat="1">
      <c r="A158" s="1015"/>
      <c r="B158" s="466"/>
      <c r="C158" s="388"/>
      <c r="D158" s="223" t="s">
        <v>814</v>
      </c>
      <c r="E158" s="320" t="s">
        <v>64</v>
      </c>
      <c r="F158" s="261"/>
      <c r="G158" s="476">
        <v>6.66</v>
      </c>
      <c r="H158" s="320" t="s">
        <v>64</v>
      </c>
      <c r="I158" s="261"/>
      <c r="J158" s="1166"/>
      <c r="K158" s="1057"/>
      <c r="L158" s="960"/>
      <c r="M158" s="951"/>
      <c r="N158" s="952"/>
      <c r="O158" s="737"/>
      <c r="P158" s="737"/>
      <c r="Q158" s="737"/>
      <c r="R158" s="960"/>
      <c r="S158" s="951"/>
      <c r="T158" s="952"/>
      <c r="U158" s="960"/>
      <c r="V158" s="951"/>
      <c r="W158" s="952"/>
      <c r="X158" s="960"/>
      <c r="Y158" s="951"/>
      <c r="Z158" s="952"/>
      <c r="AA158" s="960"/>
      <c r="AB158" s="951"/>
      <c r="AC158" s="951"/>
      <c r="AD158" s="963"/>
      <c r="AE158" s="1180"/>
      <c r="AF158" s="1181"/>
      <c r="AG158" s="960"/>
      <c r="AH158" s="951"/>
      <c r="AI158" s="952"/>
      <c r="AJ158" s="976"/>
      <c r="AK158" s="982"/>
      <c r="AL158" s="1006"/>
      <c r="AM158" s="440"/>
      <c r="AN158" s="89"/>
      <c r="AO158" s="89"/>
    </row>
    <row r="159" spans="1:41" s="69" customFormat="1">
      <c r="A159" s="1015"/>
      <c r="B159" s="466"/>
      <c r="C159" s="388"/>
      <c r="D159" s="223" t="s">
        <v>815</v>
      </c>
      <c r="E159" s="320" t="s">
        <v>64</v>
      </c>
      <c r="F159" s="261"/>
      <c r="G159" s="476">
        <v>66.599999999999994</v>
      </c>
      <c r="H159" s="320" t="s">
        <v>64</v>
      </c>
      <c r="I159" s="261"/>
      <c r="J159" s="1166"/>
      <c r="K159" s="1057"/>
      <c r="L159" s="960"/>
      <c r="M159" s="951"/>
      <c r="N159" s="952"/>
      <c r="O159" s="737"/>
      <c r="P159" s="737"/>
      <c r="Q159" s="737"/>
      <c r="R159" s="960"/>
      <c r="S159" s="951"/>
      <c r="T159" s="952"/>
      <c r="U159" s="960"/>
      <c r="V159" s="951"/>
      <c r="W159" s="952"/>
      <c r="X159" s="960"/>
      <c r="Y159" s="951"/>
      <c r="Z159" s="952"/>
      <c r="AA159" s="960"/>
      <c r="AB159" s="951"/>
      <c r="AC159" s="951"/>
      <c r="AD159" s="963"/>
      <c r="AE159" s="1180"/>
      <c r="AF159" s="1181"/>
      <c r="AG159" s="960"/>
      <c r="AH159" s="951"/>
      <c r="AI159" s="952"/>
      <c r="AJ159" s="976"/>
      <c r="AK159" s="982"/>
      <c r="AL159" s="1006"/>
      <c r="AM159" s="440"/>
      <c r="AN159" s="89"/>
      <c r="AO159" s="89"/>
    </row>
    <row r="160" spans="1:41" s="69" customFormat="1">
      <c r="A160" s="1015"/>
      <c r="B160" s="466"/>
      <c r="C160" s="388"/>
      <c r="D160" s="223" t="s">
        <v>816</v>
      </c>
      <c r="E160" s="320" t="s">
        <v>64</v>
      </c>
      <c r="F160" s="261"/>
      <c r="G160" s="476">
        <v>666.66</v>
      </c>
      <c r="H160" s="320" t="s">
        <v>64</v>
      </c>
      <c r="I160" s="261"/>
      <c r="J160" s="1166"/>
      <c r="K160" s="1057"/>
      <c r="L160" s="960"/>
      <c r="M160" s="951"/>
      <c r="N160" s="952"/>
      <c r="O160" s="737"/>
      <c r="P160" s="737"/>
      <c r="Q160" s="737"/>
      <c r="R160" s="960"/>
      <c r="S160" s="951"/>
      <c r="T160" s="952"/>
      <c r="U160" s="960"/>
      <c r="V160" s="951"/>
      <c r="W160" s="952"/>
      <c r="X160" s="960"/>
      <c r="Y160" s="951"/>
      <c r="Z160" s="952"/>
      <c r="AA160" s="960"/>
      <c r="AB160" s="951"/>
      <c r="AC160" s="951"/>
      <c r="AD160" s="963"/>
      <c r="AE160" s="1180"/>
      <c r="AF160" s="1181"/>
      <c r="AG160" s="960"/>
      <c r="AH160" s="951"/>
      <c r="AI160" s="952"/>
      <c r="AJ160" s="976"/>
      <c r="AK160" s="982"/>
      <c r="AL160" s="1006"/>
      <c r="AM160" s="440"/>
      <c r="AN160" s="89"/>
      <c r="AO160" s="89"/>
    </row>
    <row r="161" spans="1:41" s="69" customFormat="1">
      <c r="A161" s="1015"/>
      <c r="B161" s="466"/>
      <c r="C161" s="388"/>
      <c r="D161" s="223" t="s">
        <v>820</v>
      </c>
      <c r="E161" s="320" t="s">
        <v>64</v>
      </c>
      <c r="F161" s="261"/>
      <c r="G161" s="426">
        <v>2222.2199999999998</v>
      </c>
      <c r="H161" s="320" t="s">
        <v>64</v>
      </c>
      <c r="I161" s="261"/>
      <c r="J161" s="1166"/>
      <c r="K161" s="1057"/>
      <c r="L161" s="960"/>
      <c r="M161" s="951"/>
      <c r="N161" s="952"/>
      <c r="O161" s="737"/>
      <c r="P161" s="737"/>
      <c r="Q161" s="737"/>
      <c r="R161" s="960"/>
      <c r="S161" s="951"/>
      <c r="T161" s="952"/>
      <c r="U161" s="960"/>
      <c r="V161" s="951"/>
      <c r="W161" s="952"/>
      <c r="X161" s="960"/>
      <c r="Y161" s="951"/>
      <c r="Z161" s="952"/>
      <c r="AA161" s="960"/>
      <c r="AB161" s="951"/>
      <c r="AC161" s="951"/>
      <c r="AD161" s="963"/>
      <c r="AE161" s="1180"/>
      <c r="AF161" s="1181"/>
      <c r="AG161" s="960"/>
      <c r="AH161" s="951"/>
      <c r="AI161" s="952"/>
      <c r="AJ161" s="976"/>
      <c r="AK161" s="982"/>
      <c r="AL161" s="1006"/>
      <c r="AM161" s="440"/>
      <c r="AN161" s="89"/>
      <c r="AO161" s="89"/>
    </row>
    <row r="162" spans="1:41" s="69" customFormat="1">
      <c r="A162" s="1015"/>
      <c r="B162" s="466"/>
      <c r="C162" s="388"/>
      <c r="D162" s="223" t="s">
        <v>821</v>
      </c>
      <c r="E162" s="320" t="s">
        <v>64</v>
      </c>
      <c r="F162" s="261"/>
      <c r="G162" s="433">
        <v>50554.97</v>
      </c>
      <c r="H162" s="320" t="s">
        <v>64</v>
      </c>
      <c r="I162" s="261"/>
      <c r="J162" s="1166"/>
      <c r="K162" s="1057"/>
      <c r="L162" s="961"/>
      <c r="M162" s="954"/>
      <c r="N162" s="955"/>
      <c r="O162" s="731"/>
      <c r="P162" s="731"/>
      <c r="Q162" s="731"/>
      <c r="R162" s="961"/>
      <c r="S162" s="954"/>
      <c r="T162" s="955"/>
      <c r="U162" s="961"/>
      <c r="V162" s="954"/>
      <c r="W162" s="955"/>
      <c r="X162" s="961"/>
      <c r="Y162" s="954"/>
      <c r="Z162" s="955"/>
      <c r="AA162" s="961"/>
      <c r="AB162" s="954"/>
      <c r="AC162" s="954"/>
      <c r="AD162" s="964"/>
      <c r="AE162" s="1180"/>
      <c r="AF162" s="1181"/>
      <c r="AG162" s="961"/>
      <c r="AH162" s="954"/>
      <c r="AI162" s="955"/>
      <c r="AJ162" s="976"/>
      <c r="AK162" s="982"/>
      <c r="AL162" s="1006"/>
      <c r="AM162" s="440"/>
      <c r="AN162" s="89"/>
      <c r="AO162" s="89"/>
    </row>
    <row r="163" spans="1:41" s="69" customFormat="1">
      <c r="A163" s="1015"/>
      <c r="B163" s="466"/>
      <c r="C163" s="388"/>
      <c r="D163" s="223" t="s">
        <v>822</v>
      </c>
      <c r="E163" s="320" t="s">
        <v>64</v>
      </c>
      <c r="F163" s="261"/>
      <c r="G163" s="431">
        <v>1739.03</v>
      </c>
      <c r="H163" s="320" t="s">
        <v>64</v>
      </c>
      <c r="I163" s="261"/>
      <c r="J163" s="1166"/>
      <c r="K163" s="1057"/>
      <c r="L163" s="119">
        <v>116.95117759999999</v>
      </c>
      <c r="M163" s="225" t="s">
        <v>64</v>
      </c>
      <c r="N163" s="346"/>
      <c r="O163" s="346"/>
      <c r="P163" s="346"/>
      <c r="Q163" s="346"/>
      <c r="R163" s="346"/>
      <c r="S163" s="119">
        <v>116.95117759999999</v>
      </c>
      <c r="T163" s="196">
        <v>431.00915317784637</v>
      </c>
      <c r="U163" s="455"/>
      <c r="V163" s="74"/>
      <c r="W163" s="74"/>
      <c r="X163" s="456"/>
      <c r="Y163" s="119">
        <v>0.5</v>
      </c>
      <c r="Z163" s="196">
        <v>1.842688385113985</v>
      </c>
      <c r="AA163" s="633">
        <v>22.538937599999997</v>
      </c>
      <c r="AB163" s="488">
        <v>83.06447705665768</v>
      </c>
      <c r="AC163" s="483">
        <v>42.260508000000002</v>
      </c>
      <c r="AD163" s="484">
        <v>155.74589448123336</v>
      </c>
      <c r="AE163" s="1180"/>
      <c r="AF163" s="1181"/>
      <c r="AG163" s="487">
        <v>116.95117759999999</v>
      </c>
      <c r="AH163" s="488">
        <v>862.01830635569274</v>
      </c>
      <c r="AI163" s="185">
        <f t="shared" ref="AI163:AI215" si="6">AH163</f>
        <v>862.01830635569274</v>
      </c>
      <c r="AJ163" s="976"/>
      <c r="AK163" s="982"/>
      <c r="AL163" s="1006"/>
      <c r="AM163" s="440"/>
      <c r="AN163" s="89"/>
      <c r="AO163" s="89"/>
    </row>
    <row r="164" spans="1:41" s="69" customFormat="1">
      <c r="A164" s="1015"/>
      <c r="B164" s="466"/>
      <c r="C164" s="388"/>
      <c r="D164" s="223" t="s">
        <v>823</v>
      </c>
      <c r="E164" s="320" t="s">
        <v>64</v>
      </c>
      <c r="F164" s="261"/>
      <c r="G164" s="431">
        <v>1739.03</v>
      </c>
      <c r="H164" s="320" t="s">
        <v>64</v>
      </c>
      <c r="I164" s="261"/>
      <c r="J164" s="1166"/>
      <c r="K164" s="1057"/>
      <c r="L164" s="119">
        <v>116.95117759999999</v>
      </c>
      <c r="M164" s="225" t="s">
        <v>64</v>
      </c>
      <c r="N164" s="346"/>
      <c r="O164" s="346"/>
      <c r="P164" s="346"/>
      <c r="Q164" s="346"/>
      <c r="R164" s="346"/>
      <c r="S164" s="119">
        <v>116.95117759999999</v>
      </c>
      <c r="T164" s="196">
        <v>431.00915317784637</v>
      </c>
      <c r="U164" s="455"/>
      <c r="V164" s="74"/>
      <c r="W164" s="74"/>
      <c r="X164" s="456"/>
      <c r="Y164" s="119">
        <v>0.5</v>
      </c>
      <c r="Z164" s="196">
        <v>1.842688385113985</v>
      </c>
      <c r="AA164" s="633">
        <v>22.538937599999997</v>
      </c>
      <c r="AB164" s="488">
        <v>83.06447705665768</v>
      </c>
      <c r="AC164" s="483">
        <v>42.260508000000002</v>
      </c>
      <c r="AD164" s="484">
        <v>155.74589448123336</v>
      </c>
      <c r="AE164" s="1180"/>
      <c r="AF164" s="1181"/>
      <c r="AG164" s="487">
        <v>116.95117759999999</v>
      </c>
      <c r="AH164" s="488">
        <v>862.01830635569274</v>
      </c>
      <c r="AI164" s="185">
        <f t="shared" si="6"/>
        <v>862.01830635569274</v>
      </c>
      <c r="AJ164" s="976"/>
      <c r="AK164" s="982"/>
      <c r="AL164" s="1006"/>
      <c r="AM164" s="440"/>
      <c r="AN164" s="89"/>
      <c r="AO164" s="89"/>
    </row>
    <row r="165" spans="1:41" s="69" customFormat="1">
      <c r="A165" s="1015"/>
      <c r="B165" s="466"/>
      <c r="C165" s="388"/>
      <c r="D165" s="223" t="s">
        <v>825</v>
      </c>
      <c r="E165" s="320" t="s">
        <v>64</v>
      </c>
      <c r="F165" s="261"/>
      <c r="G165" s="431">
        <v>72</v>
      </c>
      <c r="H165" s="320" t="s">
        <v>64</v>
      </c>
      <c r="I165" s="261"/>
      <c r="J165" s="1166"/>
      <c r="K165" s="1057"/>
      <c r="L165" s="119">
        <v>100.41423999999999</v>
      </c>
      <c r="M165" s="493" t="s">
        <v>64</v>
      </c>
      <c r="N165" s="346"/>
      <c r="O165" s="346"/>
      <c r="P165" s="346"/>
      <c r="Q165" s="346"/>
      <c r="R165" s="346"/>
      <c r="S165" s="119">
        <v>100.41423999999999</v>
      </c>
      <c r="T165" s="196">
        <v>370.06430749609621</v>
      </c>
      <c r="U165" s="455"/>
      <c r="V165" s="74"/>
      <c r="W165" s="74"/>
      <c r="X165" s="456"/>
      <c r="Y165" s="119">
        <v>0.5</v>
      </c>
      <c r="Z165" s="196">
        <v>1.842688385113985</v>
      </c>
      <c r="AA165" s="873">
        <v>19.338239999999999</v>
      </c>
      <c r="AB165" s="488">
        <v>71.268700473093347</v>
      </c>
      <c r="AC165" s="483">
        <v>36.2592</v>
      </c>
      <c r="AD165" s="484">
        <v>133.62881338705009</v>
      </c>
      <c r="AE165" s="1180"/>
      <c r="AF165" s="1181"/>
      <c r="AG165" s="487">
        <v>100.41423999999999</v>
      </c>
      <c r="AH165" s="488">
        <v>740.12861499219241</v>
      </c>
      <c r="AI165" s="185">
        <f t="shared" si="6"/>
        <v>740.12861499219241</v>
      </c>
      <c r="AJ165" s="976"/>
      <c r="AK165" s="982"/>
      <c r="AL165" s="1006"/>
      <c r="AM165" s="440"/>
      <c r="AN165" s="89"/>
      <c r="AO165" s="89"/>
    </row>
    <row r="166" spans="1:41" s="69" customFormat="1">
      <c r="A166" s="1015"/>
      <c r="B166" s="466"/>
      <c r="C166" s="388"/>
      <c r="D166" s="223" t="s">
        <v>826</v>
      </c>
      <c r="E166" s="320"/>
      <c r="F166" s="261"/>
      <c r="G166" s="479">
        <v>7610.3359501100513</v>
      </c>
      <c r="H166" s="320" t="s">
        <v>64</v>
      </c>
      <c r="I166" s="261"/>
      <c r="J166" s="1166"/>
      <c r="K166" s="1057"/>
      <c r="L166" s="1083" t="s">
        <v>322</v>
      </c>
      <c r="M166" s="1084"/>
      <c r="N166" s="1084"/>
      <c r="O166" s="1084"/>
      <c r="P166" s="1084"/>
      <c r="Q166" s="1084"/>
      <c r="R166" s="1084"/>
      <c r="S166" s="1084"/>
      <c r="T166" s="1085"/>
      <c r="U166" s="1044" t="s">
        <v>322</v>
      </c>
      <c r="V166" s="1045"/>
      <c r="W166" s="1045"/>
      <c r="X166" s="1045"/>
      <c r="Y166" s="1045"/>
      <c r="Z166" s="1045"/>
      <c r="AA166" s="1045"/>
      <c r="AB166" s="1045"/>
      <c r="AC166" s="1045"/>
      <c r="AD166" s="1094"/>
      <c r="AE166" s="1182"/>
      <c r="AF166" s="1182"/>
      <c r="AG166" s="1044" t="s">
        <v>322</v>
      </c>
      <c r="AH166" s="1045"/>
      <c r="AI166" s="1046"/>
      <c r="AJ166" s="976"/>
      <c r="AK166" s="982"/>
      <c r="AL166" s="1006"/>
      <c r="AM166" s="440"/>
      <c r="AN166" s="89"/>
      <c r="AO166" s="89"/>
    </row>
    <row r="167" spans="1:41" s="69" customFormat="1">
      <c r="A167" s="1015"/>
      <c r="B167" s="466"/>
      <c r="C167" s="388"/>
      <c r="D167" s="223" t="s">
        <v>827</v>
      </c>
      <c r="E167" s="320" t="s">
        <v>64</v>
      </c>
      <c r="F167" s="261"/>
      <c r="G167" s="479">
        <v>222.22</v>
      </c>
      <c r="H167" s="320" t="s">
        <v>64</v>
      </c>
      <c r="I167" s="261"/>
      <c r="J167" s="1166"/>
      <c r="K167" s="1057"/>
      <c r="L167" s="119">
        <v>101.9044224</v>
      </c>
      <c r="M167" s="225" t="s">
        <v>64</v>
      </c>
      <c r="N167" s="346"/>
      <c r="O167" s="346"/>
      <c r="P167" s="346"/>
      <c r="Q167" s="346"/>
      <c r="R167" s="346"/>
      <c r="S167" s="119">
        <v>101.9044224</v>
      </c>
      <c r="T167" s="196">
        <v>375.55619109645863</v>
      </c>
      <c r="U167" s="455"/>
      <c r="V167" s="74"/>
      <c r="W167" s="74"/>
      <c r="X167" s="456"/>
      <c r="Y167" s="119">
        <v>0.5</v>
      </c>
      <c r="Z167" s="196">
        <v>1.842688385113985</v>
      </c>
      <c r="AA167" s="633">
        <v>19.626662400000001</v>
      </c>
      <c r="AB167" s="488">
        <v>72.331645686066764</v>
      </c>
      <c r="AC167" s="483">
        <v>36.799992000000003</v>
      </c>
      <c r="AD167" s="484">
        <v>135.62183566137529</v>
      </c>
      <c r="AE167" s="1180"/>
      <c r="AF167" s="1181"/>
      <c r="AG167" s="487">
        <v>101.9044224</v>
      </c>
      <c r="AH167" s="488">
        <v>751.11238219291727</v>
      </c>
      <c r="AI167" s="185">
        <f t="shared" si="6"/>
        <v>751.11238219291727</v>
      </c>
      <c r="AJ167" s="976"/>
      <c r="AK167" s="982"/>
      <c r="AL167" s="1006"/>
      <c r="AM167" s="440"/>
      <c r="AN167" s="89"/>
      <c r="AO167" s="89"/>
    </row>
    <row r="168" spans="1:41" s="69" customFormat="1">
      <c r="A168" s="1015"/>
      <c r="B168" s="466"/>
      <c r="C168" s="388"/>
      <c r="D168" s="223" t="s">
        <v>828</v>
      </c>
      <c r="E168" s="320" t="s">
        <v>64</v>
      </c>
      <c r="F168" s="261"/>
      <c r="G168" s="479">
        <f>45*G167</f>
        <v>9999.9</v>
      </c>
      <c r="H168" s="320" t="s">
        <v>64</v>
      </c>
      <c r="I168" s="261"/>
      <c r="J168" s="1166"/>
      <c r="K168" s="1057"/>
      <c r="L168" s="119">
        <v>198.89900800000001</v>
      </c>
      <c r="M168" s="225" t="s">
        <v>64</v>
      </c>
      <c r="N168" s="346"/>
      <c r="O168" s="346"/>
      <c r="P168" s="346"/>
      <c r="Q168" s="346"/>
      <c r="R168" s="346"/>
      <c r="S168" s="119">
        <v>198.89900800000001</v>
      </c>
      <c r="T168" s="196">
        <v>733.01778370458703</v>
      </c>
      <c r="U168" s="455"/>
      <c r="V168" s="74"/>
      <c r="W168" s="74"/>
      <c r="X168" s="456"/>
      <c r="Y168" s="119">
        <v>0.5</v>
      </c>
      <c r="Z168" s="196">
        <v>1.842688385113985</v>
      </c>
      <c r="AA168" s="633">
        <v>38.399808</v>
      </c>
      <c r="AB168" s="488">
        <v>141.51776038441426</v>
      </c>
      <c r="AC168" s="483">
        <v>71.999639999999999</v>
      </c>
      <c r="AD168" s="484">
        <v>265.34580072077671</v>
      </c>
      <c r="AE168" s="1180"/>
      <c r="AF168" s="1181"/>
      <c r="AG168" s="487">
        <v>198.89900800000001</v>
      </c>
      <c r="AH168" s="488">
        <v>1466.0355674091741</v>
      </c>
      <c r="AI168" s="185">
        <f t="shared" si="6"/>
        <v>1466.0355674091741</v>
      </c>
      <c r="AJ168" s="976"/>
      <c r="AK168" s="982"/>
      <c r="AL168" s="1006"/>
      <c r="AM168" s="440"/>
      <c r="AN168" s="89"/>
      <c r="AO168" s="89"/>
    </row>
    <row r="169" spans="1:41" s="69" customFormat="1">
      <c r="A169" s="1015"/>
      <c r="B169" s="466"/>
      <c r="C169" s="388"/>
      <c r="D169" s="223" t="s">
        <v>829</v>
      </c>
      <c r="E169" s="320" t="s">
        <v>64</v>
      </c>
      <c r="F169" s="261"/>
      <c r="G169" s="479">
        <v>22.22</v>
      </c>
      <c r="H169" s="320" t="s">
        <v>64</v>
      </c>
      <c r="I169" s="261"/>
      <c r="J169" s="1166"/>
      <c r="K169" s="1057"/>
      <c r="L169" s="119">
        <v>99.920422400000007</v>
      </c>
      <c r="M169" s="225" t="s">
        <v>64</v>
      </c>
      <c r="N169" s="346"/>
      <c r="O169" s="346"/>
      <c r="P169" s="346"/>
      <c r="Q169" s="346"/>
      <c r="R169" s="346"/>
      <c r="S169" s="119">
        <v>99.920422400000007</v>
      </c>
      <c r="T169" s="196">
        <v>368.24440358432656</v>
      </c>
      <c r="U169" s="455"/>
      <c r="V169" s="74"/>
      <c r="W169" s="74"/>
      <c r="X169" s="456"/>
      <c r="Y169" s="119">
        <v>0.5</v>
      </c>
      <c r="Z169" s="196">
        <v>1.842688385113985</v>
      </c>
      <c r="AA169" s="633">
        <v>19.2426624</v>
      </c>
      <c r="AB169" s="488">
        <v>70.916461006299244</v>
      </c>
      <c r="AC169" s="483">
        <v>36.079992000000004</v>
      </c>
      <c r="AD169" s="484">
        <v>132.96836438681106</v>
      </c>
      <c r="AE169" s="1180"/>
      <c r="AF169" s="1181"/>
      <c r="AG169" s="487">
        <v>99.920422400000007</v>
      </c>
      <c r="AH169" s="488">
        <v>736.48880716865312</v>
      </c>
      <c r="AI169" s="185">
        <f t="shared" si="6"/>
        <v>736.48880716865312</v>
      </c>
      <c r="AJ169" s="976"/>
      <c r="AK169" s="982"/>
      <c r="AL169" s="1006"/>
      <c r="AM169" s="440"/>
      <c r="AN169" s="89"/>
      <c r="AO169" s="89"/>
    </row>
    <row r="170" spans="1:41" s="69" customFormat="1">
      <c r="A170" s="1015"/>
      <c r="B170" s="466"/>
      <c r="C170" s="388"/>
      <c r="D170" s="223" t="s">
        <v>830</v>
      </c>
      <c r="E170" s="320" t="s">
        <v>64</v>
      </c>
      <c r="F170" s="261"/>
      <c r="G170" s="479">
        <f>45*G169</f>
        <v>999.9</v>
      </c>
      <c r="H170" s="320" t="s">
        <v>64</v>
      </c>
      <c r="I170" s="261"/>
      <c r="J170" s="1166"/>
      <c r="K170" s="1057"/>
      <c r="L170" s="119">
        <v>109.61900800000001</v>
      </c>
      <c r="M170" s="225" t="s">
        <v>64</v>
      </c>
      <c r="N170" s="346"/>
      <c r="O170" s="346"/>
      <c r="P170" s="346"/>
      <c r="Q170" s="346"/>
      <c r="R170" s="346"/>
      <c r="S170" s="119">
        <v>109.61900800000001</v>
      </c>
      <c r="T170" s="196">
        <v>403.98734565863441</v>
      </c>
      <c r="U170" s="455"/>
      <c r="V170" s="74"/>
      <c r="W170" s="74"/>
      <c r="X170" s="456"/>
      <c r="Y170" s="119">
        <v>0.5</v>
      </c>
      <c r="Z170" s="196">
        <v>1.842688385113985</v>
      </c>
      <c r="AA170" s="633">
        <v>21.119807999999999</v>
      </c>
      <c r="AB170" s="488">
        <v>77.834449794874828</v>
      </c>
      <c r="AC170" s="483">
        <v>39.599640000000001</v>
      </c>
      <c r="AD170" s="484">
        <v>145.93959336539041</v>
      </c>
      <c r="AE170" s="1180"/>
      <c r="AF170" s="1181"/>
      <c r="AG170" s="487">
        <v>109.61900800000001</v>
      </c>
      <c r="AH170" s="488">
        <v>807.97469131726882</v>
      </c>
      <c r="AI170" s="185">
        <f t="shared" si="6"/>
        <v>807.97469131726882</v>
      </c>
      <c r="AJ170" s="976"/>
      <c r="AK170" s="982"/>
      <c r="AL170" s="1006"/>
      <c r="AM170" s="440"/>
      <c r="AN170" s="89"/>
      <c r="AO170" s="89"/>
    </row>
    <row r="171" spans="1:41" s="69" customFormat="1">
      <c r="A171" s="1015"/>
      <c r="B171" s="466"/>
      <c r="C171" s="388"/>
      <c r="D171" s="223" t="s">
        <v>831</v>
      </c>
      <c r="E171" s="320" t="s">
        <v>64</v>
      </c>
      <c r="F171" s="261"/>
      <c r="G171" s="479">
        <v>999.9</v>
      </c>
      <c r="H171" s="320" t="s">
        <v>64</v>
      </c>
      <c r="I171" s="261"/>
      <c r="J171" s="1166"/>
      <c r="K171" s="1057"/>
      <c r="L171" s="119">
        <v>109.61900800000001</v>
      </c>
      <c r="M171" s="225" t="s">
        <v>64</v>
      </c>
      <c r="N171" s="346"/>
      <c r="O171" s="346"/>
      <c r="P171" s="346"/>
      <c r="Q171" s="346"/>
      <c r="R171" s="346"/>
      <c r="S171" s="119">
        <v>109.61900800000001</v>
      </c>
      <c r="T171" s="196">
        <v>403.98734565863441</v>
      </c>
      <c r="U171" s="455"/>
      <c r="V171" s="74"/>
      <c r="W171" s="74"/>
      <c r="X171" s="456"/>
      <c r="Y171" s="119">
        <v>0.5</v>
      </c>
      <c r="Z171" s="196">
        <v>1.842688385113985</v>
      </c>
      <c r="AA171" s="633">
        <v>21.119807999999999</v>
      </c>
      <c r="AB171" s="488">
        <v>77.834449794874828</v>
      </c>
      <c r="AC171" s="483">
        <v>39.599640000000001</v>
      </c>
      <c r="AD171" s="484">
        <v>145.93959336539041</v>
      </c>
      <c r="AE171" s="1180"/>
      <c r="AF171" s="1181"/>
      <c r="AG171" s="487">
        <v>109.61900800000001</v>
      </c>
      <c r="AH171" s="488">
        <v>807.97469131726882</v>
      </c>
      <c r="AI171" s="185">
        <f t="shared" si="6"/>
        <v>807.97469131726882</v>
      </c>
      <c r="AJ171" s="976"/>
      <c r="AK171" s="982"/>
      <c r="AL171" s="1006"/>
      <c r="AM171" s="440"/>
      <c r="AN171" s="89"/>
      <c r="AO171" s="89"/>
    </row>
    <row r="172" spans="1:41" s="69" customFormat="1">
      <c r="A172" s="1015"/>
      <c r="B172" s="466"/>
      <c r="C172" s="388"/>
      <c r="D172" s="223" t="s">
        <v>833</v>
      </c>
      <c r="E172" s="320" t="s">
        <v>64</v>
      </c>
      <c r="F172" s="261"/>
      <c r="G172" s="479">
        <v>666.66</v>
      </c>
      <c r="H172" s="320" t="s">
        <v>64</v>
      </c>
      <c r="I172" s="261"/>
      <c r="J172" s="1166"/>
      <c r="K172" s="1057"/>
      <c r="L172" s="1095" t="s">
        <v>322</v>
      </c>
      <c r="M172" s="1089"/>
      <c r="N172" s="1089"/>
      <c r="O172" s="1089"/>
      <c r="P172" s="1089"/>
      <c r="Q172" s="1089"/>
      <c r="R172" s="1089"/>
      <c r="S172" s="1089"/>
      <c r="T172" s="1250"/>
      <c r="U172" s="1095" t="s">
        <v>322</v>
      </c>
      <c r="V172" s="1089"/>
      <c r="W172" s="1089"/>
      <c r="X172" s="1089"/>
      <c r="Y172" s="1089"/>
      <c r="Z172" s="1089"/>
      <c r="AA172" s="1089"/>
      <c r="AB172" s="1089"/>
      <c r="AC172" s="1089"/>
      <c r="AD172" s="1090"/>
      <c r="AE172" s="1180"/>
      <c r="AF172" s="1181"/>
      <c r="AG172" s="1088" t="s">
        <v>322</v>
      </c>
      <c r="AH172" s="1089"/>
      <c r="AI172" s="1090"/>
      <c r="AJ172" s="976"/>
      <c r="AK172" s="982"/>
      <c r="AL172" s="1006"/>
      <c r="AM172" s="440"/>
      <c r="AN172" s="89"/>
      <c r="AO172" s="89"/>
    </row>
    <row r="173" spans="1:41" s="69" customFormat="1">
      <c r="A173" s="1015"/>
      <c r="B173" s="466"/>
      <c r="C173" s="388"/>
      <c r="D173" s="223" t="s">
        <v>834</v>
      </c>
      <c r="E173" s="320" t="s">
        <v>64</v>
      </c>
      <c r="F173" s="261"/>
      <c r="G173" s="479">
        <v>68453.56</v>
      </c>
      <c r="H173" s="320" t="s">
        <v>64</v>
      </c>
      <c r="I173" s="261"/>
      <c r="J173" s="1166"/>
      <c r="K173" s="1057"/>
      <c r="L173" s="1096"/>
      <c r="M173" s="1092"/>
      <c r="N173" s="1092"/>
      <c r="O173" s="1092"/>
      <c r="P173" s="1092"/>
      <c r="Q173" s="1092"/>
      <c r="R173" s="1092"/>
      <c r="S173" s="1092"/>
      <c r="T173" s="1251"/>
      <c r="U173" s="1096"/>
      <c r="V173" s="1092"/>
      <c r="W173" s="1092"/>
      <c r="X173" s="1092"/>
      <c r="Y173" s="1092"/>
      <c r="Z173" s="1092"/>
      <c r="AA173" s="1092"/>
      <c r="AB173" s="1092"/>
      <c r="AC173" s="1092"/>
      <c r="AD173" s="1093"/>
      <c r="AE173" s="1180"/>
      <c r="AF173" s="1181"/>
      <c r="AG173" s="1091"/>
      <c r="AH173" s="1092"/>
      <c r="AI173" s="1093"/>
      <c r="AJ173" s="976"/>
      <c r="AK173" s="982"/>
      <c r="AL173" s="1006"/>
      <c r="AM173" s="440"/>
      <c r="AN173" s="89"/>
      <c r="AO173" s="89"/>
    </row>
    <row r="174" spans="1:41" s="69" customFormat="1">
      <c r="A174" s="1015"/>
      <c r="B174" s="466"/>
      <c r="C174" s="388"/>
      <c r="D174" s="223" t="s">
        <v>835</v>
      </c>
      <c r="E174" s="320" t="s">
        <v>64</v>
      </c>
      <c r="F174" s="261"/>
      <c r="G174" s="479">
        <f>G173</f>
        <v>68453.56</v>
      </c>
      <c r="H174" s="320" t="s">
        <v>64</v>
      </c>
      <c r="I174" s="261"/>
      <c r="J174" s="1166"/>
      <c r="K174" s="1057"/>
      <c r="L174" s="119">
        <v>778.76</v>
      </c>
      <c r="M174" s="225" t="s">
        <v>64</v>
      </c>
      <c r="N174" s="346"/>
      <c r="O174" s="346"/>
      <c r="P174" s="346"/>
      <c r="Q174" s="346"/>
      <c r="R174" s="346"/>
      <c r="S174" s="119">
        <v>778.76</v>
      </c>
      <c r="T174" s="196">
        <v>2870</v>
      </c>
      <c r="U174" s="455"/>
      <c r="V174" s="74"/>
      <c r="W174" s="74"/>
      <c r="X174" s="456"/>
      <c r="Y174" s="119">
        <v>0.5</v>
      </c>
      <c r="Z174" s="196">
        <v>1.842688385113985</v>
      </c>
      <c r="AA174" s="633">
        <v>150.63</v>
      </c>
      <c r="AB174" s="488">
        <v>555</v>
      </c>
      <c r="AC174" s="483">
        <v>40.799952000000005</v>
      </c>
      <c r="AD174" s="484">
        <v>150.36319532721626</v>
      </c>
      <c r="AE174" s="1180"/>
      <c r="AF174" s="1181"/>
      <c r="AG174" s="487">
        <v>778.76</v>
      </c>
      <c r="AH174" s="488">
        <v>5740</v>
      </c>
      <c r="AI174" s="185">
        <f t="shared" si="6"/>
        <v>5740</v>
      </c>
      <c r="AJ174" s="976"/>
      <c r="AK174" s="982"/>
      <c r="AL174" s="1006"/>
      <c r="AM174" s="440"/>
      <c r="AN174" s="89"/>
      <c r="AO174" s="89"/>
    </row>
    <row r="175" spans="1:41" s="69" customFormat="1">
      <c r="A175" s="1015"/>
      <c r="B175" s="495"/>
      <c r="C175" s="496"/>
      <c r="D175" s="223" t="s">
        <v>836</v>
      </c>
      <c r="E175" s="320" t="s">
        <v>64</v>
      </c>
      <c r="F175" s="497"/>
      <c r="G175" s="479">
        <v>666.66</v>
      </c>
      <c r="H175" s="320" t="s">
        <v>64</v>
      </c>
      <c r="I175" s="261"/>
      <c r="J175" s="1166"/>
      <c r="K175" s="1057"/>
      <c r="L175" s="119">
        <v>106.3132672</v>
      </c>
      <c r="M175" s="225" t="s">
        <v>64</v>
      </c>
      <c r="N175" s="346"/>
      <c r="O175" s="346"/>
      <c r="P175" s="346"/>
      <c r="Q175" s="346"/>
      <c r="R175" s="346"/>
      <c r="S175" s="119">
        <v>106.3132672</v>
      </c>
      <c r="T175" s="196">
        <v>391.80444530591927</v>
      </c>
      <c r="U175" s="455"/>
      <c r="V175" s="74"/>
      <c r="W175" s="74"/>
      <c r="X175" s="456"/>
      <c r="Y175" s="119">
        <v>0.5</v>
      </c>
      <c r="Z175" s="196">
        <v>1.842688385113985</v>
      </c>
      <c r="AA175" s="873">
        <v>20.4799872</v>
      </c>
      <c r="AB175" s="488">
        <v>75.476469081446155</v>
      </c>
      <c r="AC175" s="483">
        <v>38.399976000000002</v>
      </c>
      <c r="AD175" s="484">
        <v>141.51837952771155</v>
      </c>
      <c r="AE175" s="1180"/>
      <c r="AF175" s="1181"/>
      <c r="AG175" s="487">
        <v>106.3132672</v>
      </c>
      <c r="AH175" s="488">
        <v>783.60889061183855</v>
      </c>
      <c r="AI175" s="185">
        <f t="shared" si="6"/>
        <v>783.60889061183855</v>
      </c>
      <c r="AJ175" s="976"/>
      <c r="AK175" s="982"/>
      <c r="AL175" s="1006"/>
      <c r="AM175" s="440"/>
      <c r="AN175" s="89"/>
      <c r="AO175" s="89"/>
    </row>
    <row r="176" spans="1:41" s="69" customFormat="1">
      <c r="A176" s="1015"/>
      <c r="B176" s="495"/>
      <c r="C176" s="496"/>
      <c r="D176" s="223" t="s">
        <v>837</v>
      </c>
      <c r="E176" s="320" t="s">
        <v>64</v>
      </c>
      <c r="F176" s="497"/>
      <c r="G176" s="479">
        <f>G174</f>
        <v>68453.56</v>
      </c>
      <c r="H176" s="320" t="s">
        <v>64</v>
      </c>
      <c r="I176" s="261"/>
      <c r="J176" s="1166"/>
      <c r="K176" s="1057"/>
      <c r="L176" s="119">
        <v>778.76</v>
      </c>
      <c r="M176" s="225" t="s">
        <v>64</v>
      </c>
      <c r="N176" s="346"/>
      <c r="O176" s="346"/>
      <c r="P176" s="346"/>
      <c r="Q176" s="346"/>
      <c r="R176" s="346"/>
      <c r="S176" s="119">
        <v>778.76</v>
      </c>
      <c r="T176" s="196">
        <v>2870</v>
      </c>
      <c r="U176" s="455"/>
      <c r="V176" s="74"/>
      <c r="W176" s="74"/>
      <c r="X176" s="456"/>
      <c r="Y176" s="119">
        <v>0.5</v>
      </c>
      <c r="Z176" s="196">
        <v>1.842688385113985</v>
      </c>
      <c r="AA176" s="873">
        <v>150.63</v>
      </c>
      <c r="AB176" s="488">
        <v>555</v>
      </c>
      <c r="AC176" s="483">
        <v>40.799952000000005</v>
      </c>
      <c r="AD176" s="484">
        <v>150.36319532721626</v>
      </c>
      <c r="AE176" s="1180"/>
      <c r="AF176" s="1181"/>
      <c r="AG176" s="487">
        <v>778.76</v>
      </c>
      <c r="AH176" s="488">
        <v>5740</v>
      </c>
      <c r="AI176" s="185">
        <f t="shared" si="6"/>
        <v>5740</v>
      </c>
      <c r="AJ176" s="976"/>
      <c r="AK176" s="982"/>
      <c r="AL176" s="1006"/>
      <c r="AM176" s="440"/>
      <c r="AN176" s="89"/>
      <c r="AO176" s="89"/>
    </row>
    <row r="177" spans="1:41" s="69" customFormat="1">
      <c r="A177" s="1015"/>
      <c r="B177" s="495"/>
      <c r="C177" s="496"/>
      <c r="D177" s="223" t="s">
        <v>838</v>
      </c>
      <c r="E177" s="320" t="s">
        <v>64</v>
      </c>
      <c r="F177" s="497"/>
      <c r="G177" s="479">
        <v>2222.2199999999998</v>
      </c>
      <c r="H177" s="320" t="s">
        <v>64</v>
      </c>
      <c r="I177" s="261"/>
      <c r="J177" s="1166"/>
      <c r="K177" s="1057"/>
      <c r="L177" s="1083" t="s">
        <v>322</v>
      </c>
      <c r="M177" s="1084"/>
      <c r="N177" s="1084"/>
      <c r="O177" s="1084"/>
      <c r="P177" s="1084"/>
      <c r="Q177" s="1084"/>
      <c r="R177" s="1084"/>
      <c r="S177" s="1084"/>
      <c r="T177" s="1085"/>
      <c r="U177" s="1044" t="s">
        <v>322</v>
      </c>
      <c r="V177" s="1045"/>
      <c r="W177" s="1045"/>
      <c r="X177" s="1045"/>
      <c r="Y177" s="1045"/>
      <c r="Z177" s="1045"/>
      <c r="AA177" s="1045"/>
      <c r="AB177" s="1045"/>
      <c r="AC177" s="1045"/>
      <c r="AD177" s="1046"/>
      <c r="AE177" s="1180"/>
      <c r="AF177" s="1181"/>
      <c r="AG177" s="1044" t="s">
        <v>322</v>
      </c>
      <c r="AH177" s="1045"/>
      <c r="AI177" s="1046"/>
      <c r="AJ177" s="976"/>
      <c r="AK177" s="982"/>
      <c r="AL177" s="1006"/>
      <c r="AM177" s="440"/>
      <c r="AN177" s="89"/>
      <c r="AO177" s="89"/>
    </row>
    <row r="178" spans="1:41" s="69" customFormat="1">
      <c r="A178" s="1015"/>
      <c r="B178" s="495"/>
      <c r="C178" s="496"/>
      <c r="D178" s="223" t="s">
        <v>839</v>
      </c>
      <c r="E178" s="320" t="s">
        <v>64</v>
      </c>
      <c r="F178" s="497"/>
      <c r="G178" s="479">
        <v>444.44</v>
      </c>
      <c r="H178" s="320" t="s">
        <v>64</v>
      </c>
      <c r="I178" s="261"/>
      <c r="J178" s="1166"/>
      <c r="K178" s="1057"/>
      <c r="L178" s="119">
        <v>104.1088448</v>
      </c>
      <c r="M178" s="225" t="s">
        <v>64</v>
      </c>
      <c r="N178" s="346"/>
      <c r="O178" s="346"/>
      <c r="P178" s="346"/>
      <c r="Q178" s="346"/>
      <c r="R178" s="346"/>
      <c r="S178" s="119">
        <v>104.1088448</v>
      </c>
      <c r="T178" s="196">
        <v>383.68031820118892</v>
      </c>
      <c r="U178" s="455"/>
      <c r="V178" s="74"/>
      <c r="W178" s="74"/>
      <c r="X178" s="456"/>
      <c r="Y178" s="119">
        <v>0.5</v>
      </c>
      <c r="Z178" s="196">
        <v>1.842688385113985</v>
      </c>
      <c r="AA178" s="873">
        <v>20.053324799999999</v>
      </c>
      <c r="AB178" s="488">
        <v>73.904057383756481</v>
      </c>
      <c r="AC178" s="483">
        <v>282.43</v>
      </c>
      <c r="AD178" s="484">
        <v>1041</v>
      </c>
      <c r="AE178" s="1180"/>
      <c r="AF178" s="1181"/>
      <c r="AG178" s="487">
        <v>104.1088448</v>
      </c>
      <c r="AH178" s="488">
        <v>767.36063640237785</v>
      </c>
      <c r="AI178" s="185">
        <f t="shared" si="6"/>
        <v>767.36063640237785</v>
      </c>
      <c r="AJ178" s="976"/>
      <c r="AK178" s="982"/>
      <c r="AL178" s="1006"/>
      <c r="AM178" s="440"/>
      <c r="AN178" s="89"/>
      <c r="AO178" s="89"/>
    </row>
    <row r="179" spans="1:41" s="69" customFormat="1">
      <c r="A179" s="1015"/>
      <c r="B179" s="495"/>
      <c r="C179" s="496"/>
      <c r="D179" s="223" t="s">
        <v>840</v>
      </c>
      <c r="E179" s="320" t="s">
        <v>64</v>
      </c>
      <c r="F179" s="497"/>
      <c r="G179" s="479">
        <v>222.22</v>
      </c>
      <c r="H179" s="320" t="s">
        <v>64</v>
      </c>
      <c r="I179" s="261"/>
      <c r="J179" s="1166"/>
      <c r="K179" s="1057"/>
      <c r="L179" s="119">
        <v>101.9044224</v>
      </c>
      <c r="M179" s="225" t="s">
        <v>64</v>
      </c>
      <c r="N179" s="346"/>
      <c r="O179" s="346"/>
      <c r="P179" s="346"/>
      <c r="Q179" s="346"/>
      <c r="R179" s="346"/>
      <c r="S179" s="119">
        <v>101.9044224</v>
      </c>
      <c r="T179" s="196">
        <v>375.55619109645863</v>
      </c>
      <c r="U179" s="455"/>
      <c r="V179" s="74"/>
      <c r="W179" s="74"/>
      <c r="X179" s="456"/>
      <c r="Y179" s="119">
        <v>0.5</v>
      </c>
      <c r="Z179" s="196">
        <v>1.842688385113985</v>
      </c>
      <c r="AA179" s="873">
        <v>19.626662400000001</v>
      </c>
      <c r="AB179" s="488">
        <v>72.331645686066764</v>
      </c>
      <c r="AC179" s="483">
        <v>36.799992000000003</v>
      </c>
      <c r="AD179" s="484">
        <v>135.62183566137529</v>
      </c>
      <c r="AE179" s="1180"/>
      <c r="AF179" s="1181"/>
      <c r="AG179" s="487">
        <v>101.9044224</v>
      </c>
      <c r="AH179" s="488">
        <v>751.11238219291727</v>
      </c>
      <c r="AI179" s="185">
        <f t="shared" si="6"/>
        <v>751.11238219291727</v>
      </c>
      <c r="AJ179" s="976"/>
      <c r="AK179" s="982"/>
      <c r="AL179" s="1006"/>
      <c r="AM179" s="440"/>
      <c r="AN179" s="89"/>
      <c r="AO179" s="89"/>
    </row>
    <row r="180" spans="1:41" s="69" customFormat="1" ht="13.5" thickBot="1">
      <c r="A180" s="1015"/>
      <c r="B180" s="467"/>
      <c r="C180" s="390"/>
      <c r="D180" s="224" t="s">
        <v>841</v>
      </c>
      <c r="E180" s="226" t="s">
        <v>64</v>
      </c>
      <c r="F180" s="324"/>
      <c r="G180" s="479">
        <v>444.44</v>
      </c>
      <c r="H180" s="226" t="s">
        <v>64</v>
      </c>
      <c r="I180" s="261"/>
      <c r="J180" s="1168"/>
      <c r="K180" s="1058"/>
      <c r="L180" s="28">
        <v>94.208844800000008</v>
      </c>
      <c r="M180" s="226" t="s">
        <v>64</v>
      </c>
      <c r="N180" s="116"/>
      <c r="O180" s="116"/>
      <c r="P180" s="116"/>
      <c r="Q180" s="116"/>
      <c r="R180" s="116"/>
      <c r="S180" s="28">
        <v>94.208844800000008</v>
      </c>
      <c r="T180" s="118">
        <v>347.19508817593209</v>
      </c>
      <c r="U180" s="491"/>
      <c r="V180" s="31"/>
      <c r="W180" s="31"/>
      <c r="X180" s="167"/>
      <c r="Y180" s="28">
        <v>3</v>
      </c>
      <c r="Z180" s="118">
        <v>11.056130310683923</v>
      </c>
      <c r="AA180" s="677">
        <v>17.6533248</v>
      </c>
      <c r="AB180" s="162">
        <v>65.059153135209371</v>
      </c>
      <c r="AC180" s="98">
        <v>282.43</v>
      </c>
      <c r="AD180" s="485">
        <v>1041</v>
      </c>
      <c r="AE180" s="1180"/>
      <c r="AF180" s="1181"/>
      <c r="AG180" s="489">
        <v>94.208844800000008</v>
      </c>
      <c r="AH180" s="162">
        <v>694.39017635186417</v>
      </c>
      <c r="AI180" s="186">
        <f t="shared" si="6"/>
        <v>694.39017635186417</v>
      </c>
      <c r="AJ180" s="976"/>
      <c r="AK180" s="983"/>
      <c r="AL180" s="1006"/>
      <c r="AM180" s="440"/>
      <c r="AN180" s="89"/>
      <c r="AO180" s="89"/>
    </row>
    <row r="181" spans="1:41" s="69" customFormat="1" ht="15.75" customHeight="1">
      <c r="A181" s="1015"/>
      <c r="B181" s="232" t="s">
        <v>151</v>
      </c>
      <c r="C181" s="912" t="s">
        <v>151</v>
      </c>
      <c r="D181" s="459" t="s">
        <v>278</v>
      </c>
      <c r="E181" s="472" t="s">
        <v>303</v>
      </c>
      <c r="F181" s="323"/>
      <c r="G181" s="433"/>
      <c r="H181" s="320"/>
      <c r="I181" s="261"/>
      <c r="J181" s="1166" t="s">
        <v>313</v>
      </c>
      <c r="K181" s="1056" t="s">
        <v>499</v>
      </c>
      <c r="L181" s="957" t="s">
        <v>324</v>
      </c>
      <c r="M181" s="958"/>
      <c r="N181" s="959"/>
      <c r="O181" s="730"/>
      <c r="P181" s="730"/>
      <c r="Q181" s="730"/>
      <c r="R181" s="957" t="s">
        <v>324</v>
      </c>
      <c r="S181" s="958"/>
      <c r="T181" s="959"/>
      <c r="U181" s="957" t="s">
        <v>324</v>
      </c>
      <c r="V181" s="958"/>
      <c r="W181" s="959"/>
      <c r="X181" s="957" t="s">
        <v>324</v>
      </c>
      <c r="Y181" s="958"/>
      <c r="Z181" s="959"/>
      <c r="AA181" s="957" t="s">
        <v>324</v>
      </c>
      <c r="AB181" s="958"/>
      <c r="AC181" s="958"/>
      <c r="AD181" s="962"/>
      <c r="AE181" s="1180"/>
      <c r="AF181" s="1181"/>
      <c r="AG181" s="957" t="s">
        <v>324</v>
      </c>
      <c r="AH181" s="958"/>
      <c r="AI181" s="959"/>
      <c r="AJ181" s="976"/>
      <c r="AK181" s="981">
        <f>SUM(AI181:AI205)</f>
        <v>6994.0694471697079</v>
      </c>
      <c r="AL181" s="1006"/>
      <c r="AM181" s="440"/>
      <c r="AN181" s="89"/>
      <c r="AO181" s="89"/>
    </row>
    <row r="182" spans="1:41" s="69" customFormat="1" ht="15.75" customHeight="1">
      <c r="A182" s="1015"/>
      <c r="B182" s="469"/>
      <c r="C182" s="388"/>
      <c r="D182" s="461" t="s">
        <v>279</v>
      </c>
      <c r="E182" s="472" t="s">
        <v>304</v>
      </c>
      <c r="F182" s="261"/>
      <c r="G182" s="426">
        <v>250000</v>
      </c>
      <c r="H182" s="320" t="s">
        <v>221</v>
      </c>
      <c r="I182" s="261"/>
      <c r="J182" s="1166"/>
      <c r="K182" s="1057"/>
      <c r="L182" s="960"/>
      <c r="M182" s="951"/>
      <c r="N182" s="952"/>
      <c r="O182" s="737"/>
      <c r="P182" s="737"/>
      <c r="Q182" s="737"/>
      <c r="R182" s="960"/>
      <c r="S182" s="951"/>
      <c r="T182" s="952"/>
      <c r="U182" s="960"/>
      <c r="V182" s="951"/>
      <c r="W182" s="952"/>
      <c r="X182" s="960"/>
      <c r="Y182" s="951"/>
      <c r="Z182" s="952"/>
      <c r="AA182" s="960"/>
      <c r="AB182" s="951"/>
      <c r="AC182" s="951"/>
      <c r="AD182" s="963"/>
      <c r="AE182" s="1180"/>
      <c r="AF182" s="1181"/>
      <c r="AG182" s="960"/>
      <c r="AH182" s="951"/>
      <c r="AI182" s="952"/>
      <c r="AJ182" s="976"/>
      <c r="AK182" s="982"/>
      <c r="AL182" s="1006"/>
      <c r="AM182" s="440"/>
      <c r="AN182" s="89"/>
      <c r="AO182" s="89"/>
    </row>
    <row r="183" spans="1:41" s="69" customFormat="1" ht="15.75" customHeight="1">
      <c r="A183" s="1015"/>
      <c r="B183" s="469"/>
      <c r="C183" s="388"/>
      <c r="D183" s="461" t="s">
        <v>280</v>
      </c>
      <c r="E183" s="472" t="s">
        <v>304</v>
      </c>
      <c r="F183" s="261"/>
      <c r="G183" s="426">
        <v>2550</v>
      </c>
      <c r="H183" s="320" t="s">
        <v>221</v>
      </c>
      <c r="I183" s="261"/>
      <c r="J183" s="1166"/>
      <c r="K183" s="1057"/>
      <c r="L183" s="960"/>
      <c r="M183" s="951"/>
      <c r="N183" s="952"/>
      <c r="O183" s="737"/>
      <c r="P183" s="737"/>
      <c r="Q183" s="737"/>
      <c r="R183" s="960"/>
      <c r="S183" s="951"/>
      <c r="T183" s="952"/>
      <c r="U183" s="960"/>
      <c r="V183" s="951"/>
      <c r="W183" s="952"/>
      <c r="X183" s="960"/>
      <c r="Y183" s="951"/>
      <c r="Z183" s="952"/>
      <c r="AA183" s="960"/>
      <c r="AB183" s="951"/>
      <c r="AC183" s="951"/>
      <c r="AD183" s="963"/>
      <c r="AE183" s="1180"/>
      <c r="AF183" s="1181"/>
      <c r="AG183" s="960"/>
      <c r="AH183" s="951"/>
      <c r="AI183" s="952"/>
      <c r="AJ183" s="976"/>
      <c r="AK183" s="982"/>
      <c r="AL183" s="1006"/>
      <c r="AM183" s="440"/>
      <c r="AN183" s="89"/>
      <c r="AO183" s="89"/>
    </row>
    <row r="184" spans="1:41" s="69" customFormat="1" ht="15.75" customHeight="1">
      <c r="A184" s="1015"/>
      <c r="B184" s="469"/>
      <c r="C184" s="388"/>
      <c r="D184" s="461" t="s">
        <v>281</v>
      </c>
      <c r="E184" s="472" t="s">
        <v>305</v>
      </c>
      <c r="F184" s="261"/>
      <c r="G184" s="431"/>
      <c r="H184" s="320"/>
      <c r="I184" s="261"/>
      <c r="J184" s="1166"/>
      <c r="K184" s="1057"/>
      <c r="L184" s="960"/>
      <c r="M184" s="951"/>
      <c r="N184" s="952"/>
      <c r="O184" s="737"/>
      <c r="P184" s="737"/>
      <c r="Q184" s="737"/>
      <c r="R184" s="960"/>
      <c r="S184" s="951"/>
      <c r="T184" s="952"/>
      <c r="U184" s="960"/>
      <c r="V184" s="951"/>
      <c r="W184" s="952"/>
      <c r="X184" s="960"/>
      <c r="Y184" s="951"/>
      <c r="Z184" s="952"/>
      <c r="AA184" s="960"/>
      <c r="AB184" s="951"/>
      <c r="AC184" s="951"/>
      <c r="AD184" s="963"/>
      <c r="AE184" s="1180"/>
      <c r="AF184" s="1181"/>
      <c r="AG184" s="960"/>
      <c r="AH184" s="951"/>
      <c r="AI184" s="952"/>
      <c r="AJ184" s="976"/>
      <c r="AK184" s="982"/>
      <c r="AL184" s="1006"/>
      <c r="AM184" s="440"/>
      <c r="AN184" s="89"/>
      <c r="AO184" s="89"/>
    </row>
    <row r="185" spans="1:41" s="69" customFormat="1" ht="15.75" customHeight="1">
      <c r="A185" s="1015"/>
      <c r="B185" s="469"/>
      <c r="C185" s="388"/>
      <c r="D185" s="461" t="s">
        <v>282</v>
      </c>
      <c r="E185" s="472" t="s">
        <v>305</v>
      </c>
      <c r="F185" s="261"/>
      <c r="G185" s="431"/>
      <c r="H185" s="320"/>
      <c r="I185" s="261"/>
      <c r="J185" s="1166"/>
      <c r="K185" s="1057"/>
      <c r="L185" s="960"/>
      <c r="M185" s="951"/>
      <c r="N185" s="952"/>
      <c r="O185" s="737"/>
      <c r="P185" s="737"/>
      <c r="Q185" s="737"/>
      <c r="R185" s="960"/>
      <c r="S185" s="951"/>
      <c r="T185" s="952"/>
      <c r="U185" s="960"/>
      <c r="V185" s="951"/>
      <c r="W185" s="952"/>
      <c r="X185" s="960"/>
      <c r="Y185" s="951"/>
      <c r="Z185" s="952"/>
      <c r="AA185" s="960"/>
      <c r="AB185" s="951"/>
      <c r="AC185" s="951"/>
      <c r="AD185" s="963"/>
      <c r="AE185" s="1180"/>
      <c r="AF185" s="1181"/>
      <c r="AG185" s="960"/>
      <c r="AH185" s="951"/>
      <c r="AI185" s="952"/>
      <c r="AJ185" s="976"/>
      <c r="AK185" s="982"/>
      <c r="AL185" s="1006"/>
      <c r="AM185" s="440"/>
      <c r="AN185" s="89"/>
      <c r="AO185" s="89"/>
    </row>
    <row r="186" spans="1:41" s="69" customFormat="1" ht="15.75" customHeight="1">
      <c r="A186" s="1015"/>
      <c r="B186" s="469"/>
      <c r="C186" s="388"/>
      <c r="D186" s="461" t="s">
        <v>283</v>
      </c>
      <c r="E186" s="320" t="s">
        <v>64</v>
      </c>
      <c r="F186" s="261"/>
      <c r="G186" s="431"/>
      <c r="H186" s="320" t="s">
        <v>64</v>
      </c>
      <c r="I186" s="261"/>
      <c r="J186" s="1166"/>
      <c r="K186" s="1057"/>
      <c r="L186" s="960"/>
      <c r="M186" s="951"/>
      <c r="N186" s="952"/>
      <c r="O186" s="737"/>
      <c r="P186" s="737"/>
      <c r="Q186" s="737"/>
      <c r="R186" s="960"/>
      <c r="S186" s="951"/>
      <c r="T186" s="952"/>
      <c r="U186" s="960"/>
      <c r="V186" s="951"/>
      <c r="W186" s="952"/>
      <c r="X186" s="960"/>
      <c r="Y186" s="951"/>
      <c r="Z186" s="952"/>
      <c r="AA186" s="960"/>
      <c r="AB186" s="951"/>
      <c r="AC186" s="951"/>
      <c r="AD186" s="963"/>
      <c r="AE186" s="1180"/>
      <c r="AF186" s="1181"/>
      <c r="AG186" s="960"/>
      <c r="AH186" s="951"/>
      <c r="AI186" s="952"/>
      <c r="AJ186" s="976"/>
      <c r="AK186" s="982"/>
      <c r="AL186" s="1006"/>
      <c r="AM186" s="440"/>
      <c r="AN186" s="89"/>
      <c r="AO186" s="89"/>
    </row>
    <row r="187" spans="1:41" s="69" customFormat="1" ht="15.75" customHeight="1">
      <c r="A187" s="1015"/>
      <c r="B187" s="469"/>
      <c r="C187" s="388"/>
      <c r="D187" s="461" t="s">
        <v>284</v>
      </c>
      <c r="E187" s="320" t="s">
        <v>64</v>
      </c>
      <c r="F187" s="261"/>
      <c r="G187" s="431"/>
      <c r="H187" s="320" t="s">
        <v>64</v>
      </c>
      <c r="I187" s="261"/>
      <c r="J187" s="1166"/>
      <c r="K187" s="1057"/>
      <c r="L187" s="960"/>
      <c r="M187" s="951"/>
      <c r="N187" s="952"/>
      <c r="O187" s="737"/>
      <c r="P187" s="737"/>
      <c r="Q187" s="737"/>
      <c r="R187" s="960"/>
      <c r="S187" s="951"/>
      <c r="T187" s="952"/>
      <c r="U187" s="960"/>
      <c r="V187" s="951"/>
      <c r="W187" s="952"/>
      <c r="X187" s="960"/>
      <c r="Y187" s="951"/>
      <c r="Z187" s="952"/>
      <c r="AA187" s="960"/>
      <c r="AB187" s="951"/>
      <c r="AC187" s="951"/>
      <c r="AD187" s="963"/>
      <c r="AE187" s="1180"/>
      <c r="AF187" s="1181"/>
      <c r="AG187" s="960"/>
      <c r="AH187" s="951"/>
      <c r="AI187" s="952"/>
      <c r="AJ187" s="976"/>
      <c r="AK187" s="982"/>
      <c r="AL187" s="1006"/>
      <c r="AM187" s="440"/>
      <c r="AN187" s="89"/>
      <c r="AO187" s="89"/>
    </row>
    <row r="188" spans="1:41" s="69" customFormat="1" ht="15.75" customHeight="1">
      <c r="A188" s="1015"/>
      <c r="B188" s="469"/>
      <c r="C188" s="388"/>
      <c r="D188" s="345" t="s">
        <v>815</v>
      </c>
      <c r="E188" s="320" t="s">
        <v>64</v>
      </c>
      <c r="F188" s="261"/>
      <c r="G188" s="426">
        <v>22182.22</v>
      </c>
      <c r="H188" s="320" t="s">
        <v>64</v>
      </c>
      <c r="I188" s="261"/>
      <c r="J188" s="1166"/>
      <c r="K188" s="1057"/>
      <c r="L188" s="961"/>
      <c r="M188" s="954"/>
      <c r="N188" s="955"/>
      <c r="O188" s="731"/>
      <c r="P188" s="731"/>
      <c r="Q188" s="731"/>
      <c r="R188" s="961"/>
      <c r="S188" s="954"/>
      <c r="T188" s="955"/>
      <c r="U188" s="961"/>
      <c r="V188" s="954"/>
      <c r="W188" s="955"/>
      <c r="X188" s="961"/>
      <c r="Y188" s="954"/>
      <c r="Z188" s="955"/>
      <c r="AA188" s="961"/>
      <c r="AB188" s="954"/>
      <c r="AC188" s="954"/>
      <c r="AD188" s="964"/>
      <c r="AE188" s="1180"/>
      <c r="AF188" s="1181"/>
      <c r="AG188" s="961"/>
      <c r="AH188" s="954"/>
      <c r="AI188" s="955"/>
      <c r="AJ188" s="976"/>
      <c r="AK188" s="982"/>
      <c r="AL188" s="1006"/>
      <c r="AM188" s="440"/>
      <c r="AN188" s="89"/>
      <c r="AO188" s="89"/>
    </row>
    <row r="189" spans="1:41" s="69" customFormat="1" ht="15.75" customHeight="1">
      <c r="A189" s="1015"/>
      <c r="B189" s="469"/>
      <c r="C189" s="388"/>
      <c r="D189" s="223" t="s">
        <v>816</v>
      </c>
      <c r="E189" s="320" t="s">
        <v>64</v>
      </c>
      <c r="F189" s="261"/>
      <c r="G189" s="426">
        <v>1101.24</v>
      </c>
      <c r="H189" s="320" t="s">
        <v>64</v>
      </c>
      <c r="I189" s="261"/>
      <c r="J189" s="1166"/>
      <c r="K189" s="1057"/>
      <c r="L189" s="119">
        <v>100.72430080000001</v>
      </c>
      <c r="M189" s="225" t="s">
        <v>64</v>
      </c>
      <c r="N189" s="346"/>
      <c r="O189" s="346"/>
      <c r="P189" s="346"/>
      <c r="Q189" s="346"/>
      <c r="R189" s="346"/>
      <c r="S189" s="119">
        <v>100.72430080000001</v>
      </c>
      <c r="T189" s="196">
        <v>371.20699836577467</v>
      </c>
      <c r="U189" s="455"/>
      <c r="V189" s="74"/>
      <c r="W189" s="74"/>
      <c r="X189" s="456"/>
      <c r="Y189" s="119">
        <v>3</v>
      </c>
      <c r="Z189" s="196">
        <v>11.056130310683923</v>
      </c>
      <c r="AA189" s="633">
        <f t="shared" ref="AA189:AA250" si="7">Y189+Z189</f>
        <v>14.056130310683923</v>
      </c>
      <c r="AB189" s="483">
        <v>69.706619623565956</v>
      </c>
      <c r="AC189" s="483">
        <v>35.464464000000007</v>
      </c>
      <c r="AD189" s="484">
        <v>130.69991179418619</v>
      </c>
      <c r="AE189" s="1180"/>
      <c r="AF189" s="1181"/>
      <c r="AG189" s="487">
        <v>100.72430080000001</v>
      </c>
      <c r="AH189" s="488">
        <v>742.41399673154933</v>
      </c>
      <c r="AI189" s="185">
        <f t="shared" si="6"/>
        <v>742.41399673154933</v>
      </c>
      <c r="AJ189" s="976"/>
      <c r="AK189" s="982"/>
      <c r="AL189" s="1006"/>
      <c r="AM189" s="440"/>
      <c r="AN189" s="89"/>
      <c r="AO189" s="89"/>
    </row>
    <row r="190" spans="1:41" s="69" customFormat="1" ht="15.75" customHeight="1">
      <c r="A190" s="1015"/>
      <c r="B190" s="469"/>
      <c r="C190" s="388"/>
      <c r="D190" s="223" t="s">
        <v>820</v>
      </c>
      <c r="E190" s="320" t="s">
        <v>64</v>
      </c>
      <c r="F190" s="261"/>
      <c r="G190" s="426">
        <v>1101.24</v>
      </c>
      <c r="H190" s="320" t="s">
        <v>64</v>
      </c>
      <c r="I190" s="261"/>
      <c r="J190" s="1166"/>
      <c r="K190" s="1057"/>
      <c r="L190" s="119">
        <v>100.72430080000001</v>
      </c>
      <c r="M190" s="225" t="s">
        <v>64</v>
      </c>
      <c r="N190" s="346"/>
      <c r="O190" s="346"/>
      <c r="P190" s="346"/>
      <c r="Q190" s="346"/>
      <c r="R190" s="346"/>
      <c r="S190" s="119">
        <v>100.72430080000001</v>
      </c>
      <c r="T190" s="196">
        <v>371.20699836577467</v>
      </c>
      <c r="U190" s="455"/>
      <c r="V190" s="74"/>
      <c r="W190" s="74"/>
      <c r="X190" s="456"/>
      <c r="Y190" s="119">
        <v>3</v>
      </c>
      <c r="Z190" s="196">
        <v>11.056130310683923</v>
      </c>
      <c r="AA190" s="633">
        <f t="shared" si="7"/>
        <v>14.056130310683923</v>
      </c>
      <c r="AB190" s="483">
        <v>69.706619623565956</v>
      </c>
      <c r="AC190" s="483">
        <v>35.464464000000007</v>
      </c>
      <c r="AD190" s="484">
        <v>130.69991179418619</v>
      </c>
      <c r="AE190" s="1180"/>
      <c r="AF190" s="1181"/>
      <c r="AG190" s="487">
        <v>100.72430080000001</v>
      </c>
      <c r="AH190" s="488">
        <v>742.41399673154933</v>
      </c>
      <c r="AI190" s="185">
        <f t="shared" si="6"/>
        <v>742.41399673154933</v>
      </c>
      <c r="AJ190" s="976"/>
      <c r="AK190" s="982"/>
      <c r="AL190" s="1006"/>
      <c r="AM190" s="440"/>
      <c r="AN190" s="89"/>
      <c r="AO190" s="89"/>
    </row>
    <row r="191" spans="1:41" s="69" customFormat="1" ht="15.75" customHeight="1">
      <c r="A191" s="1015"/>
      <c r="B191" s="469"/>
      <c r="C191" s="388"/>
      <c r="D191" s="223" t="s">
        <v>821</v>
      </c>
      <c r="E191" s="320" t="s">
        <v>64</v>
      </c>
      <c r="F191" s="261"/>
      <c r="G191" s="427">
        <v>4666.62</v>
      </c>
      <c r="H191" s="320" t="s">
        <v>64</v>
      </c>
      <c r="I191" s="261"/>
      <c r="J191" s="1166"/>
      <c r="K191" s="1057"/>
      <c r="L191" s="965" t="s">
        <v>324</v>
      </c>
      <c r="M191" s="939"/>
      <c r="N191" s="939"/>
      <c r="O191" s="939"/>
      <c r="P191" s="939"/>
      <c r="Q191" s="939"/>
      <c r="R191" s="939"/>
      <c r="S191" s="939"/>
      <c r="T191" s="956"/>
      <c r="U191" s="965" t="s">
        <v>324</v>
      </c>
      <c r="V191" s="939"/>
      <c r="W191" s="939"/>
      <c r="X191" s="939"/>
      <c r="Y191" s="939"/>
      <c r="Z191" s="939"/>
      <c r="AA191" s="939"/>
      <c r="AB191" s="939"/>
      <c r="AC191" s="939"/>
      <c r="AD191" s="940"/>
      <c r="AE191" s="1180"/>
      <c r="AF191" s="1181"/>
      <c r="AG191" s="1130" t="s">
        <v>324</v>
      </c>
      <c r="AH191" s="1131"/>
      <c r="AI191" s="1132"/>
      <c r="AJ191" s="976"/>
      <c r="AK191" s="982"/>
      <c r="AL191" s="1006"/>
      <c r="AM191" s="440"/>
      <c r="AN191" s="89"/>
      <c r="AO191" s="89"/>
    </row>
    <row r="192" spans="1:41" s="69" customFormat="1" ht="15.75" customHeight="1">
      <c r="A192" s="1015"/>
      <c r="B192" s="469"/>
      <c r="C192" s="388"/>
      <c r="D192" s="223" t="s">
        <v>822</v>
      </c>
      <c r="E192" s="320" t="s">
        <v>64</v>
      </c>
      <c r="F192" s="261"/>
      <c r="G192" s="427">
        <v>666.66</v>
      </c>
      <c r="H192" s="320" t="s">
        <v>64</v>
      </c>
      <c r="I192" s="261"/>
      <c r="J192" s="1166"/>
      <c r="K192" s="1057"/>
      <c r="L192" s="119">
        <v>96.413267200000007</v>
      </c>
      <c r="M192" s="225" t="s">
        <v>64</v>
      </c>
      <c r="N192" s="346"/>
      <c r="O192" s="346"/>
      <c r="P192" s="346"/>
      <c r="Q192" s="346"/>
      <c r="R192" s="346"/>
      <c r="S192" s="119">
        <v>96.413267200000007</v>
      </c>
      <c r="T192" s="196">
        <v>355.31921528066249</v>
      </c>
      <c r="U192" s="455"/>
      <c r="V192" s="74"/>
      <c r="W192" s="74"/>
      <c r="X192" s="456"/>
      <c r="Y192" s="119">
        <v>3</v>
      </c>
      <c r="Z192" s="196">
        <v>11.056130310683923</v>
      </c>
      <c r="AA192" s="633">
        <f t="shared" si="7"/>
        <v>14.056130310683923</v>
      </c>
      <c r="AB192" s="483">
        <v>66.631564832899045</v>
      </c>
      <c r="AC192" s="483">
        <v>33.899976000000002</v>
      </c>
      <c r="AD192" s="484">
        <v>124.93418406168573</v>
      </c>
      <c r="AE192" s="1180"/>
      <c r="AF192" s="1181"/>
      <c r="AG192" s="487">
        <v>96.413267200000007</v>
      </c>
      <c r="AH192" s="488">
        <v>710.63843056132498</v>
      </c>
      <c r="AI192" s="185">
        <f t="shared" si="6"/>
        <v>710.63843056132498</v>
      </c>
      <c r="AJ192" s="976"/>
      <c r="AK192" s="982"/>
      <c r="AL192" s="1006"/>
      <c r="AM192" s="440"/>
      <c r="AN192" s="89"/>
      <c r="AO192" s="89"/>
    </row>
    <row r="193" spans="1:41" s="69" customFormat="1" ht="15.75" customHeight="1">
      <c r="A193" s="1015"/>
      <c r="B193" s="469"/>
      <c r="C193" s="388"/>
      <c r="D193" s="223" t="s">
        <v>823</v>
      </c>
      <c r="E193" s="320" t="s">
        <v>64</v>
      </c>
      <c r="F193" s="261"/>
      <c r="G193" s="428">
        <v>66.599999999999994</v>
      </c>
      <c r="H193" s="320" t="s">
        <v>64</v>
      </c>
      <c r="I193" s="261"/>
      <c r="J193" s="1166"/>
      <c r="K193" s="1057"/>
      <c r="L193" s="119">
        <v>90.460672000000017</v>
      </c>
      <c r="M193" s="225" t="s">
        <v>64</v>
      </c>
      <c r="N193" s="346"/>
      <c r="O193" s="346"/>
      <c r="P193" s="346"/>
      <c r="Q193" s="346"/>
      <c r="R193" s="346"/>
      <c r="S193" s="119">
        <v>90.460672000000017</v>
      </c>
      <c r="T193" s="196">
        <v>333.38165920801191</v>
      </c>
      <c r="U193" s="455"/>
      <c r="V193" s="74"/>
      <c r="W193" s="74"/>
      <c r="X193" s="456"/>
      <c r="Y193" s="119">
        <v>3</v>
      </c>
      <c r="Z193" s="196">
        <v>11.056130310683923</v>
      </c>
      <c r="AA193" s="633">
        <f t="shared" si="7"/>
        <v>14.056130310683923</v>
      </c>
      <c r="AB193" s="483">
        <v>62.385586238192481</v>
      </c>
      <c r="AC193" s="483">
        <v>31.739760000000004</v>
      </c>
      <c r="AD193" s="484">
        <v>116.97297419661096</v>
      </c>
      <c r="AE193" s="1180"/>
      <c r="AF193" s="1181"/>
      <c r="AG193" s="487">
        <v>90.460672000000017</v>
      </c>
      <c r="AH193" s="488">
        <v>666.76331841602382</v>
      </c>
      <c r="AI193" s="185">
        <f t="shared" si="6"/>
        <v>666.76331841602382</v>
      </c>
      <c r="AJ193" s="976"/>
      <c r="AK193" s="982"/>
      <c r="AL193" s="1006"/>
      <c r="AM193" s="440"/>
      <c r="AN193" s="89"/>
      <c r="AO193" s="89"/>
    </row>
    <row r="194" spans="1:41" s="69" customFormat="1" ht="15.75" customHeight="1">
      <c r="A194" s="1015"/>
      <c r="B194" s="469"/>
      <c r="C194" s="388"/>
      <c r="D194" s="223" t="s">
        <v>825</v>
      </c>
      <c r="E194" s="320" t="s">
        <v>64</v>
      </c>
      <c r="F194" s="261"/>
      <c r="G194" s="428">
        <v>66.599999999999994</v>
      </c>
      <c r="H194" s="320" t="s">
        <v>64</v>
      </c>
      <c r="I194" s="261"/>
      <c r="J194" s="1166"/>
      <c r="K194" s="1057"/>
      <c r="L194" s="119">
        <v>90.460672000000017</v>
      </c>
      <c r="M194" s="225" t="s">
        <v>64</v>
      </c>
      <c r="N194" s="346"/>
      <c r="O194" s="346"/>
      <c r="P194" s="346"/>
      <c r="Q194" s="346"/>
      <c r="R194" s="346"/>
      <c r="S194" s="119">
        <v>90.460672000000017</v>
      </c>
      <c r="T194" s="196">
        <v>333.38165920801191</v>
      </c>
      <c r="U194" s="455"/>
      <c r="V194" s="74"/>
      <c r="W194" s="74"/>
      <c r="X194" s="456"/>
      <c r="Y194" s="119">
        <v>3</v>
      </c>
      <c r="Z194" s="196">
        <v>11.056130310683923</v>
      </c>
      <c r="AA194" s="633">
        <f t="shared" si="7"/>
        <v>14.056130310683923</v>
      </c>
      <c r="AB194" s="483">
        <v>62.385586238192481</v>
      </c>
      <c r="AC194" s="483">
        <v>31.739760000000004</v>
      </c>
      <c r="AD194" s="484">
        <v>116.97297419661096</v>
      </c>
      <c r="AE194" s="1180"/>
      <c r="AF194" s="1181"/>
      <c r="AG194" s="487">
        <v>90.460672000000017</v>
      </c>
      <c r="AH194" s="488">
        <v>666.76331841602382</v>
      </c>
      <c r="AI194" s="185">
        <f t="shared" si="6"/>
        <v>666.76331841602382</v>
      </c>
      <c r="AJ194" s="976"/>
      <c r="AK194" s="982"/>
      <c r="AL194" s="1006"/>
      <c r="AM194" s="440"/>
      <c r="AN194" s="89"/>
      <c r="AO194" s="89"/>
    </row>
    <row r="195" spans="1:41" s="69" customFormat="1" ht="15.75" customHeight="1">
      <c r="A195" s="1015"/>
      <c r="B195" s="469"/>
      <c r="C195" s="388"/>
      <c r="D195" s="223" t="s">
        <v>826</v>
      </c>
      <c r="E195" s="320" t="s">
        <v>64</v>
      </c>
      <c r="F195" s="261"/>
      <c r="G195" s="475">
        <v>5000</v>
      </c>
      <c r="H195" s="320" t="s">
        <v>64</v>
      </c>
      <c r="I195" s="261"/>
      <c r="J195" s="1166"/>
      <c r="K195" s="1057"/>
      <c r="L195" s="966" t="s">
        <v>324</v>
      </c>
      <c r="M195" s="948"/>
      <c r="N195" s="949"/>
      <c r="O195" s="739"/>
      <c r="P195" s="739"/>
      <c r="Q195" s="739"/>
      <c r="R195" s="966" t="s">
        <v>324</v>
      </c>
      <c r="S195" s="948"/>
      <c r="T195" s="949"/>
      <c r="U195" s="966" t="s">
        <v>324</v>
      </c>
      <c r="V195" s="948"/>
      <c r="W195" s="949"/>
      <c r="X195" s="966" t="s">
        <v>324</v>
      </c>
      <c r="Y195" s="948"/>
      <c r="Z195" s="949"/>
      <c r="AA195" s="966" t="s">
        <v>324</v>
      </c>
      <c r="AB195" s="948"/>
      <c r="AC195" s="948"/>
      <c r="AD195" s="967"/>
      <c r="AE195" s="1180"/>
      <c r="AF195" s="1181"/>
      <c r="AG195" s="966" t="s">
        <v>324</v>
      </c>
      <c r="AH195" s="948"/>
      <c r="AI195" s="949"/>
      <c r="AJ195" s="976"/>
      <c r="AK195" s="982"/>
      <c r="AL195" s="1006"/>
      <c r="AM195" s="440"/>
      <c r="AN195" s="89"/>
      <c r="AO195" s="89"/>
    </row>
    <row r="196" spans="1:41" s="69" customFormat="1" ht="15.75" customHeight="1">
      <c r="A196" s="1015"/>
      <c r="B196" s="469"/>
      <c r="C196" s="388"/>
      <c r="D196" s="223" t="s">
        <v>827</v>
      </c>
      <c r="E196" s="320" t="s">
        <v>64</v>
      </c>
      <c r="F196" s="261"/>
      <c r="G196" s="475">
        <v>40903</v>
      </c>
      <c r="H196" s="320" t="s">
        <v>64</v>
      </c>
      <c r="I196" s="261"/>
      <c r="J196" s="1166"/>
      <c r="K196" s="1057"/>
      <c r="L196" s="961"/>
      <c r="M196" s="954"/>
      <c r="N196" s="955"/>
      <c r="O196" s="731"/>
      <c r="P196" s="731"/>
      <c r="Q196" s="731"/>
      <c r="R196" s="961"/>
      <c r="S196" s="954"/>
      <c r="T196" s="955"/>
      <c r="U196" s="961"/>
      <c r="V196" s="954"/>
      <c r="W196" s="955"/>
      <c r="X196" s="961"/>
      <c r="Y196" s="954"/>
      <c r="Z196" s="955"/>
      <c r="AA196" s="961"/>
      <c r="AB196" s="954"/>
      <c r="AC196" s="954"/>
      <c r="AD196" s="964"/>
      <c r="AE196" s="1180"/>
      <c r="AF196" s="1181"/>
      <c r="AG196" s="961"/>
      <c r="AH196" s="954"/>
      <c r="AI196" s="955"/>
      <c r="AJ196" s="976"/>
      <c r="AK196" s="982"/>
      <c r="AL196" s="1006"/>
      <c r="AM196" s="440"/>
      <c r="AN196" s="89"/>
      <c r="AO196" s="89"/>
    </row>
    <row r="197" spans="1:41" s="69" customFormat="1" ht="15.75" customHeight="1">
      <c r="A197" s="1015"/>
      <c r="B197" s="469"/>
      <c r="C197" s="388"/>
      <c r="D197" s="223" t="s">
        <v>828</v>
      </c>
      <c r="E197" s="320" t="s">
        <v>64</v>
      </c>
      <c r="F197" s="261"/>
      <c r="G197" s="475">
        <f>G196*10%</f>
        <v>4090.3</v>
      </c>
      <c r="H197" s="320" t="s">
        <v>64</v>
      </c>
      <c r="I197" s="261"/>
      <c r="J197" s="1166"/>
      <c r="K197" s="1057"/>
      <c r="L197" s="119">
        <v>130.37577599999997</v>
      </c>
      <c r="M197" s="225" t="s">
        <v>64</v>
      </c>
      <c r="N197" s="346"/>
      <c r="O197" s="346"/>
      <c r="P197" s="346"/>
      <c r="Q197" s="346"/>
      <c r="R197" s="346"/>
      <c r="S197" s="119">
        <v>130.37577599999997</v>
      </c>
      <c r="T197" s="196">
        <v>480.48385627084514</v>
      </c>
      <c r="U197" s="455"/>
      <c r="V197" s="74"/>
      <c r="W197" s="74"/>
      <c r="X197" s="456"/>
      <c r="Y197" s="119">
        <v>3</v>
      </c>
      <c r="Z197" s="196">
        <v>11.056130310683923</v>
      </c>
      <c r="AA197" s="633">
        <f t="shared" si="7"/>
        <v>14.056130310683923</v>
      </c>
      <c r="AB197" s="483">
        <v>90.856979218095816</v>
      </c>
      <c r="AC197" s="483">
        <v>46.225079999999998</v>
      </c>
      <c r="AD197" s="484">
        <v>170.35683603392965</v>
      </c>
      <c r="AE197" s="1180"/>
      <c r="AF197" s="1181"/>
      <c r="AG197" s="487">
        <v>130.37577599999997</v>
      </c>
      <c r="AH197" s="488">
        <v>960.96771254169028</v>
      </c>
      <c r="AI197" s="185">
        <f t="shared" si="6"/>
        <v>960.96771254169028</v>
      </c>
      <c r="AJ197" s="976"/>
      <c r="AK197" s="982"/>
      <c r="AL197" s="1006"/>
      <c r="AM197" s="440"/>
      <c r="AN197" s="89"/>
      <c r="AO197" s="89"/>
    </row>
    <row r="198" spans="1:41" s="69" customFormat="1" ht="15.75" customHeight="1">
      <c r="A198" s="1015"/>
      <c r="B198" s="469"/>
      <c r="C198" s="388"/>
      <c r="D198" s="223" t="s">
        <v>829</v>
      </c>
      <c r="E198" s="320" t="s">
        <v>64</v>
      </c>
      <c r="F198" s="261"/>
      <c r="G198" s="475">
        <v>4090.3</v>
      </c>
      <c r="H198" s="320" t="s">
        <v>64</v>
      </c>
      <c r="I198" s="261"/>
      <c r="J198" s="1166"/>
      <c r="K198" s="1057"/>
      <c r="L198" s="119">
        <v>130.37577599999997</v>
      </c>
      <c r="M198" s="225" t="s">
        <v>64</v>
      </c>
      <c r="N198" s="346"/>
      <c r="O198" s="346"/>
      <c r="P198" s="346"/>
      <c r="Q198" s="346"/>
      <c r="R198" s="346"/>
      <c r="S198" s="119">
        <v>130.37577599999997</v>
      </c>
      <c r="T198" s="196">
        <v>480.48385627084514</v>
      </c>
      <c r="U198" s="455"/>
      <c r="V198" s="74"/>
      <c r="W198" s="74"/>
      <c r="X198" s="456"/>
      <c r="Y198" s="119">
        <v>3</v>
      </c>
      <c r="Z198" s="196">
        <v>11.056130310683923</v>
      </c>
      <c r="AA198" s="633">
        <f t="shared" si="7"/>
        <v>14.056130310683923</v>
      </c>
      <c r="AB198" s="483">
        <v>90.856979218095816</v>
      </c>
      <c r="AC198" s="483">
        <v>46.225079999999998</v>
      </c>
      <c r="AD198" s="484">
        <v>170.35683603392965</v>
      </c>
      <c r="AE198" s="1180"/>
      <c r="AF198" s="1181"/>
      <c r="AG198" s="487">
        <v>130.37577599999997</v>
      </c>
      <c r="AH198" s="488">
        <v>960.96771254169028</v>
      </c>
      <c r="AI198" s="185">
        <f t="shared" si="6"/>
        <v>960.96771254169028</v>
      </c>
      <c r="AJ198" s="976"/>
      <c r="AK198" s="982"/>
      <c r="AL198" s="1006"/>
      <c r="AM198" s="440"/>
      <c r="AN198" s="89"/>
      <c r="AO198" s="89"/>
    </row>
    <row r="199" spans="1:41" s="69" customFormat="1" ht="15.75" customHeight="1">
      <c r="A199" s="1015"/>
      <c r="B199" s="469"/>
      <c r="C199" s="388"/>
      <c r="D199" s="223" t="s">
        <v>830</v>
      </c>
      <c r="E199" s="320" t="s">
        <v>64</v>
      </c>
      <c r="F199" s="261"/>
      <c r="G199" s="475">
        <v>15000</v>
      </c>
      <c r="H199" s="320" t="s">
        <v>64</v>
      </c>
      <c r="I199" s="261"/>
      <c r="J199" s="1166"/>
      <c r="K199" s="1057"/>
      <c r="L199" s="965" t="s">
        <v>324</v>
      </c>
      <c r="M199" s="939"/>
      <c r="N199" s="939"/>
      <c r="O199" s="939"/>
      <c r="P199" s="939"/>
      <c r="Q199" s="939"/>
      <c r="R199" s="939"/>
      <c r="S199" s="939"/>
      <c r="T199" s="956"/>
      <c r="U199" s="965" t="s">
        <v>324</v>
      </c>
      <c r="V199" s="939"/>
      <c r="W199" s="939"/>
      <c r="X199" s="939"/>
      <c r="Y199" s="939"/>
      <c r="Z199" s="939"/>
      <c r="AA199" s="939"/>
      <c r="AB199" s="939"/>
      <c r="AC199" s="939"/>
      <c r="AD199" s="940"/>
      <c r="AE199" s="1180"/>
      <c r="AF199" s="1181"/>
      <c r="AG199" s="1130" t="s">
        <v>324</v>
      </c>
      <c r="AH199" s="1131"/>
      <c r="AI199" s="1132"/>
      <c r="AJ199" s="976"/>
      <c r="AK199" s="982"/>
      <c r="AL199" s="1006"/>
      <c r="AM199" s="440"/>
      <c r="AN199" s="89"/>
      <c r="AO199" s="89"/>
    </row>
    <row r="200" spans="1:41" s="69" customFormat="1" ht="15.75" customHeight="1">
      <c r="A200" s="1015"/>
      <c r="B200" s="469"/>
      <c r="C200" s="388"/>
      <c r="D200" s="223" t="s">
        <v>831</v>
      </c>
      <c r="E200" s="320" t="s">
        <v>64</v>
      </c>
      <c r="F200" s="261"/>
      <c r="G200" s="426">
        <v>1500</v>
      </c>
      <c r="H200" s="320" t="s">
        <v>64</v>
      </c>
      <c r="I200" s="261"/>
      <c r="J200" s="1166"/>
      <c r="K200" s="1057"/>
      <c r="L200" s="119">
        <v>104.68</v>
      </c>
      <c r="M200" s="225" t="s">
        <v>64</v>
      </c>
      <c r="N200" s="346"/>
      <c r="O200" s="346"/>
      <c r="P200" s="346"/>
      <c r="Q200" s="346"/>
      <c r="R200" s="346"/>
      <c r="S200" s="119">
        <v>104.68</v>
      </c>
      <c r="T200" s="196">
        <v>385.78524030746394</v>
      </c>
      <c r="U200" s="455"/>
      <c r="V200" s="74"/>
      <c r="W200" s="74"/>
      <c r="X200" s="456"/>
      <c r="Y200" s="119">
        <v>3</v>
      </c>
      <c r="Z200" s="196">
        <v>11.056130310683923</v>
      </c>
      <c r="AA200" s="633">
        <f t="shared" si="7"/>
        <v>14.056130310683923</v>
      </c>
      <c r="AB200" s="483">
        <v>72.528214838086498</v>
      </c>
      <c r="AC200" s="483">
        <v>36.9</v>
      </c>
      <c r="AD200" s="484">
        <v>135.99040282141223</v>
      </c>
      <c r="AE200" s="1180"/>
      <c r="AF200" s="1181"/>
      <c r="AG200" s="487">
        <v>104.68</v>
      </c>
      <c r="AH200" s="488">
        <v>771.57048061492787</v>
      </c>
      <c r="AI200" s="185">
        <f t="shared" si="6"/>
        <v>771.57048061492787</v>
      </c>
      <c r="AJ200" s="976"/>
      <c r="AK200" s="982"/>
      <c r="AL200" s="1006"/>
      <c r="AM200" s="440"/>
      <c r="AN200" s="89"/>
      <c r="AO200" s="89"/>
    </row>
    <row r="201" spans="1:41" s="69" customFormat="1" ht="15.75" customHeight="1">
      <c r="A201" s="1015"/>
      <c r="B201" s="469"/>
      <c r="C201" s="388"/>
      <c r="D201" s="223" t="s">
        <v>833</v>
      </c>
      <c r="E201" s="320" t="s">
        <v>64</v>
      </c>
      <c r="F201" s="261"/>
      <c r="G201" s="426">
        <v>1500</v>
      </c>
      <c r="H201" s="320" t="s">
        <v>64</v>
      </c>
      <c r="I201" s="261"/>
      <c r="J201" s="1166"/>
      <c r="K201" s="1057"/>
      <c r="L201" s="119">
        <v>104.68</v>
      </c>
      <c r="M201" s="225" t="s">
        <v>64</v>
      </c>
      <c r="N201" s="346"/>
      <c r="O201" s="346"/>
      <c r="P201" s="346"/>
      <c r="Q201" s="346"/>
      <c r="R201" s="346"/>
      <c r="S201" s="119">
        <v>104.68</v>
      </c>
      <c r="T201" s="196">
        <v>385.78524030746394</v>
      </c>
      <c r="U201" s="455"/>
      <c r="V201" s="74"/>
      <c r="W201" s="74"/>
      <c r="X201" s="456"/>
      <c r="Y201" s="119">
        <v>3</v>
      </c>
      <c r="Z201" s="196">
        <v>11.056130310683923</v>
      </c>
      <c r="AA201" s="633">
        <f t="shared" si="7"/>
        <v>14.056130310683923</v>
      </c>
      <c r="AB201" s="483">
        <v>72.528214838086498</v>
      </c>
      <c r="AC201" s="483">
        <v>36.9</v>
      </c>
      <c r="AD201" s="484">
        <v>135.99040282141223</v>
      </c>
      <c r="AE201" s="1180"/>
      <c r="AF201" s="1181"/>
      <c r="AG201" s="487">
        <v>104.68</v>
      </c>
      <c r="AH201" s="488">
        <v>771.57048061492787</v>
      </c>
      <c r="AI201" s="185">
        <f t="shared" si="6"/>
        <v>771.57048061492787</v>
      </c>
      <c r="AJ201" s="976"/>
      <c r="AK201" s="982"/>
      <c r="AL201" s="1006"/>
      <c r="AM201" s="440"/>
      <c r="AN201" s="89"/>
      <c r="AO201" s="89"/>
    </row>
    <row r="202" spans="1:41" s="69" customFormat="1" ht="15.75" customHeight="1">
      <c r="A202" s="1015"/>
      <c r="B202" s="469"/>
      <c r="C202" s="388"/>
      <c r="D202" s="223" t="s">
        <v>834</v>
      </c>
      <c r="E202" s="320" t="s">
        <v>64</v>
      </c>
      <c r="F202" s="261"/>
      <c r="G202" s="476">
        <v>6.66</v>
      </c>
      <c r="H202" s="320" t="s">
        <v>64</v>
      </c>
      <c r="I202" s="261"/>
      <c r="J202" s="1166"/>
      <c r="K202" s="1057"/>
      <c r="L202" s="966" t="s">
        <v>324</v>
      </c>
      <c r="M202" s="948"/>
      <c r="N202" s="949"/>
      <c r="O202" s="739"/>
      <c r="P202" s="739"/>
      <c r="Q202" s="739"/>
      <c r="R202" s="966" t="s">
        <v>324</v>
      </c>
      <c r="S202" s="948"/>
      <c r="T202" s="949"/>
      <c r="U202" s="966" t="s">
        <v>324</v>
      </c>
      <c r="V202" s="948"/>
      <c r="W202" s="949"/>
      <c r="X202" s="966" t="s">
        <v>324</v>
      </c>
      <c r="Y202" s="948"/>
      <c r="Z202" s="949"/>
      <c r="AA202" s="966" t="s">
        <v>324</v>
      </c>
      <c r="AB202" s="948"/>
      <c r="AC202" s="948"/>
      <c r="AD202" s="967"/>
      <c r="AE202" s="1180"/>
      <c r="AF202" s="1181"/>
      <c r="AG202" s="966" t="s">
        <v>324</v>
      </c>
      <c r="AH202" s="948"/>
      <c r="AI202" s="949"/>
      <c r="AJ202" s="976"/>
      <c r="AK202" s="982"/>
      <c r="AL202" s="1006"/>
      <c r="AM202" s="440"/>
      <c r="AN202" s="89"/>
      <c r="AO202" s="89"/>
    </row>
    <row r="203" spans="1:41" s="69" customFormat="1" ht="15.75" customHeight="1">
      <c r="A203" s="1015"/>
      <c r="B203" s="469"/>
      <c r="C203" s="388"/>
      <c r="D203" s="223" t="s">
        <v>835</v>
      </c>
      <c r="E203" s="320" t="s">
        <v>64</v>
      </c>
      <c r="F203" s="261"/>
      <c r="G203" s="476">
        <v>66.599999999999994</v>
      </c>
      <c r="H203" s="320" t="s">
        <v>64</v>
      </c>
      <c r="I203" s="261"/>
      <c r="J203" s="1166"/>
      <c r="K203" s="1057"/>
      <c r="L203" s="960"/>
      <c r="M203" s="951"/>
      <c r="N203" s="952"/>
      <c r="O203" s="737"/>
      <c r="P203" s="737"/>
      <c r="Q203" s="737"/>
      <c r="R203" s="960"/>
      <c r="S203" s="951"/>
      <c r="T203" s="952"/>
      <c r="U203" s="960"/>
      <c r="V203" s="951"/>
      <c r="W203" s="952"/>
      <c r="X203" s="960"/>
      <c r="Y203" s="951"/>
      <c r="Z203" s="952"/>
      <c r="AA203" s="960"/>
      <c r="AB203" s="951"/>
      <c r="AC203" s="951"/>
      <c r="AD203" s="963"/>
      <c r="AE203" s="1180"/>
      <c r="AF203" s="1181"/>
      <c r="AG203" s="960"/>
      <c r="AH203" s="951"/>
      <c r="AI203" s="952"/>
      <c r="AJ203" s="976"/>
      <c r="AK203" s="982"/>
      <c r="AL203" s="1006"/>
      <c r="AM203" s="440"/>
      <c r="AN203" s="89"/>
      <c r="AO203" s="89"/>
    </row>
    <row r="204" spans="1:41" s="69" customFormat="1" ht="15.75" customHeight="1">
      <c r="A204" s="1015"/>
      <c r="B204" s="469"/>
      <c r="C204" s="388"/>
      <c r="D204" s="223" t="s">
        <v>836</v>
      </c>
      <c r="E204" s="320" t="s">
        <v>64</v>
      </c>
      <c r="F204" s="261"/>
      <c r="G204" s="476">
        <v>666.66</v>
      </c>
      <c r="H204" s="320" t="s">
        <v>64</v>
      </c>
      <c r="I204" s="261"/>
      <c r="J204" s="1166"/>
      <c r="K204" s="1057"/>
      <c r="L204" s="960"/>
      <c r="M204" s="951"/>
      <c r="N204" s="952"/>
      <c r="O204" s="737"/>
      <c r="P204" s="737"/>
      <c r="Q204" s="737"/>
      <c r="R204" s="960"/>
      <c r="S204" s="951"/>
      <c r="T204" s="952"/>
      <c r="U204" s="960"/>
      <c r="V204" s="951"/>
      <c r="W204" s="952"/>
      <c r="X204" s="960"/>
      <c r="Y204" s="951"/>
      <c r="Z204" s="952"/>
      <c r="AA204" s="960"/>
      <c r="AB204" s="951"/>
      <c r="AC204" s="951"/>
      <c r="AD204" s="963"/>
      <c r="AE204" s="1180"/>
      <c r="AF204" s="1181"/>
      <c r="AG204" s="960"/>
      <c r="AH204" s="951"/>
      <c r="AI204" s="952"/>
      <c r="AJ204" s="976"/>
      <c r="AK204" s="982"/>
      <c r="AL204" s="1006"/>
      <c r="AM204" s="440"/>
      <c r="AN204" s="89"/>
      <c r="AO204" s="89"/>
    </row>
    <row r="205" spans="1:41" s="69" customFormat="1" ht="16.5" customHeight="1" thickBot="1">
      <c r="A205" s="1015"/>
      <c r="B205" s="464"/>
      <c r="C205" s="390"/>
      <c r="D205" s="224" t="s">
        <v>837</v>
      </c>
      <c r="E205" s="226" t="s">
        <v>64</v>
      </c>
      <c r="F205" s="324"/>
      <c r="G205" s="432">
        <f>50*78.66</f>
        <v>3933</v>
      </c>
      <c r="H205" s="226" t="s">
        <v>64</v>
      </c>
      <c r="I205" s="261"/>
      <c r="J205" s="1167"/>
      <c r="K205" s="1057"/>
      <c r="L205" s="1086"/>
      <c r="M205" s="973"/>
      <c r="N205" s="1087"/>
      <c r="O205" s="738"/>
      <c r="P205" s="738"/>
      <c r="Q205" s="738"/>
      <c r="R205" s="1086"/>
      <c r="S205" s="973"/>
      <c r="T205" s="1087"/>
      <c r="U205" s="1086"/>
      <c r="V205" s="973"/>
      <c r="W205" s="1087"/>
      <c r="X205" s="1086"/>
      <c r="Y205" s="973"/>
      <c r="Z205" s="1087"/>
      <c r="AA205" s="1086"/>
      <c r="AB205" s="973"/>
      <c r="AC205" s="973"/>
      <c r="AD205" s="974"/>
      <c r="AE205" s="1180"/>
      <c r="AF205" s="1181"/>
      <c r="AG205" s="1086"/>
      <c r="AH205" s="973"/>
      <c r="AI205" s="1087"/>
      <c r="AJ205" s="976"/>
      <c r="AK205" s="983"/>
      <c r="AL205" s="1006"/>
      <c r="AM205" s="440"/>
      <c r="AN205" s="89"/>
      <c r="AO205" s="89"/>
    </row>
    <row r="206" spans="1:41" s="69" customFormat="1" ht="15.75" customHeight="1">
      <c r="A206" s="1015"/>
      <c r="B206" s="465" t="s">
        <v>151</v>
      </c>
      <c r="C206" s="386" t="s">
        <v>151</v>
      </c>
      <c r="D206" s="460" t="s">
        <v>285</v>
      </c>
      <c r="E206" s="472" t="s">
        <v>306</v>
      </c>
      <c r="F206" s="323"/>
      <c r="G206" s="433"/>
      <c r="H206" s="320"/>
      <c r="I206" s="261"/>
      <c r="J206" s="1164" t="s">
        <v>325</v>
      </c>
      <c r="K206" s="1057"/>
      <c r="L206" s="957" t="s">
        <v>326</v>
      </c>
      <c r="M206" s="958"/>
      <c r="N206" s="959"/>
      <c r="O206" s="730"/>
      <c r="P206" s="730"/>
      <c r="Q206" s="730"/>
      <c r="R206" s="957" t="s">
        <v>326</v>
      </c>
      <c r="S206" s="958"/>
      <c r="T206" s="959"/>
      <c r="U206" s="957" t="s">
        <v>326</v>
      </c>
      <c r="V206" s="958"/>
      <c r="W206" s="959"/>
      <c r="X206" s="957" t="s">
        <v>326</v>
      </c>
      <c r="Y206" s="958"/>
      <c r="Z206" s="959"/>
      <c r="AA206" s="957" t="s">
        <v>326</v>
      </c>
      <c r="AB206" s="958"/>
      <c r="AC206" s="958"/>
      <c r="AD206" s="962"/>
      <c r="AE206" s="1180"/>
      <c r="AF206" s="1181"/>
      <c r="AG206" s="957" t="s">
        <v>326</v>
      </c>
      <c r="AH206" s="958"/>
      <c r="AI206" s="959"/>
      <c r="AJ206" s="976"/>
      <c r="AK206" s="981">
        <f>SUM(AI206:AI231)</f>
        <v>3946.0121346387464</v>
      </c>
      <c r="AL206" s="1006"/>
      <c r="AM206" s="440"/>
      <c r="AN206" s="89"/>
      <c r="AO206" s="89"/>
    </row>
    <row r="207" spans="1:41" s="69" customFormat="1" ht="15.75" customHeight="1">
      <c r="A207" s="1015"/>
      <c r="B207" s="466"/>
      <c r="C207" s="388"/>
      <c r="D207" s="461" t="s">
        <v>286</v>
      </c>
      <c r="E207" s="472" t="s">
        <v>307</v>
      </c>
      <c r="F207" s="261"/>
      <c r="G207" s="431">
        <v>1380000</v>
      </c>
      <c r="H207" s="320" t="s">
        <v>221</v>
      </c>
      <c r="I207" s="261"/>
      <c r="J207" s="1164"/>
      <c r="K207" s="1057"/>
      <c r="L207" s="960"/>
      <c r="M207" s="951"/>
      <c r="N207" s="952"/>
      <c r="O207" s="737"/>
      <c r="P207" s="737"/>
      <c r="Q207" s="737"/>
      <c r="R207" s="960"/>
      <c r="S207" s="951"/>
      <c r="T207" s="952"/>
      <c r="U207" s="960"/>
      <c r="V207" s="951"/>
      <c r="W207" s="952"/>
      <c r="X207" s="960"/>
      <c r="Y207" s="951"/>
      <c r="Z207" s="952"/>
      <c r="AA207" s="960"/>
      <c r="AB207" s="951"/>
      <c r="AC207" s="951"/>
      <c r="AD207" s="963"/>
      <c r="AE207" s="1180"/>
      <c r="AF207" s="1181"/>
      <c r="AG207" s="960"/>
      <c r="AH207" s="951"/>
      <c r="AI207" s="952"/>
      <c r="AJ207" s="976"/>
      <c r="AK207" s="982"/>
      <c r="AL207" s="1006"/>
      <c r="AM207" s="440"/>
      <c r="AN207" s="89"/>
      <c r="AO207" s="89"/>
    </row>
    <row r="208" spans="1:41" s="69" customFormat="1" ht="15.75" customHeight="1">
      <c r="A208" s="1015"/>
      <c r="B208" s="466"/>
      <c r="C208" s="388"/>
      <c r="D208" s="461" t="s">
        <v>287</v>
      </c>
      <c r="E208" s="472" t="s">
        <v>307</v>
      </c>
      <c r="F208" s="261"/>
      <c r="G208" s="431">
        <v>20000</v>
      </c>
      <c r="H208" s="320" t="s">
        <v>221</v>
      </c>
      <c r="I208" s="261"/>
      <c r="J208" s="1164"/>
      <c r="K208" s="1057"/>
      <c r="L208" s="960"/>
      <c r="M208" s="951"/>
      <c r="N208" s="952"/>
      <c r="O208" s="737"/>
      <c r="P208" s="737"/>
      <c r="Q208" s="737"/>
      <c r="R208" s="960"/>
      <c r="S208" s="951"/>
      <c r="T208" s="952"/>
      <c r="U208" s="960"/>
      <c r="V208" s="951"/>
      <c r="W208" s="952"/>
      <c r="X208" s="960"/>
      <c r="Y208" s="951"/>
      <c r="Z208" s="952"/>
      <c r="AA208" s="960"/>
      <c r="AB208" s="951"/>
      <c r="AC208" s="951"/>
      <c r="AD208" s="963"/>
      <c r="AE208" s="1180"/>
      <c r="AF208" s="1181"/>
      <c r="AG208" s="960"/>
      <c r="AH208" s="951"/>
      <c r="AI208" s="952"/>
      <c r="AJ208" s="976"/>
      <c r="AK208" s="982"/>
      <c r="AL208" s="1006"/>
      <c r="AM208" s="440"/>
      <c r="AN208" s="89"/>
      <c r="AO208" s="89"/>
    </row>
    <row r="209" spans="1:41" s="69" customFormat="1" ht="15.75" customHeight="1">
      <c r="A209" s="1015"/>
      <c r="B209" s="466"/>
      <c r="C209" s="388"/>
      <c r="D209" s="461" t="s">
        <v>288</v>
      </c>
      <c r="E209" s="472" t="s">
        <v>308</v>
      </c>
      <c r="F209" s="261"/>
      <c r="G209" s="431"/>
      <c r="H209" s="320"/>
      <c r="I209" s="261"/>
      <c r="J209" s="1164"/>
      <c r="K209" s="1057"/>
      <c r="L209" s="960"/>
      <c r="M209" s="951"/>
      <c r="N209" s="952"/>
      <c r="O209" s="737"/>
      <c r="P209" s="737"/>
      <c r="Q209" s="737"/>
      <c r="R209" s="960"/>
      <c r="S209" s="951"/>
      <c r="T209" s="952"/>
      <c r="U209" s="960"/>
      <c r="V209" s="951"/>
      <c r="W209" s="952"/>
      <c r="X209" s="960"/>
      <c r="Y209" s="951"/>
      <c r="Z209" s="952"/>
      <c r="AA209" s="960"/>
      <c r="AB209" s="951"/>
      <c r="AC209" s="951"/>
      <c r="AD209" s="963"/>
      <c r="AE209" s="1180"/>
      <c r="AF209" s="1181"/>
      <c r="AG209" s="960"/>
      <c r="AH209" s="951"/>
      <c r="AI209" s="952"/>
      <c r="AJ209" s="976"/>
      <c r="AK209" s="982"/>
      <c r="AL209" s="1006"/>
      <c r="AM209" s="440"/>
      <c r="AN209" s="89"/>
      <c r="AO209" s="89"/>
    </row>
    <row r="210" spans="1:41" s="69" customFormat="1" ht="15.75" customHeight="1">
      <c r="A210" s="1015"/>
      <c r="B210" s="466"/>
      <c r="C210" s="388"/>
      <c r="D210" s="461" t="s">
        <v>289</v>
      </c>
      <c r="E210" s="472" t="s">
        <v>308</v>
      </c>
      <c r="F210" s="261"/>
      <c r="G210" s="431"/>
      <c r="H210" s="320"/>
      <c r="I210" s="261"/>
      <c r="J210" s="1164"/>
      <c r="K210" s="1057"/>
      <c r="L210" s="960"/>
      <c r="M210" s="951"/>
      <c r="N210" s="952"/>
      <c r="O210" s="737"/>
      <c r="P210" s="737"/>
      <c r="Q210" s="737"/>
      <c r="R210" s="960"/>
      <c r="S210" s="951"/>
      <c r="T210" s="952"/>
      <c r="U210" s="960"/>
      <c r="V210" s="951"/>
      <c r="W210" s="952"/>
      <c r="X210" s="960"/>
      <c r="Y210" s="951"/>
      <c r="Z210" s="952"/>
      <c r="AA210" s="960"/>
      <c r="AB210" s="951"/>
      <c r="AC210" s="951"/>
      <c r="AD210" s="963"/>
      <c r="AE210" s="1180"/>
      <c r="AF210" s="1181"/>
      <c r="AG210" s="960"/>
      <c r="AH210" s="951"/>
      <c r="AI210" s="952"/>
      <c r="AJ210" s="976"/>
      <c r="AK210" s="982"/>
      <c r="AL210" s="1006"/>
      <c r="AM210" s="440"/>
      <c r="AN210" s="89"/>
      <c r="AO210" s="89"/>
    </row>
    <row r="211" spans="1:41" s="69" customFormat="1" ht="15.75" customHeight="1">
      <c r="A211" s="1015"/>
      <c r="B211" s="466"/>
      <c r="C211" s="388"/>
      <c r="D211" s="461" t="s">
        <v>290</v>
      </c>
      <c r="E211" s="472" t="s">
        <v>308</v>
      </c>
      <c r="F211" s="261"/>
      <c r="G211" s="431"/>
      <c r="H211" s="320"/>
      <c r="I211" s="261"/>
      <c r="J211" s="1164"/>
      <c r="K211" s="1057"/>
      <c r="L211" s="960"/>
      <c r="M211" s="951"/>
      <c r="N211" s="952"/>
      <c r="O211" s="737"/>
      <c r="P211" s="737"/>
      <c r="Q211" s="737"/>
      <c r="R211" s="960"/>
      <c r="S211" s="951"/>
      <c r="T211" s="952"/>
      <c r="U211" s="960"/>
      <c r="V211" s="951"/>
      <c r="W211" s="952"/>
      <c r="X211" s="960"/>
      <c r="Y211" s="951"/>
      <c r="Z211" s="952"/>
      <c r="AA211" s="960"/>
      <c r="AB211" s="951"/>
      <c r="AC211" s="951"/>
      <c r="AD211" s="963"/>
      <c r="AE211" s="1180"/>
      <c r="AF211" s="1181"/>
      <c r="AG211" s="960"/>
      <c r="AH211" s="951"/>
      <c r="AI211" s="952"/>
      <c r="AJ211" s="976"/>
      <c r="AK211" s="982"/>
      <c r="AL211" s="1006"/>
      <c r="AM211" s="440"/>
      <c r="AN211" s="89"/>
      <c r="AO211" s="89"/>
    </row>
    <row r="212" spans="1:41" s="69" customFormat="1" ht="15.75" customHeight="1">
      <c r="A212" s="1015"/>
      <c r="B212" s="466"/>
      <c r="C212" s="388"/>
      <c r="D212" s="461" t="s">
        <v>291</v>
      </c>
      <c r="E212" s="472" t="s">
        <v>308</v>
      </c>
      <c r="F212" s="261"/>
      <c r="G212" s="431"/>
      <c r="H212" s="320"/>
      <c r="I212" s="261"/>
      <c r="J212" s="1164"/>
      <c r="K212" s="1057"/>
      <c r="L212" s="960"/>
      <c r="M212" s="951"/>
      <c r="N212" s="952"/>
      <c r="O212" s="737"/>
      <c r="P212" s="737"/>
      <c r="Q212" s="737"/>
      <c r="R212" s="960"/>
      <c r="S212" s="951"/>
      <c r="T212" s="952"/>
      <c r="U212" s="960"/>
      <c r="V212" s="951"/>
      <c r="W212" s="952"/>
      <c r="X212" s="960"/>
      <c r="Y212" s="951"/>
      <c r="Z212" s="952"/>
      <c r="AA212" s="960"/>
      <c r="AB212" s="951"/>
      <c r="AC212" s="951"/>
      <c r="AD212" s="963"/>
      <c r="AE212" s="1180"/>
      <c r="AF212" s="1181"/>
      <c r="AG212" s="960"/>
      <c r="AH212" s="951"/>
      <c r="AI212" s="952"/>
      <c r="AJ212" s="976"/>
      <c r="AK212" s="982"/>
      <c r="AL212" s="1006"/>
      <c r="AM212" s="440"/>
      <c r="AN212" s="89"/>
      <c r="AO212" s="89"/>
    </row>
    <row r="213" spans="1:41" s="69" customFormat="1" ht="15.75" customHeight="1">
      <c r="A213" s="1015"/>
      <c r="B213" s="466"/>
      <c r="C213" s="388"/>
      <c r="D213" s="461" t="s">
        <v>292</v>
      </c>
      <c r="E213" s="320" t="s">
        <v>64</v>
      </c>
      <c r="F213" s="261"/>
      <c r="G213" s="431"/>
      <c r="H213" s="320" t="s">
        <v>64</v>
      </c>
      <c r="I213" s="261"/>
      <c r="J213" s="1164"/>
      <c r="K213" s="1057"/>
      <c r="L213" s="960"/>
      <c r="M213" s="951"/>
      <c r="N213" s="952"/>
      <c r="O213" s="737"/>
      <c r="P213" s="737"/>
      <c r="Q213" s="737"/>
      <c r="R213" s="960"/>
      <c r="S213" s="951"/>
      <c r="T213" s="952"/>
      <c r="U213" s="960"/>
      <c r="V213" s="951"/>
      <c r="W213" s="952"/>
      <c r="X213" s="960"/>
      <c r="Y213" s="951"/>
      <c r="Z213" s="952"/>
      <c r="AA213" s="960"/>
      <c r="AB213" s="951"/>
      <c r="AC213" s="951"/>
      <c r="AD213" s="963"/>
      <c r="AE213" s="1180"/>
      <c r="AF213" s="1181"/>
      <c r="AG213" s="960"/>
      <c r="AH213" s="951"/>
      <c r="AI213" s="952"/>
      <c r="AJ213" s="976"/>
      <c r="AK213" s="982"/>
      <c r="AL213" s="1006"/>
      <c r="AM213" s="440"/>
      <c r="AN213" s="89"/>
      <c r="AO213" s="89"/>
    </row>
    <row r="214" spans="1:41" s="69" customFormat="1" ht="15.75" customHeight="1">
      <c r="A214" s="1015"/>
      <c r="B214" s="466"/>
      <c r="C214" s="388"/>
      <c r="D214" s="345" t="s">
        <v>816</v>
      </c>
      <c r="E214" s="320" t="s">
        <v>64</v>
      </c>
      <c r="F214" s="261"/>
      <c r="G214" s="426">
        <v>22182.22</v>
      </c>
      <c r="H214" s="320" t="s">
        <v>64</v>
      </c>
      <c r="I214" s="261"/>
      <c r="J214" s="1164"/>
      <c r="K214" s="1057"/>
      <c r="L214" s="961"/>
      <c r="M214" s="954"/>
      <c r="N214" s="955"/>
      <c r="O214" s="731"/>
      <c r="P214" s="731"/>
      <c r="Q214" s="731"/>
      <c r="R214" s="961"/>
      <c r="S214" s="954"/>
      <c r="T214" s="955"/>
      <c r="U214" s="961"/>
      <c r="V214" s="954"/>
      <c r="W214" s="955"/>
      <c r="X214" s="961"/>
      <c r="Y214" s="954"/>
      <c r="Z214" s="955"/>
      <c r="AA214" s="961"/>
      <c r="AB214" s="954"/>
      <c r="AC214" s="954"/>
      <c r="AD214" s="964"/>
      <c r="AE214" s="1180"/>
      <c r="AF214" s="1181"/>
      <c r="AG214" s="961"/>
      <c r="AH214" s="954"/>
      <c r="AI214" s="955"/>
      <c r="AJ214" s="976"/>
      <c r="AK214" s="982"/>
      <c r="AL214" s="1006"/>
      <c r="AM214" s="440"/>
      <c r="AN214" s="89"/>
      <c r="AO214" s="89"/>
    </row>
    <row r="215" spans="1:41" s="69" customFormat="1" ht="15.75" customHeight="1">
      <c r="A215" s="1015"/>
      <c r="B215" s="466"/>
      <c r="C215" s="388"/>
      <c r="D215" s="345" t="s">
        <v>820</v>
      </c>
      <c r="E215" s="320" t="s">
        <v>64</v>
      </c>
      <c r="F215" s="261"/>
      <c r="G215" s="426">
        <v>1101.24</v>
      </c>
      <c r="H215" s="320" t="s">
        <v>64</v>
      </c>
      <c r="I215" s="261"/>
      <c r="J215" s="502" t="s">
        <v>327</v>
      </c>
      <c r="K215" s="1057"/>
      <c r="L215" s="494">
        <v>128</v>
      </c>
      <c r="M215" s="225" t="s">
        <v>64</v>
      </c>
      <c r="N215" s="346"/>
      <c r="O215" s="346"/>
      <c r="P215" s="346"/>
      <c r="Q215" s="346"/>
      <c r="R215" s="346"/>
      <c r="S215" s="494">
        <v>128</v>
      </c>
      <c r="T215" s="494">
        <v>472</v>
      </c>
      <c r="U215" s="455"/>
      <c r="V215" s="74"/>
      <c r="W215" s="74"/>
      <c r="X215" s="456"/>
      <c r="Y215" s="119">
        <v>3</v>
      </c>
      <c r="Z215" s="196">
        <v>11.056130310683923</v>
      </c>
      <c r="AA215" s="633">
        <f t="shared" si="7"/>
        <v>14.056130310683923</v>
      </c>
      <c r="AB215" s="483">
        <v>89.16540897036964</v>
      </c>
      <c r="AC215" s="483">
        <v>45.364464000000005</v>
      </c>
      <c r="AD215" s="484">
        <v>167.1851418194432</v>
      </c>
      <c r="AE215" s="1180"/>
      <c r="AF215" s="1181"/>
      <c r="AG215" s="487">
        <v>128.00430080000001</v>
      </c>
      <c r="AH215" s="488">
        <v>943.48815331518813</v>
      </c>
      <c r="AI215" s="185">
        <f t="shared" si="6"/>
        <v>943.48815331518813</v>
      </c>
      <c r="AJ215" s="976"/>
      <c r="AK215" s="982"/>
      <c r="AL215" s="1006"/>
      <c r="AM215" s="440"/>
      <c r="AN215" s="89"/>
      <c r="AO215" s="89"/>
    </row>
    <row r="216" spans="1:41" s="69" customFormat="1" ht="15.75" customHeight="1">
      <c r="A216" s="1015"/>
      <c r="B216" s="466"/>
      <c r="C216" s="388"/>
      <c r="D216" s="345" t="s">
        <v>821</v>
      </c>
      <c r="E216" s="320" t="s">
        <v>64</v>
      </c>
      <c r="F216" s="261"/>
      <c r="G216" s="426">
        <v>1101.24</v>
      </c>
      <c r="H216" s="320" t="s">
        <v>64</v>
      </c>
      <c r="I216" s="261"/>
      <c r="J216" s="1165" t="s">
        <v>325</v>
      </c>
      <c r="K216" s="1057"/>
      <c r="L216" s="965" t="s">
        <v>325</v>
      </c>
      <c r="M216" s="939"/>
      <c r="N216" s="956"/>
      <c r="O216" s="729"/>
      <c r="P216" s="729"/>
      <c r="Q216" s="729"/>
      <c r="R216" s="965" t="s">
        <v>325</v>
      </c>
      <c r="S216" s="939"/>
      <c r="T216" s="956"/>
      <c r="U216" s="965" t="s">
        <v>325</v>
      </c>
      <c r="V216" s="939"/>
      <c r="W216" s="956"/>
      <c r="X216" s="965" t="s">
        <v>325</v>
      </c>
      <c r="Y216" s="939"/>
      <c r="Z216" s="956"/>
      <c r="AA216" s="965" t="s">
        <v>325</v>
      </c>
      <c r="AB216" s="939"/>
      <c r="AC216" s="939"/>
      <c r="AD216" s="940"/>
      <c r="AE216" s="1180"/>
      <c r="AF216" s="1181"/>
      <c r="AG216" s="965" t="s">
        <v>325</v>
      </c>
      <c r="AH216" s="939"/>
      <c r="AI216" s="956"/>
      <c r="AJ216" s="976"/>
      <c r="AK216" s="982"/>
      <c r="AL216" s="1006"/>
      <c r="AM216" s="440"/>
      <c r="AN216" s="89"/>
      <c r="AO216" s="89"/>
    </row>
    <row r="217" spans="1:41" s="69" customFormat="1" ht="15.75" customHeight="1">
      <c r="A217" s="1015"/>
      <c r="B217" s="466"/>
      <c r="C217" s="388"/>
      <c r="D217" s="345" t="s">
        <v>822</v>
      </c>
      <c r="E217" s="320" t="s">
        <v>64</v>
      </c>
      <c r="F217" s="261"/>
      <c r="G217" s="427">
        <v>4666.62</v>
      </c>
      <c r="H217" s="320" t="s">
        <v>64</v>
      </c>
      <c r="I217" s="261"/>
      <c r="J217" s="1166"/>
      <c r="K217" s="1057"/>
      <c r="L217" s="965" t="s">
        <v>326</v>
      </c>
      <c r="M217" s="939"/>
      <c r="N217" s="939"/>
      <c r="O217" s="939"/>
      <c r="P217" s="939"/>
      <c r="Q217" s="939"/>
      <c r="R217" s="939"/>
      <c r="S217" s="939"/>
      <c r="T217" s="956"/>
      <c r="U217" s="965" t="s">
        <v>326</v>
      </c>
      <c r="V217" s="939"/>
      <c r="W217" s="939"/>
      <c r="X217" s="939"/>
      <c r="Y217" s="939"/>
      <c r="Z217" s="956"/>
      <c r="AA217" s="1169" t="s">
        <v>326</v>
      </c>
      <c r="AB217" s="1170"/>
      <c r="AC217" s="1170"/>
      <c r="AD217" s="1171"/>
      <c r="AE217" s="1180"/>
      <c r="AF217" s="1181"/>
      <c r="AG217" s="1130" t="s">
        <v>326</v>
      </c>
      <c r="AH217" s="1131"/>
      <c r="AI217" s="1132"/>
      <c r="AJ217" s="976"/>
      <c r="AK217" s="982"/>
      <c r="AL217" s="1006"/>
      <c r="AM217" s="440"/>
      <c r="AN217" s="89"/>
      <c r="AO217" s="89"/>
    </row>
    <row r="218" spans="1:41" s="69" customFormat="1" ht="15.75" customHeight="1">
      <c r="A218" s="1015"/>
      <c r="B218" s="466"/>
      <c r="C218" s="388"/>
      <c r="D218" s="345" t="s">
        <v>823</v>
      </c>
      <c r="E218" s="320" t="s">
        <v>64</v>
      </c>
      <c r="F218" s="261"/>
      <c r="G218" s="427">
        <v>666.66</v>
      </c>
      <c r="H218" s="320" t="s">
        <v>64</v>
      </c>
      <c r="I218" s="261"/>
      <c r="J218" s="1166"/>
      <c r="K218" s="1057"/>
      <c r="L218" s="966" t="s">
        <v>325</v>
      </c>
      <c r="M218" s="948"/>
      <c r="N218" s="949"/>
      <c r="O218" s="739"/>
      <c r="P218" s="739"/>
      <c r="Q218" s="739"/>
      <c r="R218" s="966" t="s">
        <v>325</v>
      </c>
      <c r="S218" s="948"/>
      <c r="T218" s="949"/>
      <c r="U218" s="966" t="s">
        <v>325</v>
      </c>
      <c r="V218" s="948"/>
      <c r="W218" s="949"/>
      <c r="X218" s="966" t="s">
        <v>325</v>
      </c>
      <c r="Y218" s="948"/>
      <c r="Z218" s="949"/>
      <c r="AA218" s="966" t="s">
        <v>325</v>
      </c>
      <c r="AB218" s="948"/>
      <c r="AC218" s="948"/>
      <c r="AD218" s="967"/>
      <c r="AE218" s="1180"/>
      <c r="AF218" s="1181"/>
      <c r="AG218" s="966" t="s">
        <v>325</v>
      </c>
      <c r="AH218" s="948"/>
      <c r="AI218" s="949"/>
      <c r="AJ218" s="976"/>
      <c r="AK218" s="982"/>
      <c r="AL218" s="1006"/>
      <c r="AM218" s="440"/>
      <c r="AN218" s="89"/>
      <c r="AO218" s="89"/>
    </row>
    <row r="219" spans="1:41" s="69" customFormat="1" ht="15.75" customHeight="1">
      <c r="A219" s="1015"/>
      <c r="B219" s="466"/>
      <c r="C219" s="388"/>
      <c r="D219" s="345" t="s">
        <v>825</v>
      </c>
      <c r="E219" s="320" t="s">
        <v>64</v>
      </c>
      <c r="F219" s="261"/>
      <c r="G219" s="428">
        <v>66.599999999999994</v>
      </c>
      <c r="H219" s="320" t="s">
        <v>64</v>
      </c>
      <c r="I219" s="261"/>
      <c r="J219" s="1167"/>
      <c r="K219" s="1057"/>
      <c r="L219" s="961"/>
      <c r="M219" s="954"/>
      <c r="N219" s="955"/>
      <c r="O219" s="731"/>
      <c r="P219" s="731"/>
      <c r="Q219" s="731"/>
      <c r="R219" s="961"/>
      <c r="S219" s="954"/>
      <c r="T219" s="955"/>
      <c r="U219" s="961"/>
      <c r="V219" s="954"/>
      <c r="W219" s="955"/>
      <c r="X219" s="961"/>
      <c r="Y219" s="954"/>
      <c r="Z219" s="955"/>
      <c r="AA219" s="961"/>
      <c r="AB219" s="954"/>
      <c r="AC219" s="954"/>
      <c r="AD219" s="964"/>
      <c r="AE219" s="1180"/>
      <c r="AF219" s="1181"/>
      <c r="AG219" s="961"/>
      <c r="AH219" s="954"/>
      <c r="AI219" s="955"/>
      <c r="AJ219" s="976"/>
      <c r="AK219" s="982"/>
      <c r="AL219" s="1006"/>
      <c r="AM219" s="440"/>
      <c r="AN219" s="89"/>
      <c r="AO219" s="89"/>
    </row>
    <row r="220" spans="1:41" s="69" customFormat="1" ht="15.75" customHeight="1">
      <c r="A220" s="1015"/>
      <c r="B220" s="466"/>
      <c r="C220" s="388"/>
      <c r="D220" s="345" t="s">
        <v>826</v>
      </c>
      <c r="E220" s="320" t="s">
        <v>64</v>
      </c>
      <c r="F220" s="261"/>
      <c r="G220" s="428">
        <v>66.599999999999994</v>
      </c>
      <c r="H220" s="320" t="s">
        <v>64</v>
      </c>
      <c r="I220" s="261"/>
      <c r="J220" s="502" t="s">
        <v>327</v>
      </c>
      <c r="K220" s="1057"/>
      <c r="L220" s="119">
        <v>117.74067200000002</v>
      </c>
      <c r="M220" s="225" t="s">
        <v>64</v>
      </c>
      <c r="N220" s="346"/>
      <c r="O220" s="346"/>
      <c r="P220" s="346"/>
      <c r="Q220" s="346"/>
      <c r="R220" s="346"/>
      <c r="S220" s="119">
        <v>117.74067200000002</v>
      </c>
      <c r="T220" s="196">
        <v>433.91873749983085</v>
      </c>
      <c r="U220" s="455"/>
      <c r="V220" s="74"/>
      <c r="W220" s="74"/>
      <c r="X220" s="456"/>
      <c r="Y220" s="119">
        <v>3</v>
      </c>
      <c r="Z220" s="196">
        <v>11.056130310683923</v>
      </c>
      <c r="AA220" s="633">
        <f t="shared" si="7"/>
        <v>14.056130310683923</v>
      </c>
      <c r="AB220" s="483">
        <v>81.8443755849962</v>
      </c>
      <c r="AC220" s="483">
        <v>41.639760000000003</v>
      </c>
      <c r="AD220" s="484">
        <v>153.4582042218679</v>
      </c>
      <c r="AE220" s="1180"/>
      <c r="AF220" s="1181"/>
      <c r="AG220" s="487">
        <v>117.74067200000002</v>
      </c>
      <c r="AH220" s="488">
        <v>867.83747499966171</v>
      </c>
      <c r="AI220" s="185">
        <f t="shared" ref="AI220:AI250" si="8">AH220</f>
        <v>867.83747499966171</v>
      </c>
      <c r="AJ220" s="976"/>
      <c r="AK220" s="982"/>
      <c r="AL220" s="1006"/>
      <c r="AM220" s="440"/>
      <c r="AN220" s="89"/>
      <c r="AO220" s="89"/>
    </row>
    <row r="221" spans="1:41" s="69" customFormat="1" ht="15.75" customHeight="1">
      <c r="A221" s="1015"/>
      <c r="B221" s="466"/>
      <c r="C221" s="388"/>
      <c r="D221" s="345" t="s">
        <v>827</v>
      </c>
      <c r="E221" s="320" t="s">
        <v>64</v>
      </c>
      <c r="F221" s="261"/>
      <c r="G221" s="475">
        <v>5000</v>
      </c>
      <c r="H221" s="320" t="s">
        <v>64</v>
      </c>
      <c r="I221" s="261"/>
      <c r="J221" s="1165" t="s">
        <v>325</v>
      </c>
      <c r="K221" s="1057"/>
      <c r="L221" s="966" t="s">
        <v>326</v>
      </c>
      <c r="M221" s="948"/>
      <c r="N221" s="949"/>
      <c r="O221" s="739"/>
      <c r="P221" s="739"/>
      <c r="Q221" s="739"/>
      <c r="R221" s="966" t="s">
        <v>326</v>
      </c>
      <c r="S221" s="948"/>
      <c r="T221" s="949"/>
      <c r="U221" s="966" t="s">
        <v>326</v>
      </c>
      <c r="V221" s="948"/>
      <c r="W221" s="949"/>
      <c r="X221" s="966" t="s">
        <v>326</v>
      </c>
      <c r="Y221" s="948"/>
      <c r="Z221" s="949"/>
      <c r="AA221" s="966" t="s">
        <v>326</v>
      </c>
      <c r="AB221" s="948"/>
      <c r="AC221" s="948"/>
      <c r="AD221" s="967"/>
      <c r="AE221" s="1180"/>
      <c r="AF221" s="1181"/>
      <c r="AG221" s="966" t="s">
        <v>326</v>
      </c>
      <c r="AH221" s="948"/>
      <c r="AI221" s="949"/>
      <c r="AJ221" s="976"/>
      <c r="AK221" s="982"/>
      <c r="AL221" s="1006"/>
      <c r="AM221" s="440"/>
      <c r="AN221" s="89"/>
      <c r="AO221" s="89"/>
    </row>
    <row r="222" spans="1:41" s="69" customFormat="1" ht="15.75" customHeight="1">
      <c r="A222" s="1015"/>
      <c r="B222" s="466"/>
      <c r="C222" s="388"/>
      <c r="D222" s="345" t="s">
        <v>828</v>
      </c>
      <c r="E222" s="320" t="s">
        <v>64</v>
      </c>
      <c r="F222" s="261"/>
      <c r="G222" s="475">
        <v>40903</v>
      </c>
      <c r="H222" s="320" t="s">
        <v>64</v>
      </c>
      <c r="I222" s="261"/>
      <c r="J222" s="1166"/>
      <c r="K222" s="1057"/>
      <c r="L222" s="961"/>
      <c r="M222" s="954"/>
      <c r="N222" s="955"/>
      <c r="O222" s="731"/>
      <c r="P222" s="731"/>
      <c r="Q222" s="731"/>
      <c r="R222" s="961"/>
      <c r="S222" s="954"/>
      <c r="T222" s="955"/>
      <c r="U222" s="961"/>
      <c r="V222" s="954"/>
      <c r="W222" s="955"/>
      <c r="X222" s="961"/>
      <c r="Y222" s="954"/>
      <c r="Z222" s="955"/>
      <c r="AA222" s="961"/>
      <c r="AB222" s="954"/>
      <c r="AC222" s="954"/>
      <c r="AD222" s="964"/>
      <c r="AE222" s="1180"/>
      <c r="AF222" s="1181"/>
      <c r="AG222" s="961"/>
      <c r="AH222" s="954"/>
      <c r="AI222" s="955"/>
      <c r="AJ222" s="976"/>
      <c r="AK222" s="982"/>
      <c r="AL222" s="1006"/>
      <c r="AM222" s="440"/>
      <c r="AN222" s="89"/>
      <c r="AO222" s="89"/>
    </row>
    <row r="223" spans="1:41" s="69" customFormat="1" ht="15.75" customHeight="1">
      <c r="A223" s="1015"/>
      <c r="B223" s="466"/>
      <c r="C223" s="388"/>
      <c r="D223" s="345" t="s">
        <v>829</v>
      </c>
      <c r="E223" s="320" t="s">
        <v>64</v>
      </c>
      <c r="F223" s="261"/>
      <c r="G223" s="475">
        <f>G222*10%</f>
        <v>4090.3</v>
      </c>
      <c r="H223" s="320" t="s">
        <v>64</v>
      </c>
      <c r="I223" s="261"/>
      <c r="J223" s="1167"/>
      <c r="K223" s="1057"/>
      <c r="L223" s="965" t="s">
        <v>325</v>
      </c>
      <c r="M223" s="939"/>
      <c r="N223" s="956"/>
      <c r="O223" s="729"/>
      <c r="P223" s="729"/>
      <c r="Q223" s="729"/>
      <c r="R223" s="965" t="s">
        <v>325</v>
      </c>
      <c r="S223" s="939"/>
      <c r="T223" s="956"/>
      <c r="U223" s="965" t="s">
        <v>325</v>
      </c>
      <c r="V223" s="939"/>
      <c r="W223" s="956"/>
      <c r="X223" s="965" t="s">
        <v>325</v>
      </c>
      <c r="Y223" s="939"/>
      <c r="Z223" s="956"/>
      <c r="AA223" s="965" t="s">
        <v>325</v>
      </c>
      <c r="AB223" s="939"/>
      <c r="AC223" s="939"/>
      <c r="AD223" s="940"/>
      <c r="AE223" s="1180"/>
      <c r="AF223" s="1181"/>
      <c r="AG223" s="965" t="s">
        <v>325</v>
      </c>
      <c r="AH223" s="939"/>
      <c r="AI223" s="956"/>
      <c r="AJ223" s="976"/>
      <c r="AK223" s="982"/>
      <c r="AL223" s="1006"/>
      <c r="AM223" s="440"/>
      <c r="AN223" s="89"/>
      <c r="AO223" s="89"/>
    </row>
    <row r="224" spans="1:41" s="69" customFormat="1" ht="15.75" customHeight="1">
      <c r="A224" s="1015"/>
      <c r="B224" s="466"/>
      <c r="C224" s="388"/>
      <c r="D224" s="345" t="s">
        <v>830</v>
      </c>
      <c r="E224" s="320" t="s">
        <v>64</v>
      </c>
      <c r="F224" s="261"/>
      <c r="G224" s="475">
        <v>4090.3</v>
      </c>
      <c r="H224" s="320" t="s">
        <v>64</v>
      </c>
      <c r="I224" s="261"/>
      <c r="J224" s="502" t="s">
        <v>327</v>
      </c>
      <c r="K224" s="1057"/>
      <c r="L224" s="119">
        <v>157.655776</v>
      </c>
      <c r="M224" s="225" t="s">
        <v>64</v>
      </c>
      <c r="N224" s="346"/>
      <c r="O224" s="346"/>
      <c r="P224" s="346"/>
      <c r="Q224" s="346"/>
      <c r="R224" s="346"/>
      <c r="S224" s="119">
        <v>157.655776</v>
      </c>
      <c r="T224" s="196">
        <v>581.02093456266505</v>
      </c>
      <c r="U224" s="455"/>
      <c r="V224" s="74"/>
      <c r="W224" s="74"/>
      <c r="X224" s="456"/>
      <c r="Y224" s="119">
        <v>3</v>
      </c>
      <c r="Z224" s="196">
        <v>11.056130310683923</v>
      </c>
      <c r="AA224" s="633">
        <f t="shared" si="7"/>
        <v>14.056130310683923</v>
      </c>
      <c r="AB224" s="483">
        <v>110.3157685648994</v>
      </c>
      <c r="AC224" s="483">
        <v>56.125079999999997</v>
      </c>
      <c r="AD224" s="484">
        <v>206.84206605918664</v>
      </c>
      <c r="AE224" s="1180"/>
      <c r="AF224" s="1181"/>
      <c r="AG224" s="487">
        <v>157.655776</v>
      </c>
      <c r="AH224" s="488">
        <v>1162.0418691253301</v>
      </c>
      <c r="AI224" s="185">
        <f t="shared" si="8"/>
        <v>1162.0418691253301</v>
      </c>
      <c r="AJ224" s="976"/>
      <c r="AK224" s="982"/>
      <c r="AL224" s="1006"/>
      <c r="AM224" s="440"/>
      <c r="AN224" s="89"/>
      <c r="AO224" s="89"/>
    </row>
    <row r="225" spans="1:41" s="69" customFormat="1" ht="15.75" customHeight="1">
      <c r="A225" s="1015"/>
      <c r="B225" s="466"/>
      <c r="C225" s="388"/>
      <c r="D225" s="345" t="s">
        <v>831</v>
      </c>
      <c r="E225" s="320" t="s">
        <v>64</v>
      </c>
      <c r="F225" s="261"/>
      <c r="G225" s="475">
        <v>15000</v>
      </c>
      <c r="H225" s="320" t="s">
        <v>64</v>
      </c>
      <c r="I225" s="261"/>
      <c r="J225" s="1165" t="s">
        <v>325</v>
      </c>
      <c r="K225" s="1057"/>
      <c r="L225" s="924" t="s">
        <v>325</v>
      </c>
      <c r="M225" s="925"/>
      <c r="N225" s="926"/>
      <c r="O225" s="732"/>
      <c r="P225" s="732"/>
      <c r="Q225" s="732"/>
      <c r="R225" s="924" t="s">
        <v>325</v>
      </c>
      <c r="S225" s="925"/>
      <c r="T225" s="926"/>
      <c r="U225" s="924" t="s">
        <v>325</v>
      </c>
      <c r="V225" s="925"/>
      <c r="W225" s="926"/>
      <c r="X225" s="924" t="s">
        <v>325</v>
      </c>
      <c r="Y225" s="925"/>
      <c r="Z225" s="926"/>
      <c r="AA225" s="924" t="s">
        <v>325</v>
      </c>
      <c r="AB225" s="925"/>
      <c r="AC225" s="925"/>
      <c r="AD225" s="935"/>
      <c r="AE225" s="1180"/>
      <c r="AF225" s="1181"/>
      <c r="AG225" s="924" t="s">
        <v>325</v>
      </c>
      <c r="AH225" s="925"/>
      <c r="AI225" s="926"/>
      <c r="AJ225" s="976"/>
      <c r="AK225" s="982"/>
      <c r="AL225" s="1006"/>
      <c r="AM225" s="440"/>
      <c r="AN225" s="89"/>
      <c r="AO225" s="89"/>
    </row>
    <row r="226" spans="1:41" s="69" customFormat="1" ht="15.75" customHeight="1">
      <c r="A226" s="1015"/>
      <c r="B226" s="466"/>
      <c r="C226" s="388"/>
      <c r="D226" s="345" t="s">
        <v>833</v>
      </c>
      <c r="E226" s="320" t="s">
        <v>64</v>
      </c>
      <c r="F226" s="261"/>
      <c r="G226" s="426">
        <v>1500</v>
      </c>
      <c r="H226" s="320" t="s">
        <v>64</v>
      </c>
      <c r="I226" s="261"/>
      <c r="J226" s="1167"/>
      <c r="K226" s="1057"/>
      <c r="L226" s="968"/>
      <c r="M226" s="969"/>
      <c r="N226" s="993"/>
      <c r="O226" s="733"/>
      <c r="P226" s="733"/>
      <c r="Q226" s="733"/>
      <c r="R226" s="968"/>
      <c r="S226" s="969"/>
      <c r="T226" s="993"/>
      <c r="U226" s="968"/>
      <c r="V226" s="969"/>
      <c r="W226" s="993"/>
      <c r="X226" s="968"/>
      <c r="Y226" s="969"/>
      <c r="Z226" s="993"/>
      <c r="AA226" s="968"/>
      <c r="AB226" s="969"/>
      <c r="AC226" s="969"/>
      <c r="AD226" s="970"/>
      <c r="AE226" s="1180"/>
      <c r="AF226" s="1181"/>
      <c r="AG226" s="968"/>
      <c r="AH226" s="969"/>
      <c r="AI226" s="993"/>
      <c r="AJ226" s="976"/>
      <c r="AK226" s="982"/>
      <c r="AL226" s="1006"/>
      <c r="AM226" s="440"/>
      <c r="AN226" s="89"/>
      <c r="AO226" s="89"/>
    </row>
    <row r="227" spans="1:41" s="69" customFormat="1" ht="15.75" customHeight="1">
      <c r="A227" s="1015"/>
      <c r="B227" s="466"/>
      <c r="C227" s="388"/>
      <c r="D227" s="345" t="s">
        <v>834</v>
      </c>
      <c r="E227" s="320" t="s">
        <v>64</v>
      </c>
      <c r="F227" s="261"/>
      <c r="G227" s="426">
        <v>1500</v>
      </c>
      <c r="H227" s="320" t="s">
        <v>64</v>
      </c>
      <c r="I227" s="261"/>
      <c r="J227" s="502" t="s">
        <v>327</v>
      </c>
      <c r="K227" s="1057"/>
      <c r="L227" s="119">
        <v>131.96</v>
      </c>
      <c r="M227" s="225" t="s">
        <v>64</v>
      </c>
      <c r="N227" s="346"/>
      <c r="O227" s="346"/>
      <c r="P227" s="346"/>
      <c r="Q227" s="346"/>
      <c r="R227" s="346"/>
      <c r="S227" s="119">
        <v>131.96</v>
      </c>
      <c r="T227" s="196">
        <v>486.32231859928305</v>
      </c>
      <c r="U227" s="455"/>
      <c r="V227" s="74"/>
      <c r="W227" s="74"/>
      <c r="X227" s="456"/>
      <c r="Y227" s="119">
        <v>3</v>
      </c>
      <c r="Z227" s="196">
        <v>11.056130310683923</v>
      </c>
      <c r="AA227" s="633">
        <f t="shared" si="7"/>
        <v>14.056130310683923</v>
      </c>
      <c r="AB227" s="483">
        <v>91.987004184890225</v>
      </c>
      <c r="AC227" s="483">
        <v>46.800000000000004</v>
      </c>
      <c r="AD227" s="484">
        <v>172.4756328466691</v>
      </c>
      <c r="AE227" s="1180"/>
      <c r="AF227" s="1181"/>
      <c r="AG227" s="487">
        <v>131.96</v>
      </c>
      <c r="AH227" s="488">
        <v>972.6446371985661</v>
      </c>
      <c r="AI227" s="185">
        <f t="shared" si="8"/>
        <v>972.6446371985661</v>
      </c>
      <c r="AJ227" s="976"/>
      <c r="AK227" s="982"/>
      <c r="AL227" s="1006"/>
      <c r="AM227" s="440"/>
      <c r="AN227" s="89"/>
      <c r="AO227" s="89"/>
    </row>
    <row r="228" spans="1:41" s="69" customFormat="1" ht="15.75" customHeight="1">
      <c r="A228" s="1015"/>
      <c r="B228" s="466"/>
      <c r="C228" s="388"/>
      <c r="D228" s="345" t="s">
        <v>835</v>
      </c>
      <c r="E228" s="320" t="s">
        <v>64</v>
      </c>
      <c r="F228" s="261"/>
      <c r="G228" s="476">
        <v>6.66</v>
      </c>
      <c r="H228" s="320" t="s">
        <v>64</v>
      </c>
      <c r="I228" s="261"/>
      <c r="J228" s="1165" t="s">
        <v>325</v>
      </c>
      <c r="K228" s="1057"/>
      <c r="L228" s="966" t="s">
        <v>326</v>
      </c>
      <c r="M228" s="948"/>
      <c r="N228" s="949"/>
      <c r="O228" s="739"/>
      <c r="P228" s="739"/>
      <c r="Q228" s="739"/>
      <c r="R228" s="966" t="s">
        <v>326</v>
      </c>
      <c r="S228" s="948"/>
      <c r="T228" s="949"/>
      <c r="U228" s="966" t="s">
        <v>326</v>
      </c>
      <c r="V228" s="948"/>
      <c r="W228" s="949"/>
      <c r="X228" s="966" t="s">
        <v>326</v>
      </c>
      <c r="Y228" s="948"/>
      <c r="Z228" s="949"/>
      <c r="AA228" s="966" t="s">
        <v>326</v>
      </c>
      <c r="AB228" s="948"/>
      <c r="AC228" s="948"/>
      <c r="AD228" s="967"/>
      <c r="AE228" s="1180"/>
      <c r="AF228" s="1181"/>
      <c r="AG228" s="966" t="s">
        <v>326</v>
      </c>
      <c r="AH228" s="948"/>
      <c r="AI228" s="949"/>
      <c r="AJ228" s="976"/>
      <c r="AK228" s="982"/>
      <c r="AL228" s="1006"/>
      <c r="AM228" s="440"/>
      <c r="AN228" s="89"/>
      <c r="AO228" s="89"/>
    </row>
    <row r="229" spans="1:41" s="69" customFormat="1" ht="15.75" customHeight="1">
      <c r="A229" s="1015"/>
      <c r="B229" s="466"/>
      <c r="C229" s="388"/>
      <c r="D229" s="345" t="s">
        <v>836</v>
      </c>
      <c r="E229" s="320" t="s">
        <v>64</v>
      </c>
      <c r="F229" s="261"/>
      <c r="G229" s="476">
        <v>66.599999999999994</v>
      </c>
      <c r="H229" s="320" t="s">
        <v>64</v>
      </c>
      <c r="I229" s="261"/>
      <c r="J229" s="1166"/>
      <c r="K229" s="1057"/>
      <c r="L229" s="960"/>
      <c r="M229" s="951"/>
      <c r="N229" s="952"/>
      <c r="O229" s="737"/>
      <c r="P229" s="737"/>
      <c r="Q229" s="737"/>
      <c r="R229" s="960"/>
      <c r="S229" s="951"/>
      <c r="T229" s="952"/>
      <c r="U229" s="960"/>
      <c r="V229" s="951"/>
      <c r="W229" s="952"/>
      <c r="X229" s="960"/>
      <c r="Y229" s="951"/>
      <c r="Z229" s="952"/>
      <c r="AA229" s="960"/>
      <c r="AB229" s="951"/>
      <c r="AC229" s="951"/>
      <c r="AD229" s="963"/>
      <c r="AE229" s="1180"/>
      <c r="AF229" s="1181"/>
      <c r="AG229" s="960"/>
      <c r="AH229" s="951"/>
      <c r="AI229" s="952"/>
      <c r="AJ229" s="976"/>
      <c r="AK229" s="982"/>
      <c r="AL229" s="1006"/>
      <c r="AM229" s="440"/>
      <c r="AN229" s="89"/>
      <c r="AO229" s="89"/>
    </row>
    <row r="230" spans="1:41" s="69" customFormat="1" ht="15.75" customHeight="1">
      <c r="A230" s="1015"/>
      <c r="B230" s="466"/>
      <c r="C230" s="388"/>
      <c r="D230" s="345" t="s">
        <v>837</v>
      </c>
      <c r="E230" s="320" t="s">
        <v>64</v>
      </c>
      <c r="F230" s="261"/>
      <c r="G230" s="476">
        <v>666.66</v>
      </c>
      <c r="H230" s="320" t="s">
        <v>64</v>
      </c>
      <c r="I230" s="261"/>
      <c r="J230" s="1166"/>
      <c r="K230" s="1057"/>
      <c r="L230" s="960"/>
      <c r="M230" s="951"/>
      <c r="N230" s="952"/>
      <c r="O230" s="737"/>
      <c r="P230" s="737"/>
      <c r="Q230" s="737"/>
      <c r="R230" s="960"/>
      <c r="S230" s="951"/>
      <c r="T230" s="952"/>
      <c r="U230" s="960"/>
      <c r="V230" s="951"/>
      <c r="W230" s="952"/>
      <c r="X230" s="960"/>
      <c r="Y230" s="951"/>
      <c r="Z230" s="952"/>
      <c r="AA230" s="960"/>
      <c r="AB230" s="951"/>
      <c r="AC230" s="951"/>
      <c r="AD230" s="963"/>
      <c r="AE230" s="1180"/>
      <c r="AF230" s="1181"/>
      <c r="AG230" s="960"/>
      <c r="AH230" s="951"/>
      <c r="AI230" s="952"/>
      <c r="AJ230" s="976"/>
      <c r="AK230" s="982"/>
      <c r="AL230" s="1006"/>
      <c r="AM230" s="440"/>
      <c r="AN230" s="89"/>
      <c r="AO230" s="89"/>
    </row>
    <row r="231" spans="1:41" s="69" customFormat="1" ht="16.5" customHeight="1" thickBot="1">
      <c r="A231" s="1015"/>
      <c r="B231" s="467"/>
      <c r="C231" s="390"/>
      <c r="D231" s="224" t="s">
        <v>838</v>
      </c>
      <c r="E231" s="226" t="s">
        <v>64</v>
      </c>
      <c r="F231" s="324"/>
      <c r="G231" s="432">
        <f>50*78.66</f>
        <v>3933</v>
      </c>
      <c r="H231" s="226" t="s">
        <v>64</v>
      </c>
      <c r="I231" s="261"/>
      <c r="J231" s="1167"/>
      <c r="K231" s="1058"/>
      <c r="L231" s="1086"/>
      <c r="M231" s="973"/>
      <c r="N231" s="1087"/>
      <c r="O231" s="738"/>
      <c r="P231" s="738"/>
      <c r="Q231" s="738"/>
      <c r="R231" s="1086"/>
      <c r="S231" s="973"/>
      <c r="T231" s="1087"/>
      <c r="U231" s="1086"/>
      <c r="V231" s="973"/>
      <c r="W231" s="1087"/>
      <c r="X231" s="1086"/>
      <c r="Y231" s="973"/>
      <c r="Z231" s="1087"/>
      <c r="AA231" s="1086"/>
      <c r="AB231" s="973"/>
      <c r="AC231" s="973"/>
      <c r="AD231" s="974"/>
      <c r="AE231" s="1180"/>
      <c r="AF231" s="1181"/>
      <c r="AG231" s="1086"/>
      <c r="AH231" s="973"/>
      <c r="AI231" s="1087"/>
      <c r="AJ231" s="976"/>
      <c r="AK231" s="983"/>
      <c r="AL231" s="1006"/>
      <c r="AM231" s="440"/>
      <c r="AN231" s="89"/>
      <c r="AO231" s="89"/>
    </row>
    <row r="232" spans="1:41" s="69" customFormat="1" ht="16.5" customHeight="1" thickBot="1">
      <c r="A232" s="1015"/>
      <c r="B232" s="463" t="s">
        <v>151</v>
      </c>
      <c r="C232" s="390" t="s">
        <v>151</v>
      </c>
      <c r="D232" s="625" t="s">
        <v>842</v>
      </c>
      <c r="E232" s="78" t="s">
        <v>309</v>
      </c>
      <c r="F232" s="480"/>
      <c r="G232" s="477">
        <v>29425</v>
      </c>
      <c r="H232" s="6">
        <v>29425</v>
      </c>
      <c r="I232" s="261"/>
      <c r="J232" s="1165" t="s">
        <v>331</v>
      </c>
      <c r="K232" s="1056" t="s">
        <v>500</v>
      </c>
      <c r="L232" s="957" t="s">
        <v>330</v>
      </c>
      <c r="M232" s="958"/>
      <c r="N232" s="959"/>
      <c r="O232" s="730"/>
      <c r="P232" s="730"/>
      <c r="Q232" s="730"/>
      <c r="R232" s="957" t="s">
        <v>330</v>
      </c>
      <c r="S232" s="958"/>
      <c r="T232" s="959"/>
      <c r="U232" s="957" t="s">
        <v>330</v>
      </c>
      <c r="V232" s="958"/>
      <c r="W232" s="959"/>
      <c r="X232" s="957" t="s">
        <v>330</v>
      </c>
      <c r="Y232" s="958"/>
      <c r="Z232" s="959"/>
      <c r="AA232" s="957" t="s">
        <v>330</v>
      </c>
      <c r="AB232" s="958"/>
      <c r="AC232" s="958"/>
      <c r="AD232" s="962"/>
      <c r="AE232" s="1180"/>
      <c r="AF232" s="1181"/>
      <c r="AG232" s="957" t="s">
        <v>330</v>
      </c>
      <c r="AH232" s="958"/>
      <c r="AI232" s="959"/>
      <c r="AJ232" s="976"/>
      <c r="AK232" s="490"/>
      <c r="AL232" s="1006"/>
      <c r="AM232" s="440"/>
      <c r="AN232" s="89"/>
      <c r="AO232" s="89"/>
    </row>
    <row r="233" spans="1:41" s="69" customFormat="1" ht="15.75" customHeight="1">
      <c r="A233" s="1015"/>
      <c r="B233" s="465" t="s">
        <v>151</v>
      </c>
      <c r="C233" s="386" t="s">
        <v>151</v>
      </c>
      <c r="D233" s="460" t="s">
        <v>293</v>
      </c>
      <c r="E233" s="473" t="s">
        <v>64</v>
      </c>
      <c r="F233" s="323"/>
      <c r="G233" s="433"/>
      <c r="H233" s="473" t="s">
        <v>64</v>
      </c>
      <c r="I233" s="261"/>
      <c r="J233" s="1166"/>
      <c r="K233" s="1057"/>
      <c r="L233" s="960"/>
      <c r="M233" s="951"/>
      <c r="N233" s="952"/>
      <c r="O233" s="737"/>
      <c r="P233" s="737"/>
      <c r="Q233" s="737"/>
      <c r="R233" s="960"/>
      <c r="S233" s="951"/>
      <c r="T233" s="952"/>
      <c r="U233" s="960"/>
      <c r="V233" s="951"/>
      <c r="W233" s="952"/>
      <c r="X233" s="960"/>
      <c r="Y233" s="951"/>
      <c r="Z233" s="952"/>
      <c r="AA233" s="960"/>
      <c r="AB233" s="951"/>
      <c r="AC233" s="951"/>
      <c r="AD233" s="963"/>
      <c r="AE233" s="1180"/>
      <c r="AF233" s="1181"/>
      <c r="AG233" s="960"/>
      <c r="AH233" s="951"/>
      <c r="AI233" s="952"/>
      <c r="AJ233" s="976"/>
      <c r="AK233" s="981">
        <f>SUM(AI233:AI254)</f>
        <v>10937.584347847354</v>
      </c>
      <c r="AL233" s="1006"/>
      <c r="AM233" s="440"/>
      <c r="AN233" s="89"/>
      <c r="AO233" s="89"/>
    </row>
    <row r="234" spans="1:41" s="69" customFormat="1" ht="15.75" customHeight="1">
      <c r="A234" s="1015"/>
      <c r="B234" s="466"/>
      <c r="C234" s="388"/>
      <c r="D234" s="223" t="s">
        <v>808</v>
      </c>
      <c r="E234" s="225" t="s">
        <v>64</v>
      </c>
      <c r="F234" s="261"/>
      <c r="G234" s="431"/>
      <c r="H234" s="225" t="s">
        <v>64</v>
      </c>
      <c r="I234" s="261"/>
      <c r="J234" s="1166"/>
      <c r="K234" s="1057"/>
      <c r="L234" s="960"/>
      <c r="M234" s="951"/>
      <c r="N234" s="952"/>
      <c r="O234" s="737"/>
      <c r="P234" s="737"/>
      <c r="Q234" s="737"/>
      <c r="R234" s="960"/>
      <c r="S234" s="951"/>
      <c r="T234" s="952"/>
      <c r="U234" s="960"/>
      <c r="V234" s="951"/>
      <c r="W234" s="952"/>
      <c r="X234" s="960"/>
      <c r="Y234" s="951"/>
      <c r="Z234" s="952"/>
      <c r="AA234" s="960"/>
      <c r="AB234" s="951"/>
      <c r="AC234" s="951"/>
      <c r="AD234" s="963"/>
      <c r="AE234" s="1180"/>
      <c r="AF234" s="1181"/>
      <c r="AG234" s="960"/>
      <c r="AH234" s="951"/>
      <c r="AI234" s="952"/>
      <c r="AJ234" s="976"/>
      <c r="AK234" s="982"/>
      <c r="AL234" s="1006"/>
      <c r="AM234" s="440"/>
      <c r="AN234" s="89"/>
      <c r="AO234" s="89"/>
    </row>
    <row r="235" spans="1:41" s="69" customFormat="1" ht="15.75" customHeight="1">
      <c r="A235" s="1015"/>
      <c r="B235" s="466"/>
      <c r="C235" s="388"/>
      <c r="D235" s="223" t="s">
        <v>809</v>
      </c>
      <c r="E235" s="470" t="s">
        <v>84</v>
      </c>
      <c r="F235" s="261"/>
      <c r="G235" s="431">
        <v>31100.43</v>
      </c>
      <c r="H235" s="6">
        <v>535.30999999999995</v>
      </c>
      <c r="I235" s="261"/>
      <c r="J235" s="1166"/>
      <c r="K235" s="1057"/>
      <c r="L235" s="961"/>
      <c r="M235" s="954"/>
      <c r="N235" s="955"/>
      <c r="O235" s="731"/>
      <c r="P235" s="731"/>
      <c r="Q235" s="731"/>
      <c r="R235" s="961"/>
      <c r="S235" s="954"/>
      <c r="T235" s="955"/>
      <c r="U235" s="961"/>
      <c r="V235" s="954"/>
      <c r="W235" s="955"/>
      <c r="X235" s="961"/>
      <c r="Y235" s="954"/>
      <c r="Z235" s="955"/>
      <c r="AA235" s="961"/>
      <c r="AB235" s="954"/>
      <c r="AC235" s="954"/>
      <c r="AD235" s="964"/>
      <c r="AE235" s="1180"/>
      <c r="AF235" s="1181"/>
      <c r="AG235" s="961"/>
      <c r="AH235" s="954"/>
      <c r="AI235" s="955"/>
      <c r="AJ235" s="976"/>
      <c r="AK235" s="982"/>
      <c r="AL235" s="1006"/>
      <c r="AM235" s="440"/>
      <c r="AN235" s="89"/>
      <c r="AO235" s="89"/>
    </row>
    <row r="236" spans="1:41" s="69" customFormat="1" ht="15.75" customHeight="1">
      <c r="A236" s="1015"/>
      <c r="B236" s="466"/>
      <c r="C236" s="388"/>
      <c r="D236" s="223" t="s">
        <v>810</v>
      </c>
      <c r="E236" s="320" t="s">
        <v>64</v>
      </c>
      <c r="F236" s="261"/>
      <c r="G236" s="431">
        <f>10*72</f>
        <v>720</v>
      </c>
      <c r="H236" s="320" t="s">
        <v>64</v>
      </c>
      <c r="I236" s="261"/>
      <c r="J236" s="7" t="s">
        <v>332</v>
      </c>
      <c r="K236" s="1057"/>
      <c r="L236" s="119">
        <v>53.54</v>
      </c>
      <c r="M236" s="225" t="s">
        <v>64</v>
      </c>
      <c r="N236" s="346"/>
      <c r="O236" s="346"/>
      <c r="P236" s="346"/>
      <c r="Q236" s="346"/>
      <c r="R236" s="346"/>
      <c r="S236" s="119">
        <v>53.542400000000001</v>
      </c>
      <c r="T236" s="196">
        <v>177.05380091563401</v>
      </c>
      <c r="U236" s="455"/>
      <c r="V236" s="74"/>
      <c r="W236" s="74"/>
      <c r="X236" s="456"/>
      <c r="Y236" s="119">
        <v>3</v>
      </c>
      <c r="Z236" s="196">
        <v>9.9203883790585028</v>
      </c>
      <c r="AA236" s="633">
        <f t="shared" si="7"/>
        <v>12.920388379058503</v>
      </c>
      <c r="AB236" s="483">
        <v>32.348402426433964</v>
      </c>
      <c r="AC236" s="483">
        <v>14.673599999999999</v>
      </c>
      <c r="AD236" s="484">
        <v>48.522603639650967</v>
      </c>
      <c r="AE236" s="1180"/>
      <c r="AF236" s="1181"/>
      <c r="AG236" s="487">
        <v>53.542400000000001</v>
      </c>
      <c r="AH236" s="488">
        <v>955.94974935412711</v>
      </c>
      <c r="AI236" s="185">
        <f t="shared" si="8"/>
        <v>955.94974935412711</v>
      </c>
      <c r="AJ236" s="976"/>
      <c r="AK236" s="982"/>
      <c r="AL236" s="1006"/>
      <c r="AM236" s="440"/>
      <c r="AN236" s="89"/>
      <c r="AO236" s="89"/>
    </row>
    <row r="237" spans="1:41" s="69" customFormat="1" ht="15.75" customHeight="1">
      <c r="A237" s="1015"/>
      <c r="B237" s="466"/>
      <c r="C237" s="388"/>
      <c r="D237" s="223" t="s">
        <v>811</v>
      </c>
      <c r="E237" s="320" t="s">
        <v>64</v>
      </c>
      <c r="F237" s="261"/>
      <c r="G237" s="431">
        <v>72</v>
      </c>
      <c r="H237" s="320" t="s">
        <v>64</v>
      </c>
      <c r="I237" s="261"/>
      <c r="J237" s="1166" t="s">
        <v>331</v>
      </c>
      <c r="K237" s="1057"/>
      <c r="L237" s="119">
        <v>47.114240000000002</v>
      </c>
      <c r="M237" s="225" t="s">
        <v>64</v>
      </c>
      <c r="N237" s="346"/>
      <c r="O237" s="346"/>
      <c r="P237" s="346"/>
      <c r="Q237" s="346"/>
      <c r="R237" s="346"/>
      <c r="S237" s="119">
        <v>47.114240000000002</v>
      </c>
      <c r="T237" s="196">
        <v>155.79718632805776</v>
      </c>
      <c r="U237" s="455"/>
      <c r="V237" s="74"/>
      <c r="W237" s="74"/>
      <c r="X237" s="456"/>
      <c r="Y237" s="119">
        <v>3</v>
      </c>
      <c r="Z237" s="196">
        <v>9.9203883790585028</v>
      </c>
      <c r="AA237" s="633">
        <f t="shared" si="7"/>
        <v>12.920388379058503</v>
      </c>
      <c r="AB237" s="483">
        <v>28.234218957870819</v>
      </c>
      <c r="AC237" s="483">
        <v>12.807359999999999</v>
      </c>
      <c r="AD237" s="484">
        <v>42.35132843680627</v>
      </c>
      <c r="AE237" s="1180"/>
      <c r="AF237" s="1181"/>
      <c r="AG237" s="487">
        <v>47.114240000000002</v>
      </c>
      <c r="AH237" s="488">
        <v>3820.1277101924466</v>
      </c>
      <c r="AI237" s="185">
        <f t="shared" si="8"/>
        <v>3820.1277101924466</v>
      </c>
      <c r="AJ237" s="976"/>
      <c r="AK237" s="982"/>
      <c r="AL237" s="1006"/>
      <c r="AM237" s="440"/>
      <c r="AN237" s="89"/>
      <c r="AO237" s="89"/>
    </row>
    <row r="238" spans="1:41" s="69" customFormat="1" ht="15.75" customHeight="1">
      <c r="A238" s="1015"/>
      <c r="B238" s="466"/>
      <c r="C238" s="388"/>
      <c r="D238" s="223" t="s">
        <v>812</v>
      </c>
      <c r="E238" s="320" t="s">
        <v>64</v>
      </c>
      <c r="F238" s="261"/>
      <c r="G238" s="431">
        <v>14991.61</v>
      </c>
      <c r="H238" s="320" t="s">
        <v>64</v>
      </c>
      <c r="I238" s="261"/>
      <c r="J238" s="1166"/>
      <c r="K238" s="1057"/>
      <c r="L238" s="965" t="s">
        <v>330</v>
      </c>
      <c r="M238" s="939"/>
      <c r="N238" s="939"/>
      <c r="O238" s="939"/>
      <c r="P238" s="939"/>
      <c r="Q238" s="939"/>
      <c r="R238" s="939"/>
      <c r="S238" s="939"/>
      <c r="T238" s="956"/>
      <c r="U238" s="504" t="s">
        <v>330</v>
      </c>
      <c r="V238" s="503"/>
      <c r="W238" s="505"/>
      <c r="X238" s="504"/>
      <c r="Y238" s="503"/>
      <c r="Z238" s="505"/>
      <c r="AA238" s="965" t="s">
        <v>330</v>
      </c>
      <c r="AB238" s="939"/>
      <c r="AC238" s="939"/>
      <c r="AD238" s="940"/>
      <c r="AE238" s="1180"/>
      <c r="AF238" s="1181"/>
      <c r="AG238" s="965" t="s">
        <v>330</v>
      </c>
      <c r="AH238" s="939"/>
      <c r="AI238" s="956"/>
      <c r="AJ238" s="976"/>
      <c r="AK238" s="982"/>
      <c r="AL238" s="1006"/>
      <c r="AM238" s="440"/>
      <c r="AN238" s="89"/>
      <c r="AO238" s="89"/>
    </row>
    <row r="239" spans="1:41" s="69" customFormat="1" ht="15.75" customHeight="1">
      <c r="A239" s="1015"/>
      <c r="B239" s="466"/>
      <c r="C239" s="388"/>
      <c r="D239" s="223" t="s">
        <v>813</v>
      </c>
      <c r="E239" s="320" t="s">
        <v>64</v>
      </c>
      <c r="F239" s="261"/>
      <c r="G239" s="431">
        <f>666.66*10</f>
        <v>6666.5999999999995</v>
      </c>
      <c r="H239" s="320" t="s">
        <v>64</v>
      </c>
      <c r="I239" s="261"/>
      <c r="J239" s="1166"/>
      <c r="K239" s="1057"/>
      <c r="L239" s="119">
        <v>112.53267199999999</v>
      </c>
      <c r="M239" s="225" t="s">
        <v>64</v>
      </c>
      <c r="N239" s="346"/>
      <c r="O239" s="346"/>
      <c r="P239" s="346"/>
      <c r="Q239" s="346"/>
      <c r="R239" s="346"/>
      <c r="S239" s="119">
        <v>112.53267199999999</v>
      </c>
      <c r="T239" s="196">
        <v>372.12260385773391</v>
      </c>
      <c r="U239" s="455"/>
      <c r="V239" s="74"/>
      <c r="W239" s="74"/>
      <c r="X239" s="456"/>
      <c r="Y239" s="119">
        <v>3</v>
      </c>
      <c r="Z239" s="196">
        <v>9.9203883790585028</v>
      </c>
      <c r="AA239" s="633">
        <f t="shared" si="7"/>
        <v>12.920388379058503</v>
      </c>
      <c r="AB239" s="483">
        <v>70.103654608775869</v>
      </c>
      <c r="AC239" s="483">
        <v>31.799807999999995</v>
      </c>
      <c r="AD239" s="484">
        <v>105.1554819131639</v>
      </c>
      <c r="AE239" s="1180"/>
      <c r="AF239" s="1181"/>
      <c r="AG239" s="487">
        <v>112.53267199999999</v>
      </c>
      <c r="AH239" s="488">
        <v>556.6401601988739</v>
      </c>
      <c r="AI239" s="185">
        <f t="shared" si="8"/>
        <v>556.6401601988739</v>
      </c>
      <c r="AJ239" s="976"/>
      <c r="AK239" s="982"/>
      <c r="AL239" s="1006"/>
      <c r="AM239" s="440"/>
      <c r="AN239" s="89"/>
      <c r="AO239" s="89"/>
    </row>
    <row r="240" spans="1:41" s="69" customFormat="1" ht="15.75" customHeight="1">
      <c r="A240" s="1015"/>
      <c r="B240" s="466"/>
      <c r="C240" s="388"/>
      <c r="D240" s="223" t="s">
        <v>814</v>
      </c>
      <c r="E240" s="320" t="s">
        <v>64</v>
      </c>
      <c r="F240" s="261"/>
      <c r="G240" s="431">
        <v>666.66</v>
      </c>
      <c r="H240" s="320" t="s">
        <v>64</v>
      </c>
      <c r="I240" s="261"/>
      <c r="J240" s="1166"/>
      <c r="K240" s="1057"/>
      <c r="L240" s="119">
        <v>53.013267200000001</v>
      </c>
      <c r="M240" s="225" t="s">
        <v>64</v>
      </c>
      <c r="N240" s="346"/>
      <c r="O240" s="346"/>
      <c r="P240" s="346"/>
      <c r="Q240" s="346"/>
      <c r="R240" s="346"/>
      <c r="S240" s="119">
        <v>53.013267200000001</v>
      </c>
      <c r="T240" s="196">
        <v>175.30406662226778</v>
      </c>
      <c r="U240" s="455"/>
      <c r="V240" s="74"/>
      <c r="W240" s="74"/>
      <c r="X240" s="456"/>
      <c r="Y240" s="119">
        <v>3</v>
      </c>
      <c r="Z240" s="196">
        <v>9.9203883790585028</v>
      </c>
      <c r="AA240" s="633">
        <f t="shared" si="7"/>
        <v>12.920388379058503</v>
      </c>
      <c r="AB240" s="483">
        <v>32.009744176105023</v>
      </c>
      <c r="AC240" s="483">
        <v>14.519980800000001</v>
      </c>
      <c r="AD240" s="484">
        <v>48.014616264157496</v>
      </c>
      <c r="AE240" s="1180"/>
      <c r="AF240" s="1181"/>
      <c r="AG240" s="487">
        <v>53.013267200000001</v>
      </c>
      <c r="AH240" s="488">
        <v>359.82162296340783</v>
      </c>
      <c r="AI240" s="185">
        <f t="shared" si="8"/>
        <v>359.82162296340783</v>
      </c>
      <c r="AJ240" s="976"/>
      <c r="AK240" s="982"/>
      <c r="AL240" s="1006"/>
      <c r="AM240" s="440"/>
      <c r="AN240" s="89"/>
      <c r="AO240" s="89"/>
    </row>
    <row r="241" spans="1:42" s="69" customFormat="1" ht="15.75" customHeight="1">
      <c r="A241" s="1015"/>
      <c r="B241" s="466"/>
      <c r="C241" s="388"/>
      <c r="D241" s="223" t="s">
        <v>815</v>
      </c>
      <c r="E241" s="320" t="s">
        <v>64</v>
      </c>
      <c r="F241" s="261"/>
      <c r="G241" s="431">
        <f>10*G242</f>
        <v>666.59999999999991</v>
      </c>
      <c r="H241" s="320" t="s">
        <v>64</v>
      </c>
      <c r="I241" s="261"/>
      <c r="J241" s="1166"/>
      <c r="K241" s="1057"/>
      <c r="L241" s="119">
        <v>53.012671999999995</v>
      </c>
      <c r="M241" s="225" t="s">
        <v>64</v>
      </c>
      <c r="N241" s="346"/>
      <c r="O241" s="346"/>
      <c r="P241" s="346"/>
      <c r="Q241" s="346"/>
      <c r="R241" s="346"/>
      <c r="S241" s="119">
        <v>53.012671999999995</v>
      </c>
      <c r="T241" s="196">
        <v>175.30209841721336</v>
      </c>
      <c r="U241" s="455"/>
      <c r="V241" s="74"/>
      <c r="W241" s="74"/>
      <c r="X241" s="456"/>
      <c r="Y241" s="119">
        <v>3</v>
      </c>
      <c r="Z241" s="196">
        <v>9.9203883790585028</v>
      </c>
      <c r="AA241" s="633">
        <f t="shared" si="7"/>
        <v>12.920388379058503</v>
      </c>
      <c r="AB241" s="483">
        <v>32.009363233191266</v>
      </c>
      <c r="AC241" s="483">
        <v>14.519807999999999</v>
      </c>
      <c r="AD241" s="484">
        <v>48.014044849786899</v>
      </c>
      <c r="AE241" s="1180"/>
      <c r="AF241" s="1181"/>
      <c r="AG241" s="487">
        <v>53.012671999999995</v>
      </c>
      <c r="AH241" s="488">
        <v>342.11294878828403</v>
      </c>
      <c r="AI241" s="185">
        <f t="shared" si="8"/>
        <v>342.11294878828403</v>
      </c>
      <c r="AJ241" s="976"/>
      <c r="AK241" s="982"/>
      <c r="AL241" s="1006"/>
      <c r="AM241" s="440"/>
      <c r="AN241" s="89"/>
      <c r="AO241" s="89"/>
    </row>
    <row r="242" spans="1:42" s="69" customFormat="1" ht="15.75" customHeight="1">
      <c r="A242" s="1015"/>
      <c r="B242" s="466"/>
      <c r="C242" s="388"/>
      <c r="D242" s="223" t="s">
        <v>816</v>
      </c>
      <c r="E242" s="320" t="s">
        <v>64</v>
      </c>
      <c r="F242" s="261"/>
      <c r="G242" s="431">
        <v>66.66</v>
      </c>
      <c r="H242" s="320" t="s">
        <v>64</v>
      </c>
      <c r="I242" s="261"/>
      <c r="J242" s="1167"/>
      <c r="K242" s="1057"/>
      <c r="L242" s="119">
        <v>47.061267200000003</v>
      </c>
      <c r="M242" s="225" t="s">
        <v>64</v>
      </c>
      <c r="N242" s="346"/>
      <c r="O242" s="346"/>
      <c r="P242" s="346"/>
      <c r="Q242" s="346"/>
      <c r="R242" s="346"/>
      <c r="S242" s="119">
        <v>47.061267200000003</v>
      </c>
      <c r="T242" s="196">
        <v>155.62201607821569</v>
      </c>
      <c r="U242" s="455"/>
      <c r="V242" s="74"/>
      <c r="W242" s="74"/>
      <c r="X242" s="456"/>
      <c r="Y242" s="119">
        <v>3</v>
      </c>
      <c r="Z242" s="196">
        <v>9.9203883790585028</v>
      </c>
      <c r="AA242" s="633">
        <f t="shared" si="7"/>
        <v>12.920388379058503</v>
      </c>
      <c r="AB242" s="483">
        <v>28.200315038546538</v>
      </c>
      <c r="AC242" s="483">
        <v>12.791980800000001</v>
      </c>
      <c r="AD242" s="484">
        <v>42.300472557819823</v>
      </c>
      <c r="AE242" s="1180"/>
      <c r="AF242" s="1181"/>
      <c r="AG242" s="487">
        <v>47.061267200000003</v>
      </c>
      <c r="AH242" s="488">
        <v>322.43286644928639</v>
      </c>
      <c r="AI242" s="185">
        <f t="shared" si="8"/>
        <v>322.43286644928639</v>
      </c>
      <c r="AJ242" s="976"/>
      <c r="AK242" s="982"/>
      <c r="AL242" s="1006"/>
      <c r="AM242" s="440"/>
      <c r="AN242" s="89"/>
      <c r="AO242" s="89"/>
    </row>
    <row r="243" spans="1:42" s="69" customFormat="1" ht="15.75" customHeight="1">
      <c r="A243" s="1015"/>
      <c r="B243" s="466"/>
      <c r="C243" s="388"/>
      <c r="D243" s="223" t="s">
        <v>820</v>
      </c>
      <c r="E243" s="320" t="s">
        <v>64</v>
      </c>
      <c r="F243" s="261"/>
      <c r="G243" s="431">
        <v>666.66</v>
      </c>
      <c r="H243" s="320" t="s">
        <v>64</v>
      </c>
      <c r="I243" s="261"/>
      <c r="J243" s="7" t="s">
        <v>332</v>
      </c>
      <c r="K243" s="1057"/>
      <c r="L243" s="119">
        <v>53.01</v>
      </c>
      <c r="M243" s="225" t="s">
        <v>64</v>
      </c>
      <c r="N243" s="346"/>
      <c r="O243" s="346"/>
      <c r="P243" s="346"/>
      <c r="Q243" s="346"/>
      <c r="R243" s="346"/>
      <c r="S243" s="119">
        <v>53.013267200000001</v>
      </c>
      <c r="T243" s="196">
        <v>175.30406662226778</v>
      </c>
      <c r="U243" s="455"/>
      <c r="V243" s="74"/>
      <c r="W243" s="74"/>
      <c r="X243" s="456"/>
      <c r="Y243" s="119">
        <v>3</v>
      </c>
      <c r="Z243" s="196">
        <v>9.9203883790585028</v>
      </c>
      <c r="AA243" s="633">
        <f t="shared" si="7"/>
        <v>12.920388379058503</v>
      </c>
      <c r="AB243" s="483">
        <v>32.009744176105023</v>
      </c>
      <c r="AC243" s="483">
        <v>14.519980800000001</v>
      </c>
      <c r="AD243" s="484">
        <v>48.014616264157496</v>
      </c>
      <c r="AE243" s="1180"/>
      <c r="AF243" s="1181"/>
      <c r="AG243" s="487">
        <v>53.013267200000001</v>
      </c>
      <c r="AH243" s="488">
        <v>317.66582595279419</v>
      </c>
      <c r="AI243" s="185">
        <f t="shared" si="8"/>
        <v>317.66582595279419</v>
      </c>
      <c r="AJ243" s="976"/>
      <c r="AK243" s="982"/>
      <c r="AL243" s="1006"/>
      <c r="AM243" s="440"/>
      <c r="AN243" s="89"/>
      <c r="AO243" s="89"/>
    </row>
    <row r="244" spans="1:42" s="69" customFormat="1" ht="15.75" customHeight="1">
      <c r="A244" s="1015"/>
      <c r="B244" s="466"/>
      <c r="C244" s="388"/>
      <c r="D244" s="223" t="s">
        <v>821</v>
      </c>
      <c r="E244" s="320" t="s">
        <v>64</v>
      </c>
      <c r="F244" s="261"/>
      <c r="G244" s="431">
        <v>1630.39</v>
      </c>
      <c r="H244" s="320" t="s">
        <v>64</v>
      </c>
      <c r="I244" s="261"/>
      <c r="J244" s="1164" t="s">
        <v>331</v>
      </c>
      <c r="K244" s="1057"/>
      <c r="L244" s="966" t="s">
        <v>330</v>
      </c>
      <c r="M244" s="948"/>
      <c r="N244" s="948"/>
      <c r="O244" s="739"/>
      <c r="P244" s="739"/>
      <c r="Q244" s="739"/>
      <c r="R244" s="966" t="s">
        <v>330</v>
      </c>
      <c r="S244" s="948"/>
      <c r="T244" s="948"/>
      <c r="U244" s="966" t="s">
        <v>330</v>
      </c>
      <c r="V244" s="948"/>
      <c r="W244" s="948"/>
      <c r="X244" s="966" t="s">
        <v>330</v>
      </c>
      <c r="Y244" s="948"/>
      <c r="Z244" s="948"/>
      <c r="AA244" s="966" t="s">
        <v>330</v>
      </c>
      <c r="AB244" s="948"/>
      <c r="AC244" s="948"/>
      <c r="AD244" s="967"/>
      <c r="AE244" s="1180"/>
      <c r="AF244" s="1181"/>
      <c r="AG244" s="966" t="s">
        <v>330</v>
      </c>
      <c r="AH244" s="948"/>
      <c r="AI244" s="948"/>
      <c r="AJ244" s="976"/>
      <c r="AK244" s="982"/>
      <c r="AL244" s="1006"/>
      <c r="AM244" s="440"/>
      <c r="AN244" s="89"/>
      <c r="AO244" s="89"/>
    </row>
    <row r="245" spans="1:42" s="69" customFormat="1" ht="15.75" customHeight="1">
      <c r="A245" s="1015"/>
      <c r="B245" s="466"/>
      <c r="C245" s="388"/>
      <c r="D245" s="223" t="s">
        <v>822</v>
      </c>
      <c r="E245" s="320" t="s">
        <v>64</v>
      </c>
      <c r="F245" s="261"/>
      <c r="G245" s="431">
        <v>29347.03</v>
      </c>
      <c r="H245" s="320" t="s">
        <v>64</v>
      </c>
      <c r="I245" s="261"/>
      <c r="J245" s="1164"/>
      <c r="K245" s="1057"/>
      <c r="L245" s="961"/>
      <c r="M245" s="954"/>
      <c r="N245" s="954"/>
      <c r="O245" s="731"/>
      <c r="P245" s="731"/>
      <c r="Q245" s="731"/>
      <c r="R245" s="961"/>
      <c r="S245" s="954"/>
      <c r="T245" s="954"/>
      <c r="U245" s="961"/>
      <c r="V245" s="954"/>
      <c r="W245" s="954"/>
      <c r="X245" s="961"/>
      <c r="Y245" s="954"/>
      <c r="Z245" s="954"/>
      <c r="AA245" s="961"/>
      <c r="AB245" s="954"/>
      <c r="AC245" s="954"/>
      <c r="AD245" s="964"/>
      <c r="AE245" s="1180"/>
      <c r="AF245" s="1181"/>
      <c r="AG245" s="961"/>
      <c r="AH245" s="954"/>
      <c r="AI245" s="954"/>
      <c r="AJ245" s="976"/>
      <c r="AK245" s="982"/>
      <c r="AL245" s="1006"/>
      <c r="AM245" s="440"/>
      <c r="AN245" s="89"/>
      <c r="AO245" s="89"/>
    </row>
    <row r="246" spans="1:42" s="69" customFormat="1" ht="15.75" customHeight="1">
      <c r="A246" s="1015"/>
      <c r="B246" s="466"/>
      <c r="C246" s="388"/>
      <c r="D246" s="223" t="s">
        <v>823</v>
      </c>
      <c r="E246" s="320" t="s">
        <v>64</v>
      </c>
      <c r="F246" s="261"/>
      <c r="G246" s="431">
        <f>G245*10%</f>
        <v>2934.703</v>
      </c>
      <c r="H246" s="320" t="s">
        <v>64</v>
      </c>
      <c r="I246" s="261"/>
      <c r="J246" s="1164"/>
      <c r="K246" s="1057"/>
      <c r="L246" s="119">
        <v>75.512253759999993</v>
      </c>
      <c r="M246" s="225" t="s">
        <v>64</v>
      </c>
      <c r="N246" s="346"/>
      <c r="O246" s="346"/>
      <c r="P246" s="346"/>
      <c r="Q246" s="346"/>
      <c r="R246" s="346"/>
      <c r="S246" s="119">
        <v>75.512253759999993</v>
      </c>
      <c r="T246" s="196">
        <v>249.70362822574035</v>
      </c>
      <c r="U246" s="455"/>
      <c r="V246" s="74"/>
      <c r="W246" s="74"/>
      <c r="X246" s="456"/>
      <c r="Y246" s="119">
        <v>3</v>
      </c>
      <c r="Z246" s="196">
        <v>9.9203883790585028</v>
      </c>
      <c r="AA246" s="633">
        <f t="shared" si="7"/>
        <v>12.920388379058503</v>
      </c>
      <c r="AB246" s="483">
        <v>46.40965932516422</v>
      </c>
      <c r="AC246" s="483">
        <v>21.051944639999999</v>
      </c>
      <c r="AD246" s="484">
        <v>69.614488987746313</v>
      </c>
      <c r="AE246" s="1180"/>
      <c r="AF246" s="1181"/>
      <c r="AG246" s="487">
        <v>75.512253759999993</v>
      </c>
      <c r="AH246" s="488">
        <v>1136.5667216256256</v>
      </c>
      <c r="AI246" s="185">
        <f t="shared" si="8"/>
        <v>1136.5667216256256</v>
      </c>
      <c r="AJ246" s="976"/>
      <c r="AK246" s="982"/>
      <c r="AL246" s="1006"/>
      <c r="AM246" s="440"/>
      <c r="AN246" s="89"/>
      <c r="AO246" s="89"/>
    </row>
    <row r="247" spans="1:42" s="69" customFormat="1" ht="15.75" customHeight="1">
      <c r="A247" s="1015"/>
      <c r="B247" s="466"/>
      <c r="C247" s="388"/>
      <c r="D247" s="223" t="s">
        <v>825</v>
      </c>
      <c r="E247" s="320" t="s">
        <v>64</v>
      </c>
      <c r="F247" s="261"/>
      <c r="G247" s="431">
        <v>2934.7</v>
      </c>
      <c r="H247" s="320" t="s">
        <v>64</v>
      </c>
      <c r="I247" s="261"/>
      <c r="J247" s="7" t="s">
        <v>332</v>
      </c>
      <c r="K247" s="1057"/>
      <c r="L247" s="119">
        <v>75.512223999999989</v>
      </c>
      <c r="M247" s="225" t="s">
        <v>64</v>
      </c>
      <c r="N247" s="346"/>
      <c r="O247" s="346"/>
      <c r="P247" s="346"/>
      <c r="Q247" s="346"/>
      <c r="R247" s="346"/>
      <c r="S247" s="119">
        <v>75.512223999999989</v>
      </c>
      <c r="T247" s="196">
        <v>249.70352981548746</v>
      </c>
      <c r="U247" s="455"/>
      <c r="V247" s="74"/>
      <c r="W247" s="74"/>
      <c r="X247" s="456"/>
      <c r="Y247" s="119">
        <v>3</v>
      </c>
      <c r="Z247" s="196">
        <v>9.9203883790585028</v>
      </c>
      <c r="AA247" s="633">
        <f t="shared" si="7"/>
        <v>12.920388379058503</v>
      </c>
      <c r="AB247" s="483">
        <v>46.4096402780185</v>
      </c>
      <c r="AC247" s="483">
        <v>21.051935999999998</v>
      </c>
      <c r="AD247" s="484">
        <v>69.6144604170278</v>
      </c>
      <c r="AE247" s="1180"/>
      <c r="AF247" s="1181"/>
      <c r="AG247" s="487">
        <v>75.512223999999989</v>
      </c>
      <c r="AH247" s="488">
        <v>691.44183821438241</v>
      </c>
      <c r="AI247" s="185">
        <f t="shared" si="8"/>
        <v>691.44183821438241</v>
      </c>
      <c r="AJ247" s="976"/>
      <c r="AK247" s="982"/>
      <c r="AL247" s="1006"/>
      <c r="AM247" s="440"/>
      <c r="AN247" s="89"/>
      <c r="AO247" s="89"/>
    </row>
    <row r="248" spans="1:42" s="69" customFormat="1" ht="15.75" customHeight="1">
      <c r="A248" s="1015"/>
      <c r="B248" s="466"/>
      <c r="C248" s="388"/>
      <c r="D248" s="223" t="s">
        <v>826</v>
      </c>
      <c r="E248" s="320" t="s">
        <v>64</v>
      </c>
      <c r="F248" s="261"/>
      <c r="G248" s="431">
        <v>146735.14000000001</v>
      </c>
      <c r="H248" s="320" t="s">
        <v>64</v>
      </c>
      <c r="I248" s="261"/>
      <c r="J248" s="1164" t="s">
        <v>331</v>
      </c>
      <c r="K248" s="1057"/>
      <c r="L248" s="965" t="s">
        <v>330</v>
      </c>
      <c r="M248" s="939"/>
      <c r="N248" s="939"/>
      <c r="O248" s="939"/>
      <c r="P248" s="939"/>
      <c r="Q248" s="939"/>
      <c r="R248" s="939"/>
      <c r="S248" s="939"/>
      <c r="T248" s="956"/>
      <c r="U248" s="504" t="s">
        <v>330</v>
      </c>
      <c r="V248" s="503"/>
      <c r="W248" s="505"/>
      <c r="X248" s="504"/>
      <c r="Y248" s="503"/>
      <c r="Z248" s="505"/>
      <c r="AA248" s="965" t="s">
        <v>330</v>
      </c>
      <c r="AB248" s="939"/>
      <c r="AC248" s="939"/>
      <c r="AD248" s="940"/>
      <c r="AE248" s="1180"/>
      <c r="AF248" s="1181"/>
      <c r="AG248" s="965" t="s">
        <v>330</v>
      </c>
      <c r="AH248" s="939"/>
      <c r="AI248" s="956"/>
      <c r="AJ248" s="976"/>
      <c r="AK248" s="982"/>
      <c r="AL248" s="1006"/>
      <c r="AM248" s="440"/>
      <c r="AN248" s="89"/>
      <c r="AO248" s="89"/>
    </row>
    <row r="249" spans="1:42" s="69" customFormat="1" ht="15.75" customHeight="1">
      <c r="A249" s="1015"/>
      <c r="B249" s="466"/>
      <c r="C249" s="388"/>
      <c r="D249" s="223" t="s">
        <v>827</v>
      </c>
      <c r="E249" s="320" t="s">
        <v>64</v>
      </c>
      <c r="F249" s="261"/>
      <c r="G249" s="431">
        <f>G248*10%</f>
        <v>14673.514000000003</v>
      </c>
      <c r="H249" s="320" t="s">
        <v>64</v>
      </c>
      <c r="I249" s="261"/>
      <c r="J249" s="1164"/>
      <c r="K249" s="1057"/>
      <c r="L249" s="119">
        <v>191.96125888000006</v>
      </c>
      <c r="M249" s="225" t="s">
        <v>64</v>
      </c>
      <c r="N249" s="346"/>
      <c r="O249" s="346"/>
      <c r="P249" s="346"/>
      <c r="Q249" s="346"/>
      <c r="R249" s="346"/>
      <c r="S249" s="119">
        <v>191.96125888000006</v>
      </c>
      <c r="T249" s="196">
        <v>634.77674727419731</v>
      </c>
      <c r="U249" s="455"/>
      <c r="V249" s="74"/>
      <c r="W249" s="74"/>
      <c r="X249" s="456"/>
      <c r="Y249" s="119">
        <v>3</v>
      </c>
      <c r="Z249" s="196">
        <v>9.9203883790585028</v>
      </c>
      <c r="AA249" s="633">
        <f t="shared" si="7"/>
        <v>12.920388379058503</v>
      </c>
      <c r="AB249" s="483">
        <v>120.93994043131721</v>
      </c>
      <c r="AC249" s="483">
        <v>54.859720320000008</v>
      </c>
      <c r="AD249" s="484">
        <v>181.40991064697582</v>
      </c>
      <c r="AE249" s="1180"/>
      <c r="AF249" s="1181"/>
      <c r="AG249" s="487">
        <v>191.96125888000006</v>
      </c>
      <c r="AH249" s="488">
        <v>1476.6622146491852</v>
      </c>
      <c r="AI249" s="185">
        <f t="shared" si="8"/>
        <v>1476.6622146491852</v>
      </c>
      <c r="AJ249" s="976"/>
      <c r="AK249" s="982"/>
      <c r="AL249" s="1006"/>
      <c r="AM249" s="440"/>
      <c r="AN249" s="89"/>
      <c r="AO249" s="89"/>
    </row>
    <row r="250" spans="1:42" s="69" customFormat="1" ht="15.75" customHeight="1">
      <c r="A250" s="1015"/>
      <c r="B250" s="466"/>
      <c r="C250" s="388"/>
      <c r="D250" s="223" t="s">
        <v>828</v>
      </c>
      <c r="E250" s="320" t="s">
        <v>64</v>
      </c>
      <c r="F250" s="261"/>
      <c r="G250" s="431">
        <v>14673.51</v>
      </c>
      <c r="H250" s="320" t="s">
        <v>64</v>
      </c>
      <c r="I250" s="261"/>
      <c r="J250" s="7" t="s">
        <v>332</v>
      </c>
      <c r="K250" s="1057"/>
      <c r="L250" s="119">
        <v>191.96121920000002</v>
      </c>
      <c r="M250" s="225" t="s">
        <v>64</v>
      </c>
      <c r="N250" s="346"/>
      <c r="O250" s="346"/>
      <c r="P250" s="346"/>
      <c r="Q250" s="346"/>
      <c r="R250" s="346"/>
      <c r="S250" s="119">
        <v>191.96121920000002</v>
      </c>
      <c r="T250" s="196">
        <v>634.77661606052754</v>
      </c>
      <c r="U250" s="455"/>
      <c r="V250" s="74"/>
      <c r="W250" s="74"/>
      <c r="X250" s="456"/>
      <c r="Y250" s="119">
        <v>3</v>
      </c>
      <c r="Z250" s="196">
        <v>9.9203883790585028</v>
      </c>
      <c r="AA250" s="633">
        <f t="shared" si="7"/>
        <v>12.920388379058503</v>
      </c>
      <c r="AB250" s="483">
        <v>120.93991503512315</v>
      </c>
      <c r="AC250" s="483">
        <v>54.8597088</v>
      </c>
      <c r="AD250" s="484">
        <v>181.40987255268453</v>
      </c>
      <c r="AE250" s="1180"/>
      <c r="AF250" s="1181"/>
      <c r="AG250" s="487">
        <v>191.96121920000002</v>
      </c>
      <c r="AH250" s="488">
        <v>958.16268945894126</v>
      </c>
      <c r="AI250" s="185">
        <f t="shared" si="8"/>
        <v>958.16268945894126</v>
      </c>
      <c r="AJ250" s="976"/>
      <c r="AK250" s="982"/>
      <c r="AL250" s="1006"/>
      <c r="AM250" s="440"/>
      <c r="AN250" s="89"/>
      <c r="AO250" s="89"/>
    </row>
    <row r="251" spans="1:42" s="69" customFormat="1" ht="15.75" customHeight="1">
      <c r="A251" s="1015"/>
      <c r="B251" s="466"/>
      <c r="C251" s="388"/>
      <c r="D251" s="223" t="s">
        <v>829</v>
      </c>
      <c r="E251" s="320" t="s">
        <v>64</v>
      </c>
      <c r="F251" s="261"/>
      <c r="G251" s="476">
        <v>6.66</v>
      </c>
      <c r="H251" s="320" t="s">
        <v>64</v>
      </c>
      <c r="I251" s="261"/>
      <c r="J251" s="1166" t="s">
        <v>331</v>
      </c>
      <c r="K251" s="1057"/>
      <c r="L251" s="966" t="s">
        <v>330</v>
      </c>
      <c r="M251" s="948"/>
      <c r="N251" s="949"/>
      <c r="O251" s="739"/>
      <c r="P251" s="739"/>
      <c r="Q251" s="739"/>
      <c r="R251" s="966" t="s">
        <v>330</v>
      </c>
      <c r="S251" s="948"/>
      <c r="T251" s="949"/>
      <c r="U251" s="966" t="s">
        <v>330</v>
      </c>
      <c r="V251" s="948"/>
      <c r="W251" s="949"/>
      <c r="X251" s="966" t="s">
        <v>330</v>
      </c>
      <c r="Y251" s="948"/>
      <c r="Z251" s="949"/>
      <c r="AA251" s="966" t="s">
        <v>330</v>
      </c>
      <c r="AB251" s="948"/>
      <c r="AC251" s="948"/>
      <c r="AD251" s="967"/>
      <c r="AE251" s="1180"/>
      <c r="AF251" s="1181"/>
      <c r="AG251" s="947" t="s">
        <v>330</v>
      </c>
      <c r="AH251" s="948"/>
      <c r="AI251" s="967"/>
      <c r="AJ251" s="976"/>
      <c r="AK251" s="982"/>
      <c r="AL251" s="1006"/>
      <c r="AM251" s="440"/>
      <c r="AN251" s="89"/>
      <c r="AO251" s="89"/>
    </row>
    <row r="252" spans="1:42" s="69" customFormat="1" ht="15.75" customHeight="1">
      <c r="A252" s="1015"/>
      <c r="B252" s="466"/>
      <c r="C252" s="388"/>
      <c r="D252" s="223" t="s">
        <v>830</v>
      </c>
      <c r="E252" s="320" t="s">
        <v>64</v>
      </c>
      <c r="F252" s="261"/>
      <c r="G252" s="476">
        <v>66.599999999999994</v>
      </c>
      <c r="H252" s="320" t="s">
        <v>64</v>
      </c>
      <c r="I252" s="261"/>
      <c r="J252" s="1166"/>
      <c r="K252" s="1057"/>
      <c r="L252" s="960"/>
      <c r="M252" s="951"/>
      <c r="N252" s="952"/>
      <c r="O252" s="737"/>
      <c r="P252" s="737"/>
      <c r="Q252" s="737"/>
      <c r="R252" s="960"/>
      <c r="S252" s="951"/>
      <c r="T252" s="952"/>
      <c r="U252" s="960"/>
      <c r="V252" s="951"/>
      <c r="W252" s="952"/>
      <c r="X252" s="960"/>
      <c r="Y252" s="951"/>
      <c r="Z252" s="952"/>
      <c r="AA252" s="960"/>
      <c r="AB252" s="951"/>
      <c r="AC252" s="951"/>
      <c r="AD252" s="963"/>
      <c r="AE252" s="1180"/>
      <c r="AF252" s="1181"/>
      <c r="AG252" s="950"/>
      <c r="AH252" s="951"/>
      <c r="AI252" s="963"/>
      <c r="AJ252" s="976"/>
      <c r="AK252" s="982"/>
      <c r="AL252" s="1006"/>
      <c r="AM252" s="440"/>
      <c r="AN252" s="89"/>
      <c r="AO252" s="89"/>
    </row>
    <row r="253" spans="1:42" s="69" customFormat="1" ht="15.75" customHeight="1">
      <c r="A253" s="1015"/>
      <c r="B253" s="466"/>
      <c r="C253" s="388"/>
      <c r="D253" s="223" t="s">
        <v>831</v>
      </c>
      <c r="E253" s="320" t="s">
        <v>64</v>
      </c>
      <c r="F253" s="261"/>
      <c r="G253" s="476">
        <v>666.66</v>
      </c>
      <c r="H253" s="320" t="s">
        <v>64</v>
      </c>
      <c r="I253" s="261"/>
      <c r="J253" s="1166"/>
      <c r="K253" s="1057"/>
      <c r="L253" s="960"/>
      <c r="M253" s="951"/>
      <c r="N253" s="952"/>
      <c r="O253" s="737"/>
      <c r="P253" s="737"/>
      <c r="Q253" s="737"/>
      <c r="R253" s="960"/>
      <c r="S253" s="951"/>
      <c r="T253" s="952"/>
      <c r="U253" s="960"/>
      <c r="V253" s="951"/>
      <c r="W253" s="952"/>
      <c r="X253" s="960"/>
      <c r="Y253" s="951"/>
      <c r="Z253" s="952"/>
      <c r="AA253" s="960"/>
      <c r="AB253" s="951"/>
      <c r="AC253" s="951"/>
      <c r="AD253" s="963"/>
      <c r="AE253" s="1180"/>
      <c r="AF253" s="1181"/>
      <c r="AG253" s="950"/>
      <c r="AH253" s="951"/>
      <c r="AI253" s="963"/>
      <c r="AJ253" s="976"/>
      <c r="AK253" s="982"/>
      <c r="AL253" s="1006"/>
      <c r="AM253" s="440"/>
      <c r="AN253" s="89"/>
      <c r="AO253" s="89"/>
    </row>
    <row r="254" spans="1:42" s="69" customFormat="1" ht="16.5" customHeight="1" thickBot="1">
      <c r="A254" s="1016"/>
      <c r="B254" s="467"/>
      <c r="C254" s="390"/>
      <c r="D254" s="224" t="s">
        <v>833</v>
      </c>
      <c r="E254" s="226" t="s">
        <v>64</v>
      </c>
      <c r="F254" s="324"/>
      <c r="G254" s="432">
        <f>50*78.66</f>
        <v>3933</v>
      </c>
      <c r="H254" s="226" t="s">
        <v>64</v>
      </c>
      <c r="I254" s="261"/>
      <c r="J254" s="1168"/>
      <c r="K254" s="1059"/>
      <c r="L254" s="1086"/>
      <c r="M254" s="973"/>
      <c r="N254" s="1087"/>
      <c r="O254" s="738"/>
      <c r="P254" s="738"/>
      <c r="Q254" s="738"/>
      <c r="R254" s="1086"/>
      <c r="S254" s="973"/>
      <c r="T254" s="1087"/>
      <c r="U254" s="1086"/>
      <c r="V254" s="973"/>
      <c r="W254" s="1087"/>
      <c r="X254" s="1086"/>
      <c r="Y254" s="973"/>
      <c r="Z254" s="1087"/>
      <c r="AA254" s="1086"/>
      <c r="AB254" s="973"/>
      <c r="AC254" s="973"/>
      <c r="AD254" s="974"/>
      <c r="AE254" s="1183"/>
      <c r="AF254" s="1184"/>
      <c r="AG254" s="972"/>
      <c r="AH254" s="973"/>
      <c r="AI254" s="974"/>
      <c r="AJ254" s="977"/>
      <c r="AK254" s="983"/>
      <c r="AL254" s="1007"/>
      <c r="AM254" s="440"/>
      <c r="AN254" s="89"/>
      <c r="AO254" s="89"/>
    </row>
    <row r="255" spans="1:42" s="69" customFormat="1">
      <c r="A255" s="66"/>
      <c r="B255" s="66"/>
      <c r="C255" s="67"/>
      <c r="D255" s="128"/>
      <c r="E255" s="128"/>
      <c r="F255" s="128"/>
      <c r="G255" s="59"/>
      <c r="H255" s="59"/>
      <c r="I255" s="59"/>
      <c r="J255" s="128"/>
      <c r="K255" s="128"/>
      <c r="L255" s="61"/>
      <c r="M255" s="60"/>
      <c r="N255" s="61"/>
      <c r="O255" s="61"/>
      <c r="P255" s="61"/>
      <c r="Q255" s="61"/>
      <c r="R255" s="160"/>
      <c r="S255" s="61"/>
      <c r="T255" s="160"/>
      <c r="U255" s="61"/>
      <c r="V255" s="61"/>
      <c r="W255" s="61"/>
      <c r="X255" s="151"/>
      <c r="Y255" s="60"/>
      <c r="Z255" s="151"/>
      <c r="AA255" s="60"/>
      <c r="AB255" s="60"/>
      <c r="AC255" s="60"/>
      <c r="AD255" s="60"/>
      <c r="AE255" s="60"/>
      <c r="AF255" s="60"/>
      <c r="AG255" s="60"/>
      <c r="AH255" s="151"/>
      <c r="AI255" s="151"/>
      <c r="AJ255" s="60"/>
      <c r="AL255" s="10"/>
      <c r="AM255" s="850"/>
      <c r="AN255" s="128"/>
      <c r="AO255" s="106"/>
    </row>
    <row r="256" spans="1:42" s="144" customFormat="1">
      <c r="A256" s="139"/>
      <c r="B256" s="139"/>
      <c r="C256" s="140"/>
      <c r="D256" s="141"/>
      <c r="E256" s="141"/>
      <c r="F256" s="141"/>
      <c r="G256" s="142"/>
      <c r="H256" s="142"/>
      <c r="I256" s="142"/>
      <c r="J256" s="141"/>
      <c r="K256" s="141"/>
      <c r="L256" s="143"/>
      <c r="M256" s="137"/>
      <c r="N256" s="143"/>
      <c r="O256" s="143"/>
      <c r="P256" s="143"/>
      <c r="Q256" s="143"/>
      <c r="R256" s="169"/>
      <c r="S256" s="143"/>
      <c r="T256" s="169"/>
      <c r="U256" s="143"/>
      <c r="V256" s="143"/>
      <c r="W256" s="143"/>
      <c r="X256" s="155"/>
      <c r="Y256" s="137"/>
      <c r="Z256" s="155"/>
      <c r="AA256" s="137"/>
      <c r="AB256" s="137"/>
      <c r="AC256" s="137"/>
      <c r="AD256" s="137"/>
      <c r="AE256" s="137"/>
      <c r="AF256" s="137"/>
      <c r="AG256" s="137"/>
      <c r="AH256" s="155"/>
      <c r="AI256" s="155"/>
      <c r="AJ256" s="137"/>
      <c r="AM256" s="155"/>
      <c r="AN256" s="138"/>
      <c r="AO256" s="141"/>
      <c r="AP256" s="145"/>
    </row>
    <row r="257" spans="1:42" s="69" customFormat="1" ht="13.5" thickBot="1">
      <c r="A257" s="70"/>
      <c r="B257" s="70"/>
      <c r="C257" s="71"/>
      <c r="D257" s="63"/>
      <c r="E257" s="63"/>
      <c r="F257" s="63"/>
      <c r="G257" s="62"/>
      <c r="H257" s="62"/>
      <c r="I257" s="62"/>
      <c r="J257" s="62"/>
      <c r="K257" s="62"/>
      <c r="L257" s="65"/>
      <c r="M257" s="64"/>
      <c r="N257" s="65"/>
      <c r="O257" s="65"/>
      <c r="P257" s="65"/>
      <c r="Q257" s="65"/>
      <c r="R257" s="168"/>
      <c r="S257" s="65"/>
      <c r="T257" s="168"/>
      <c r="U257" s="65"/>
      <c r="V257" s="65"/>
      <c r="W257" s="65"/>
      <c r="X257" s="152"/>
      <c r="Y257" s="64"/>
      <c r="Z257" s="152"/>
      <c r="AA257" s="64"/>
      <c r="AB257" s="64"/>
      <c r="AC257" s="64"/>
      <c r="AD257" s="64"/>
      <c r="AE257" s="64"/>
      <c r="AF257" s="64"/>
      <c r="AG257" s="64"/>
      <c r="AH257" s="152"/>
      <c r="AI257" s="152"/>
      <c r="AJ257" s="60"/>
      <c r="AM257" s="151"/>
      <c r="AN257" s="90"/>
      <c r="AO257" s="128"/>
      <c r="AP257" s="106"/>
    </row>
    <row r="258" spans="1:42" s="69" customFormat="1" ht="12.75" customHeight="1">
      <c r="A258" s="1211" t="s">
        <v>86</v>
      </c>
      <c r="B258" s="524">
        <v>8755</v>
      </c>
      <c r="C258" s="525">
        <v>32480</v>
      </c>
      <c r="D258" s="223" t="s">
        <v>843</v>
      </c>
      <c r="E258" s="222" t="s">
        <v>87</v>
      </c>
      <c r="F258" s="534" t="s">
        <v>151</v>
      </c>
      <c r="G258" s="11">
        <v>249.77256052824652</v>
      </c>
      <c r="H258" s="11">
        <v>178.55</v>
      </c>
      <c r="I258" s="227" t="s">
        <v>50</v>
      </c>
      <c r="J258" s="1235" t="s">
        <v>22</v>
      </c>
      <c r="K258" s="1060" t="s">
        <v>503</v>
      </c>
      <c r="L258" s="120">
        <v>77.105003668378572</v>
      </c>
      <c r="M258" s="12">
        <v>10.473954512105649</v>
      </c>
      <c r="N258" s="255"/>
      <c r="O258" s="255"/>
      <c r="P258" s="255"/>
      <c r="Q258" s="255"/>
      <c r="R258" s="258"/>
      <c r="S258" s="120">
        <v>66.631049156272923</v>
      </c>
      <c r="T258" s="117">
        <v>33598.753701212161</v>
      </c>
      <c r="U258" s="255"/>
      <c r="V258" s="255"/>
      <c r="W258" s="120">
        <v>0.92569332355099065</v>
      </c>
      <c r="X258" s="117">
        <v>466.78151364390084</v>
      </c>
      <c r="Y258" s="120">
        <v>5.8684225972120325</v>
      </c>
      <c r="Z258" s="117">
        <v>2959.1562485519153</v>
      </c>
      <c r="AA258" s="252"/>
      <c r="AB258" s="252"/>
      <c r="AC258" s="120">
        <v>18.228994864269993</v>
      </c>
      <c r="AD258" s="177">
        <v>9191.9835635307281</v>
      </c>
      <c r="AE258" s="1172" t="s">
        <v>19</v>
      </c>
      <c r="AF258" s="1173"/>
      <c r="AG258" s="192">
        <v>66.631049156272923</v>
      </c>
      <c r="AH258" s="117">
        <v>67197.507402424322</v>
      </c>
      <c r="AI258" s="176">
        <f t="shared" ref="AI258:AI334" si="9">AH258</f>
        <v>67197.507402424322</v>
      </c>
      <c r="AJ258" s="975">
        <v>46155</v>
      </c>
      <c r="AK258" s="1019">
        <f>SUM(AI258:AI270)</f>
        <v>1957199.7696944044</v>
      </c>
      <c r="AL258" s="1284">
        <f>AK258+AK271+AK281+AK290</f>
        <v>2182055.4674960249</v>
      </c>
      <c r="AM258" s="151"/>
      <c r="AN258" s="90"/>
      <c r="AO258" s="128"/>
      <c r="AP258" s="106"/>
    </row>
    <row r="259" spans="1:42" s="69" customFormat="1" ht="15" customHeight="1">
      <c r="A259" s="1212"/>
      <c r="B259" s="524"/>
      <c r="C259" s="525"/>
      <c r="D259" s="223" t="s">
        <v>808</v>
      </c>
      <c r="E259" s="225" t="s">
        <v>64</v>
      </c>
      <c r="F259" s="534" t="s">
        <v>151</v>
      </c>
      <c r="G259" s="6">
        <v>8.3257520176082167</v>
      </c>
      <c r="H259" s="225" t="s">
        <v>64</v>
      </c>
      <c r="I259" s="227" t="s">
        <v>50</v>
      </c>
      <c r="J259" s="1236"/>
      <c r="K259" s="1061"/>
      <c r="L259" s="120">
        <v>20.797889948642702</v>
      </c>
      <c r="M259" s="225" t="s">
        <v>64</v>
      </c>
      <c r="N259" s="255"/>
      <c r="O259" s="255"/>
      <c r="P259" s="255"/>
      <c r="Q259" s="255"/>
      <c r="R259" s="258"/>
      <c r="S259" s="120">
        <v>20.797889948642702</v>
      </c>
      <c r="T259" s="117">
        <v>10487.350728193893</v>
      </c>
      <c r="U259" s="256"/>
      <c r="V259" s="256"/>
      <c r="W259" s="120">
        <v>0.10823477622890683</v>
      </c>
      <c r="X259" s="117">
        <v>54.577462526394747</v>
      </c>
      <c r="Y259" s="120">
        <v>2.3888481291269259</v>
      </c>
      <c r="Z259" s="117">
        <v>1204.5783600359337</v>
      </c>
      <c r="AA259" s="253"/>
      <c r="AB259" s="253"/>
      <c r="AC259" s="120">
        <v>5.7666911225238442</v>
      </c>
      <c r="AD259" s="177">
        <v>2907.8580804307257</v>
      </c>
      <c r="AE259" s="1174"/>
      <c r="AF259" s="1175"/>
      <c r="AG259" s="192">
        <v>20.797889948642702</v>
      </c>
      <c r="AH259" s="117">
        <v>20974.701456387786</v>
      </c>
      <c r="AI259" s="176">
        <f t="shared" si="9"/>
        <v>20974.701456387786</v>
      </c>
      <c r="AJ259" s="1003"/>
      <c r="AK259" s="1020"/>
      <c r="AL259" s="1285"/>
      <c r="AM259" s="151"/>
      <c r="AN259" s="90"/>
      <c r="AO259" s="128"/>
      <c r="AP259" s="106"/>
    </row>
    <row r="260" spans="1:42" s="69" customFormat="1" ht="15" customHeight="1">
      <c r="A260" s="1212"/>
      <c r="B260" s="524"/>
      <c r="C260" s="525"/>
      <c r="D260" s="223" t="s">
        <v>809</v>
      </c>
      <c r="E260" s="225" t="s">
        <v>64</v>
      </c>
      <c r="F260" s="534" t="s">
        <v>151</v>
      </c>
      <c r="G260" s="73">
        <v>220.10271460014673</v>
      </c>
      <c r="H260" s="225" t="s">
        <v>64</v>
      </c>
      <c r="I260" s="227" t="s">
        <v>50</v>
      </c>
      <c r="J260" s="1236"/>
      <c r="K260" s="1061"/>
      <c r="L260" s="120">
        <v>35.289801907556857</v>
      </c>
      <c r="M260" s="225" t="s">
        <v>64</v>
      </c>
      <c r="N260" s="255"/>
      <c r="O260" s="255"/>
      <c r="P260" s="255"/>
      <c r="Q260" s="255"/>
      <c r="R260" s="258"/>
      <c r="S260" s="120">
        <v>35.289801907556857</v>
      </c>
      <c r="T260" s="117">
        <v>17794.907591439918</v>
      </c>
      <c r="U260" s="256"/>
      <c r="V260" s="256"/>
      <c r="W260" s="120">
        <v>2.8613352898019078</v>
      </c>
      <c r="X260" s="117">
        <v>1442.8303452518887</v>
      </c>
      <c r="Y260" s="120">
        <v>2.5429200293470284</v>
      </c>
      <c r="Z260" s="117">
        <v>1282.2692247802665</v>
      </c>
      <c r="AA260" s="253"/>
      <c r="AB260" s="253"/>
      <c r="AC260" s="120">
        <v>9.288334556126193</v>
      </c>
      <c r="AD260" s="177">
        <v>4683.6492745869027</v>
      </c>
      <c r="AE260" s="1174"/>
      <c r="AF260" s="1175"/>
      <c r="AG260" s="192">
        <v>35.289801907556857</v>
      </c>
      <c r="AH260" s="117">
        <v>35589.815182879836</v>
      </c>
      <c r="AI260" s="176">
        <f t="shared" si="9"/>
        <v>35589.815182879836</v>
      </c>
      <c r="AJ260" s="1003"/>
      <c r="AK260" s="1020"/>
      <c r="AL260" s="1285"/>
      <c r="AM260" s="151"/>
      <c r="AN260" s="90"/>
      <c r="AO260" s="128"/>
      <c r="AP260" s="106"/>
    </row>
    <row r="261" spans="1:42" s="69" customFormat="1" ht="15" customHeight="1">
      <c r="A261" s="1212"/>
      <c r="B261" s="524"/>
      <c r="C261" s="525"/>
      <c r="D261" s="223" t="s">
        <v>810</v>
      </c>
      <c r="E261" s="225" t="s">
        <v>64</v>
      </c>
      <c r="F261" s="534" t="s">
        <v>151</v>
      </c>
      <c r="G261" s="73">
        <v>22.010271460014675</v>
      </c>
      <c r="H261" s="225" t="s">
        <v>64</v>
      </c>
      <c r="I261" s="227" t="s">
        <v>50</v>
      </c>
      <c r="J261" s="1236"/>
      <c r="K261" s="1061"/>
      <c r="L261" s="120">
        <v>20.975788701393984</v>
      </c>
      <c r="M261" s="225" t="s">
        <v>64</v>
      </c>
      <c r="N261" s="255"/>
      <c r="O261" s="255"/>
      <c r="P261" s="255"/>
      <c r="Q261" s="255"/>
      <c r="R261" s="258"/>
      <c r="S261" s="120">
        <v>20.975788701393984</v>
      </c>
      <c r="T261" s="117">
        <v>10577.056300192704</v>
      </c>
      <c r="U261" s="256"/>
      <c r="V261" s="256"/>
      <c r="W261" s="120">
        <v>0.28613352898019079</v>
      </c>
      <c r="X261" s="117">
        <v>144.28303452518873</v>
      </c>
      <c r="Y261" s="120">
        <v>2.3888481291269259</v>
      </c>
      <c r="Z261" s="117">
        <v>1204.5783600359337</v>
      </c>
      <c r="AA261" s="253"/>
      <c r="AB261" s="253"/>
      <c r="AC261" s="120">
        <v>5.7666911225238442</v>
      </c>
      <c r="AD261" s="177">
        <v>2907.8580804307257</v>
      </c>
      <c r="AE261" s="1174"/>
      <c r="AF261" s="1175"/>
      <c r="AG261" s="192">
        <v>20.975788701393984</v>
      </c>
      <c r="AH261" s="117">
        <v>21154.112600385408</v>
      </c>
      <c r="AI261" s="176">
        <f t="shared" si="9"/>
        <v>21154.112600385408</v>
      </c>
      <c r="AJ261" s="1003"/>
      <c r="AK261" s="1020"/>
      <c r="AL261" s="1285"/>
      <c r="AM261" s="151"/>
      <c r="AN261" s="90"/>
      <c r="AO261" s="128"/>
      <c r="AP261" s="106"/>
    </row>
    <row r="262" spans="1:42" s="69" customFormat="1" ht="15" customHeight="1">
      <c r="A262" s="1212"/>
      <c r="B262" s="524"/>
      <c r="C262" s="525"/>
      <c r="D262" s="223" t="s">
        <v>811</v>
      </c>
      <c r="E262" s="250" t="s">
        <v>88</v>
      </c>
      <c r="F262" s="534" t="s">
        <v>151</v>
      </c>
      <c r="G262" s="6">
        <v>58694.057226705794</v>
      </c>
      <c r="H262" s="6">
        <v>1760.82</v>
      </c>
      <c r="I262" s="227" t="s">
        <v>50</v>
      </c>
      <c r="J262" s="1236"/>
      <c r="K262" s="1061"/>
      <c r="L262" s="120">
        <v>1384.0058694057227</v>
      </c>
      <c r="M262" s="251">
        <v>41.08584005869406</v>
      </c>
      <c r="N262" s="255"/>
      <c r="O262" s="255"/>
      <c r="P262" s="255"/>
      <c r="Q262" s="255"/>
      <c r="R262" s="258"/>
      <c r="S262" s="120">
        <v>1342.9200293470285</v>
      </c>
      <c r="T262" s="117">
        <v>677168.37537155289</v>
      </c>
      <c r="U262" s="256"/>
      <c r="V262" s="256"/>
      <c r="W262" s="120">
        <v>739.20763022743961</v>
      </c>
      <c r="X262" s="117">
        <v>372745.97078335594</v>
      </c>
      <c r="Y262" s="120">
        <v>87.612619222303735</v>
      </c>
      <c r="Z262" s="117">
        <v>44178.725258615239</v>
      </c>
      <c r="AA262" s="253"/>
      <c r="AB262" s="253"/>
      <c r="AC262" s="120">
        <v>180.67351430667645</v>
      </c>
      <c r="AD262" s="177">
        <v>91104.74747718958</v>
      </c>
      <c r="AE262" s="1174"/>
      <c r="AF262" s="1175"/>
      <c r="AG262" s="192">
        <v>1342.9200293470285</v>
      </c>
      <c r="AH262" s="117">
        <v>1354336.7507431058</v>
      </c>
      <c r="AI262" s="176">
        <f t="shared" si="9"/>
        <v>1354336.7507431058</v>
      </c>
      <c r="AJ262" s="1003"/>
      <c r="AK262" s="1020"/>
      <c r="AL262" s="1285"/>
      <c r="AM262" s="151"/>
      <c r="AN262" s="90"/>
      <c r="AO262" s="128"/>
      <c r="AP262" s="106"/>
    </row>
    <row r="263" spans="1:42" s="69" customFormat="1" ht="15" customHeight="1">
      <c r="A263" s="1212"/>
      <c r="B263" s="524"/>
      <c r="C263" s="525"/>
      <c r="D263" s="223" t="s">
        <v>812</v>
      </c>
      <c r="E263" s="225" t="s">
        <v>64</v>
      </c>
      <c r="F263" s="534" t="s">
        <v>151</v>
      </c>
      <c r="G263" s="6">
        <v>5869.40572267058</v>
      </c>
      <c r="H263" s="225" t="s">
        <v>64</v>
      </c>
      <c r="I263" s="227" t="s">
        <v>50</v>
      </c>
      <c r="J263" s="1236"/>
      <c r="K263" s="1061"/>
      <c r="L263" s="120">
        <v>154.51210564930301</v>
      </c>
      <c r="M263" s="225" t="s">
        <v>64</v>
      </c>
      <c r="N263" s="255"/>
      <c r="O263" s="255"/>
      <c r="P263" s="255"/>
      <c r="Q263" s="255"/>
      <c r="R263" s="258"/>
      <c r="S263" s="120">
        <v>154.51210564930301</v>
      </c>
      <c r="T263" s="117">
        <v>77912.838643601979</v>
      </c>
      <c r="U263" s="256"/>
      <c r="V263" s="256"/>
      <c r="W263" s="120">
        <v>76.302274394717543</v>
      </c>
      <c r="X263" s="117">
        <v>38475.475873383752</v>
      </c>
      <c r="Y263" s="120">
        <v>11.016874541452678</v>
      </c>
      <c r="Z263" s="117">
        <v>5555.2667857185552</v>
      </c>
      <c r="AA263" s="253"/>
      <c r="AB263" s="253"/>
      <c r="AC263" s="120">
        <v>23.02274394717535</v>
      </c>
      <c r="AD263" s="177">
        <v>11609.234931795956</v>
      </c>
      <c r="AE263" s="1174"/>
      <c r="AF263" s="1175"/>
      <c r="AG263" s="192">
        <v>154.51210564930301</v>
      </c>
      <c r="AH263" s="117">
        <v>155825.67728720396</v>
      </c>
      <c r="AI263" s="176">
        <f t="shared" si="9"/>
        <v>155825.67728720396</v>
      </c>
      <c r="AJ263" s="1003"/>
      <c r="AK263" s="1020"/>
      <c r="AL263" s="1285"/>
      <c r="AM263" s="151"/>
      <c r="AN263" s="90"/>
      <c r="AO263" s="128"/>
      <c r="AP263" s="106"/>
    </row>
    <row r="264" spans="1:42" s="69" customFormat="1" ht="15" customHeight="1">
      <c r="A264" s="1212"/>
      <c r="B264" s="524"/>
      <c r="C264" s="525"/>
      <c r="D264" s="223" t="s">
        <v>813</v>
      </c>
      <c r="E264" s="225" t="s">
        <v>64</v>
      </c>
      <c r="F264" s="534" t="s">
        <v>151</v>
      </c>
      <c r="G264" s="73">
        <v>1630.3888481291269</v>
      </c>
      <c r="H264" s="225" t="s">
        <v>64</v>
      </c>
      <c r="I264" s="227" t="s">
        <v>50</v>
      </c>
      <c r="J264" s="1236"/>
      <c r="K264" s="1061"/>
      <c r="L264" s="120">
        <v>67.726382978723407</v>
      </c>
      <c r="M264" s="225" t="s">
        <v>64</v>
      </c>
      <c r="N264" s="255"/>
      <c r="O264" s="255"/>
      <c r="P264" s="255"/>
      <c r="Q264" s="255"/>
      <c r="R264" s="258"/>
      <c r="S264" s="120">
        <v>67.726382978723407</v>
      </c>
      <c r="T264" s="117">
        <v>34151.076556504588</v>
      </c>
      <c r="U264" s="256"/>
      <c r="V264" s="256"/>
      <c r="W264" s="120">
        <v>21.195055025678652</v>
      </c>
      <c r="X264" s="117">
        <v>10687.621499418838</v>
      </c>
      <c r="Y264" s="120">
        <v>4.6583492296404989</v>
      </c>
      <c r="Z264" s="117">
        <v>2348.9758964149169</v>
      </c>
      <c r="AA264" s="253"/>
      <c r="AB264" s="253"/>
      <c r="AC264" s="120">
        <v>13.519192956713132</v>
      </c>
      <c r="AD264" s="177">
        <v>6817.0626178561943</v>
      </c>
      <c r="AE264" s="1174"/>
      <c r="AF264" s="1175"/>
      <c r="AG264" s="192">
        <v>67.726382978723407</v>
      </c>
      <c r="AH264" s="117">
        <v>68302.153113009175</v>
      </c>
      <c r="AI264" s="176">
        <f t="shared" si="9"/>
        <v>68302.153113009175</v>
      </c>
      <c r="AJ264" s="1003"/>
      <c r="AK264" s="1020"/>
      <c r="AL264" s="1285"/>
      <c r="AM264" s="151"/>
      <c r="AN264" s="90"/>
      <c r="AO264" s="128"/>
      <c r="AP264" s="106"/>
    </row>
    <row r="265" spans="1:42" s="69" customFormat="1" ht="15" customHeight="1">
      <c r="A265" s="1212"/>
      <c r="B265" s="524"/>
      <c r="C265" s="525"/>
      <c r="D265" s="223" t="s">
        <v>814</v>
      </c>
      <c r="E265" s="225" t="s">
        <v>64</v>
      </c>
      <c r="F265" s="534" t="s">
        <v>151</v>
      </c>
      <c r="G265" s="73">
        <v>3260.7806309611151</v>
      </c>
      <c r="H265" s="225" t="s">
        <v>64</v>
      </c>
      <c r="I265" s="227" t="s">
        <v>50</v>
      </c>
      <c r="J265" s="1236"/>
      <c r="K265" s="1061"/>
      <c r="L265" s="120">
        <v>105.22539398385914</v>
      </c>
      <c r="M265" s="225" t="s">
        <v>64</v>
      </c>
      <c r="N265" s="255"/>
      <c r="O265" s="255"/>
      <c r="P265" s="255"/>
      <c r="Q265" s="255"/>
      <c r="R265" s="258"/>
      <c r="S265" s="120">
        <v>105.22539398385914</v>
      </c>
      <c r="T265" s="117">
        <v>53059.979399166426</v>
      </c>
      <c r="U265" s="256"/>
      <c r="V265" s="256"/>
      <c r="W265" s="120">
        <v>42.390148202494501</v>
      </c>
      <c r="X265" s="117">
        <v>21375.262236575578</v>
      </c>
      <c r="Y265" s="120">
        <v>7.1039369038884823</v>
      </c>
      <c r="Z265" s="117">
        <v>3582.1652122406949</v>
      </c>
      <c r="AA265" s="253"/>
      <c r="AB265" s="253"/>
      <c r="AC265" s="120">
        <v>18.410368305209097</v>
      </c>
      <c r="AD265" s="177">
        <v>9283.4412495077686</v>
      </c>
      <c r="AE265" s="1174"/>
      <c r="AF265" s="1175"/>
      <c r="AG265" s="192">
        <v>105.22539398385914</v>
      </c>
      <c r="AH265" s="117">
        <v>106119.95879833285</v>
      </c>
      <c r="AI265" s="176">
        <f t="shared" si="9"/>
        <v>106119.95879833285</v>
      </c>
      <c r="AJ265" s="1003"/>
      <c r="AK265" s="1020"/>
      <c r="AL265" s="1285"/>
      <c r="AM265" s="151"/>
      <c r="AN265" s="90"/>
      <c r="AO265" s="128"/>
      <c r="AP265" s="106"/>
    </row>
    <row r="266" spans="1:42" s="69" customFormat="1" ht="15" customHeight="1">
      <c r="A266" s="1212"/>
      <c r="B266" s="524"/>
      <c r="C266" s="525"/>
      <c r="D266" s="223" t="s">
        <v>815</v>
      </c>
      <c r="E266" s="225" t="s">
        <v>64</v>
      </c>
      <c r="F266" s="534" t="s">
        <v>151</v>
      </c>
      <c r="G266" s="73">
        <v>326.07806309611152</v>
      </c>
      <c r="H266" s="225" t="s">
        <v>64</v>
      </c>
      <c r="I266" s="227" t="s">
        <v>50</v>
      </c>
      <c r="J266" s="1236"/>
      <c r="K266" s="1061"/>
      <c r="L266" s="120">
        <v>27.015569479090242</v>
      </c>
      <c r="M266" s="225" t="s">
        <v>64</v>
      </c>
      <c r="N266" s="255"/>
      <c r="O266" s="255"/>
      <c r="P266" s="255"/>
      <c r="Q266" s="255"/>
      <c r="R266" s="258"/>
      <c r="S266" s="120">
        <v>27.015569479090242</v>
      </c>
      <c r="T266" s="117">
        <v>13622.620032548071</v>
      </c>
      <c r="U266" s="256"/>
      <c r="V266" s="256"/>
      <c r="W266" s="120">
        <v>4.2390148202494498</v>
      </c>
      <c r="X266" s="117">
        <v>2137.5262236575581</v>
      </c>
      <c r="Y266" s="120">
        <v>2.7018830520909756</v>
      </c>
      <c r="Z266" s="117">
        <v>1362.4264415193836</v>
      </c>
      <c r="AA266" s="253"/>
      <c r="AB266" s="253"/>
      <c r="AC266" s="120">
        <v>6.3927609684519435</v>
      </c>
      <c r="AD266" s="177">
        <v>3223.5542433976211</v>
      </c>
      <c r="AE266" s="1174"/>
      <c r="AF266" s="1175"/>
      <c r="AG266" s="192">
        <v>27.015569479090242</v>
      </c>
      <c r="AH266" s="117">
        <v>27245.240065096143</v>
      </c>
      <c r="AI266" s="176">
        <f t="shared" si="9"/>
        <v>27245.240065096143</v>
      </c>
      <c r="AJ266" s="1003"/>
      <c r="AK266" s="1020"/>
      <c r="AL266" s="1285"/>
      <c r="AM266" s="151"/>
      <c r="AN266" s="90"/>
      <c r="AO266" s="128"/>
      <c r="AP266" s="106"/>
    </row>
    <row r="267" spans="1:42" s="69" customFormat="1" ht="15" customHeight="1">
      <c r="A267" s="1212"/>
      <c r="B267" s="524"/>
      <c r="C267" s="525"/>
      <c r="D267" s="223" t="s">
        <v>816</v>
      </c>
      <c r="E267" s="225" t="s">
        <v>64</v>
      </c>
      <c r="F267" s="534" t="s">
        <v>151</v>
      </c>
      <c r="G267" s="6">
        <v>5.8694057226705798</v>
      </c>
      <c r="H267" s="225" t="s">
        <v>64</v>
      </c>
      <c r="I267" s="227" t="s">
        <v>50</v>
      </c>
      <c r="J267" s="1236"/>
      <c r="K267" s="1061"/>
      <c r="L267" s="120">
        <v>20.76595744680851</v>
      </c>
      <c r="M267" s="225" t="s">
        <v>64</v>
      </c>
      <c r="N267" s="255"/>
      <c r="O267" s="255"/>
      <c r="P267" s="255"/>
      <c r="Q267" s="255"/>
      <c r="R267" s="258"/>
      <c r="S267" s="120">
        <v>20.76595744680851</v>
      </c>
      <c r="T267" s="117">
        <v>10471.248741540881</v>
      </c>
      <c r="U267" s="256"/>
      <c r="V267" s="256"/>
      <c r="W267" s="120">
        <v>7.630227439471754E-2</v>
      </c>
      <c r="X267" s="117">
        <v>38.475475873383651</v>
      </c>
      <c r="Y267" s="120">
        <v>2.3888481291269259</v>
      </c>
      <c r="Z267" s="117">
        <v>1204.5783600359337</v>
      </c>
      <c r="AA267" s="253"/>
      <c r="AB267" s="253"/>
      <c r="AC267" s="120">
        <v>5.7666911225238442</v>
      </c>
      <c r="AD267" s="177">
        <v>2907.8580804307257</v>
      </c>
      <c r="AE267" s="1174"/>
      <c r="AF267" s="1175"/>
      <c r="AG267" s="192">
        <v>20.76595744680851</v>
      </c>
      <c r="AH267" s="117">
        <v>20942.497483081763</v>
      </c>
      <c r="AI267" s="176">
        <f t="shared" si="9"/>
        <v>20942.497483081763</v>
      </c>
      <c r="AJ267" s="1003"/>
      <c r="AK267" s="1020"/>
      <c r="AL267" s="1285"/>
      <c r="AM267" s="151"/>
      <c r="AN267" s="90"/>
      <c r="AO267" s="128"/>
      <c r="AP267" s="106"/>
    </row>
    <row r="268" spans="1:42" s="69" customFormat="1" ht="15" customHeight="1">
      <c r="A268" s="1212"/>
      <c r="B268" s="524"/>
      <c r="C268" s="525"/>
      <c r="D268" s="223" t="s">
        <v>820</v>
      </c>
      <c r="E268" s="225" t="s">
        <v>64</v>
      </c>
      <c r="F268" s="534" t="s">
        <v>151</v>
      </c>
      <c r="G268" s="6">
        <v>3.2604548789435071</v>
      </c>
      <c r="H268" s="225" t="s">
        <v>64</v>
      </c>
      <c r="I268" s="227" t="s">
        <v>50</v>
      </c>
      <c r="J268" s="1236"/>
      <c r="K268" s="1061"/>
      <c r="L268" s="120">
        <v>20.732041085840059</v>
      </c>
      <c r="M268" s="225" t="s">
        <v>64</v>
      </c>
      <c r="N268" s="255"/>
      <c r="O268" s="255"/>
      <c r="P268" s="255"/>
      <c r="Q268" s="255"/>
      <c r="R268" s="258"/>
      <c r="S268" s="120">
        <v>20.732041085840059</v>
      </c>
      <c r="T268" s="117">
        <v>10454.146392515187</v>
      </c>
      <c r="U268" s="256"/>
      <c r="V268" s="256"/>
      <c r="W268" s="120">
        <v>4.2385913426265596E-2</v>
      </c>
      <c r="X268" s="117">
        <v>21.373126847664636</v>
      </c>
      <c r="Y268" s="120">
        <v>2.3888481291269259</v>
      </c>
      <c r="Z268" s="117">
        <v>1204.5783600359337</v>
      </c>
      <c r="AA268" s="253"/>
      <c r="AB268" s="253"/>
      <c r="AC268" s="120">
        <v>5.7666911225238442</v>
      </c>
      <c r="AD268" s="177">
        <v>2907.8580804307257</v>
      </c>
      <c r="AE268" s="1174"/>
      <c r="AF268" s="1175"/>
      <c r="AG268" s="192">
        <v>20.732041085840059</v>
      </c>
      <c r="AH268" s="117">
        <v>20908.292785030375</v>
      </c>
      <c r="AI268" s="176">
        <f t="shared" si="9"/>
        <v>20908.292785030375</v>
      </c>
      <c r="AJ268" s="1003"/>
      <c r="AK268" s="1020"/>
      <c r="AL268" s="1285"/>
      <c r="AM268" s="151"/>
      <c r="AN268" s="90"/>
      <c r="AO268" s="128"/>
      <c r="AP268" s="106"/>
    </row>
    <row r="269" spans="1:42" s="69" customFormat="1" ht="15" customHeight="1">
      <c r="A269" s="1212"/>
      <c r="B269" s="524"/>
      <c r="C269" s="525"/>
      <c r="D269" s="223" t="s">
        <v>821</v>
      </c>
      <c r="E269" s="225" t="s">
        <v>64</v>
      </c>
      <c r="F269" s="534" t="s">
        <v>151</v>
      </c>
      <c r="G269" s="6">
        <v>326.0777696258254</v>
      </c>
      <c r="H269" s="225" t="s">
        <v>64</v>
      </c>
      <c r="I269" s="227" t="s">
        <v>50</v>
      </c>
      <c r="J269" s="1236"/>
      <c r="K269" s="1061"/>
      <c r="L269" s="120">
        <v>37.365280997798976</v>
      </c>
      <c r="M269" s="225" t="s">
        <v>64</v>
      </c>
      <c r="N269" s="255"/>
      <c r="O269" s="255"/>
      <c r="P269" s="255"/>
      <c r="Q269" s="255"/>
      <c r="R269" s="258"/>
      <c r="S269" s="120">
        <v>37.365280997798976</v>
      </c>
      <c r="T269" s="117">
        <v>18841.469391802897</v>
      </c>
      <c r="U269" s="256"/>
      <c r="V269" s="256"/>
      <c r="W269" s="120">
        <v>4.2390110051357306</v>
      </c>
      <c r="X269" s="117">
        <v>2137.5242998837698</v>
      </c>
      <c r="Y269" s="120">
        <v>2.6475905355832721</v>
      </c>
      <c r="Z269" s="117">
        <v>1335.0494016399275</v>
      </c>
      <c r="AA269" s="253"/>
      <c r="AB269" s="253"/>
      <c r="AC269" s="120">
        <v>9.4976755685986785</v>
      </c>
      <c r="AD269" s="177">
        <v>4789.2096283062119</v>
      </c>
      <c r="AE269" s="1174"/>
      <c r="AF269" s="1175"/>
      <c r="AG269" s="192">
        <v>37.365280997798976</v>
      </c>
      <c r="AH269" s="117">
        <v>37682.938783605794</v>
      </c>
      <c r="AI269" s="176">
        <f t="shared" si="9"/>
        <v>37682.938783605794</v>
      </c>
      <c r="AJ269" s="1003"/>
      <c r="AK269" s="1020"/>
      <c r="AL269" s="1285"/>
      <c r="AM269" s="151"/>
      <c r="AN269" s="90"/>
      <c r="AO269" s="128"/>
      <c r="AP269" s="106"/>
    </row>
    <row r="270" spans="1:42" s="69" customFormat="1" ht="15" customHeight="1" thickBot="1">
      <c r="A270" s="1212"/>
      <c r="B270" s="526"/>
      <c r="C270" s="527"/>
      <c r="D270" s="224" t="s">
        <v>822</v>
      </c>
      <c r="E270" s="226" t="s">
        <v>64</v>
      </c>
      <c r="F270" s="536" t="s">
        <v>151</v>
      </c>
      <c r="G270" s="27">
        <v>4.1628760088041084</v>
      </c>
      <c r="H270" s="226" t="s">
        <v>64</v>
      </c>
      <c r="I270" s="220" t="s">
        <v>50</v>
      </c>
      <c r="J270" s="1236"/>
      <c r="K270" s="1061"/>
      <c r="L270" s="28">
        <v>20.743772560528246</v>
      </c>
      <c r="M270" s="226" t="s">
        <v>64</v>
      </c>
      <c r="N270" s="257"/>
      <c r="O270" s="257"/>
      <c r="P270" s="257"/>
      <c r="Q270" s="257"/>
      <c r="R270" s="259"/>
      <c r="S270" s="28">
        <v>20.743772560528246</v>
      </c>
      <c r="T270" s="118">
        <v>10460.061996930704</v>
      </c>
      <c r="U270" s="257"/>
      <c r="V270" s="257"/>
      <c r="W270" s="28">
        <v>5.4117388114453414E-2</v>
      </c>
      <c r="X270" s="118">
        <v>27.288731263197374</v>
      </c>
      <c r="Y270" s="28">
        <v>2.3888481291269259</v>
      </c>
      <c r="Z270" s="118">
        <v>1204.5783600359337</v>
      </c>
      <c r="AA270" s="254"/>
      <c r="AB270" s="254"/>
      <c r="AC270" s="28">
        <v>5.7666911225238442</v>
      </c>
      <c r="AD270" s="180">
        <v>2907.8580804307257</v>
      </c>
      <c r="AE270" s="1174"/>
      <c r="AF270" s="1175"/>
      <c r="AG270" s="193">
        <v>20.743772560528246</v>
      </c>
      <c r="AH270" s="118">
        <v>20920.123993861409</v>
      </c>
      <c r="AI270" s="178">
        <f t="shared" si="9"/>
        <v>20920.123993861409</v>
      </c>
      <c r="AJ270" s="1003"/>
      <c r="AK270" s="1021"/>
      <c r="AL270" s="1285"/>
      <c r="AM270" s="151">
        <v>2182055</v>
      </c>
      <c r="AN270" s="107" t="s">
        <v>77</v>
      </c>
      <c r="AO270" s="128"/>
      <c r="AP270" s="106"/>
    </row>
    <row r="271" spans="1:42" s="69" customFormat="1" ht="15" customHeight="1">
      <c r="A271" s="1212"/>
      <c r="B271" s="528">
        <v>10111</v>
      </c>
      <c r="C271" s="529">
        <v>33506</v>
      </c>
      <c r="D271" s="222" t="s">
        <v>844</v>
      </c>
      <c r="E271" s="250" t="s">
        <v>1</v>
      </c>
      <c r="F271" s="535" t="s">
        <v>151</v>
      </c>
      <c r="G271" s="9">
        <v>1498.635363169479</v>
      </c>
      <c r="H271" s="320" t="s">
        <v>221</v>
      </c>
      <c r="I271" s="227" t="s">
        <v>50</v>
      </c>
      <c r="J271" s="1236"/>
      <c r="K271" s="1061"/>
      <c r="L271" s="9">
        <v>74.016639765223772</v>
      </c>
      <c r="M271" s="12">
        <v>6.4915627292736611</v>
      </c>
      <c r="N271" s="255"/>
      <c r="O271" s="255"/>
      <c r="P271" s="255"/>
      <c r="Q271" s="255"/>
      <c r="R271" s="258"/>
      <c r="S271" s="120">
        <v>67.525077035950119</v>
      </c>
      <c r="T271" s="117">
        <v>16921.96526871483</v>
      </c>
      <c r="U271" s="256"/>
      <c r="V271" s="256"/>
      <c r="W271" s="120">
        <v>19.482259721203231</v>
      </c>
      <c r="X271" s="117">
        <v>4882.3064975218567</v>
      </c>
      <c r="Y271" s="120">
        <v>4.1185282465150408</v>
      </c>
      <c r="Z271" s="117">
        <v>1032.1142160066529</v>
      </c>
      <c r="AA271" s="252"/>
      <c r="AB271" s="252"/>
      <c r="AC271" s="120">
        <v>13.946227439471752</v>
      </c>
      <c r="AD271" s="177">
        <v>3494.9619714568325</v>
      </c>
      <c r="AE271" s="1174"/>
      <c r="AF271" s="1175"/>
      <c r="AG271" s="198">
        <v>67.525077035950119</v>
      </c>
      <c r="AH271" s="117">
        <v>33843.93053742966</v>
      </c>
      <c r="AI271" s="177">
        <f t="shared" si="9"/>
        <v>33843.93053742966</v>
      </c>
      <c r="AJ271" s="1003"/>
      <c r="AK271" s="978">
        <f>SUM(AI271:AI280)</f>
        <v>168070.20603898581</v>
      </c>
      <c r="AL271" s="1285"/>
      <c r="AM271" s="151"/>
      <c r="AN271" s="90"/>
      <c r="AO271" s="128"/>
      <c r="AP271" s="106"/>
    </row>
    <row r="272" spans="1:42" s="69" customFormat="1" ht="15" customHeight="1">
      <c r="A272" s="1212"/>
      <c r="B272" s="530"/>
      <c r="C272" s="525"/>
      <c r="D272" s="223" t="s">
        <v>808</v>
      </c>
      <c r="E272" s="225" t="s">
        <v>64</v>
      </c>
      <c r="F272" s="534" t="s">
        <v>151</v>
      </c>
      <c r="G272" s="120">
        <v>49.9545121056493</v>
      </c>
      <c r="H272" s="225" t="s">
        <v>64</v>
      </c>
      <c r="I272" s="227" t="s">
        <v>50</v>
      </c>
      <c r="J272" s="1236"/>
      <c r="K272" s="1061"/>
      <c r="L272" s="120">
        <v>12.681690388848128</v>
      </c>
      <c r="M272" s="225" t="s">
        <v>64</v>
      </c>
      <c r="N272" s="255"/>
      <c r="O272" s="255"/>
      <c r="P272" s="255"/>
      <c r="Q272" s="255"/>
      <c r="R272" s="258"/>
      <c r="S272" s="120">
        <v>12.681690388848128</v>
      </c>
      <c r="T272" s="117">
        <v>3178.065597680566</v>
      </c>
      <c r="U272" s="256"/>
      <c r="V272" s="256"/>
      <c r="W272" s="120">
        <v>0.649408657373441</v>
      </c>
      <c r="X272" s="117">
        <v>162.7435499173952</v>
      </c>
      <c r="Y272" s="120">
        <v>2.3888481291269259</v>
      </c>
      <c r="Z272" s="117">
        <v>598.65174314127432</v>
      </c>
      <c r="AA272" s="252"/>
      <c r="AB272" s="252"/>
      <c r="AC272" s="120">
        <v>3.1694790902421128</v>
      </c>
      <c r="AD272" s="177">
        <v>794.27995404493254</v>
      </c>
      <c r="AE272" s="1174"/>
      <c r="AF272" s="1175"/>
      <c r="AG272" s="198">
        <v>12.681690388848128</v>
      </c>
      <c r="AH272" s="117">
        <v>6356.1311953611321</v>
      </c>
      <c r="AI272" s="176">
        <f t="shared" si="9"/>
        <v>6356.1311953611321</v>
      </c>
      <c r="AJ272" s="1003"/>
      <c r="AK272" s="979"/>
      <c r="AL272" s="1285"/>
      <c r="AM272" s="151"/>
      <c r="AN272" s="90"/>
      <c r="AO272" s="128"/>
      <c r="AP272" s="106"/>
    </row>
    <row r="273" spans="1:42" s="69" customFormat="1" ht="15" customHeight="1">
      <c r="A273" s="1212"/>
      <c r="B273" s="530"/>
      <c r="C273" s="525"/>
      <c r="D273" s="223" t="s">
        <v>809</v>
      </c>
      <c r="E273" s="225" t="s">
        <v>64</v>
      </c>
      <c r="F273" s="534" t="s">
        <v>151</v>
      </c>
      <c r="G273" s="120">
        <v>99.9090242112986</v>
      </c>
      <c r="H273" s="225" t="s">
        <v>64</v>
      </c>
      <c r="I273" s="227" t="s">
        <v>50</v>
      </c>
      <c r="J273" s="1236"/>
      <c r="K273" s="1061"/>
      <c r="L273" s="120">
        <v>13.331099046221571</v>
      </c>
      <c r="M273" s="225" t="s">
        <v>64</v>
      </c>
      <c r="N273" s="255"/>
      <c r="O273" s="255"/>
      <c r="P273" s="255"/>
      <c r="Q273" s="255"/>
      <c r="R273" s="258"/>
      <c r="S273" s="120">
        <v>13.331099046221571</v>
      </c>
      <c r="T273" s="117">
        <v>3340.8091475979527</v>
      </c>
      <c r="U273" s="256"/>
      <c r="V273" s="256"/>
      <c r="W273" s="120">
        <v>1.298817314746882</v>
      </c>
      <c r="X273" s="117">
        <v>325.4870998347904</v>
      </c>
      <c r="Y273" s="120">
        <v>2.3888481291269259</v>
      </c>
      <c r="Z273" s="117">
        <v>598.65174314127432</v>
      </c>
      <c r="AA273" s="252"/>
      <c r="AB273" s="252"/>
      <c r="AC273" s="120">
        <v>3.1694790902421128</v>
      </c>
      <c r="AD273" s="177">
        <v>794.27995404493254</v>
      </c>
      <c r="AE273" s="1174"/>
      <c r="AF273" s="1175"/>
      <c r="AG273" s="198">
        <v>13.331099046221571</v>
      </c>
      <c r="AH273" s="117">
        <v>6681.6182951959054</v>
      </c>
      <c r="AI273" s="176">
        <f t="shared" si="9"/>
        <v>6681.6182951959054</v>
      </c>
      <c r="AJ273" s="1003"/>
      <c r="AK273" s="979"/>
      <c r="AL273" s="1285"/>
      <c r="AM273" s="151"/>
      <c r="AN273" s="90"/>
      <c r="AO273" s="128"/>
      <c r="AP273" s="106"/>
    </row>
    <row r="274" spans="1:42" s="69" customFormat="1" ht="15" customHeight="1">
      <c r="A274" s="1212"/>
      <c r="B274" s="530"/>
      <c r="C274" s="525"/>
      <c r="D274" s="223" t="s">
        <v>810</v>
      </c>
      <c r="E274" s="225" t="s">
        <v>64</v>
      </c>
      <c r="F274" s="534" t="s">
        <v>151</v>
      </c>
      <c r="G274" s="120">
        <v>149.86353631694791</v>
      </c>
      <c r="H274" s="225" t="s">
        <v>64</v>
      </c>
      <c r="I274" s="227" t="s">
        <v>50</v>
      </c>
      <c r="J274" s="1236"/>
      <c r="K274" s="1061"/>
      <c r="L274" s="120">
        <v>13.980507703595011</v>
      </c>
      <c r="M274" s="225" t="s">
        <v>64</v>
      </c>
      <c r="N274" s="255"/>
      <c r="O274" s="255"/>
      <c r="P274" s="255"/>
      <c r="Q274" s="255"/>
      <c r="R274" s="258"/>
      <c r="S274" s="120">
        <v>13.980507703595011</v>
      </c>
      <c r="T274" s="117">
        <v>3503.552697515353</v>
      </c>
      <c r="U274" s="256"/>
      <c r="V274" s="256"/>
      <c r="W274" s="120">
        <v>1.948225972120323</v>
      </c>
      <c r="X274" s="117">
        <v>488.23064975218551</v>
      </c>
      <c r="Y274" s="120">
        <v>2.3888481291269259</v>
      </c>
      <c r="Z274" s="117">
        <v>598.65174314127432</v>
      </c>
      <c r="AA274" s="252"/>
      <c r="AB274" s="252"/>
      <c r="AC274" s="120">
        <v>3.1694790902421128</v>
      </c>
      <c r="AD274" s="177">
        <v>794.27995404493254</v>
      </c>
      <c r="AE274" s="1174"/>
      <c r="AF274" s="1175"/>
      <c r="AG274" s="198">
        <v>13.980507703595011</v>
      </c>
      <c r="AH274" s="117">
        <v>7007.1053950307059</v>
      </c>
      <c r="AI274" s="176">
        <f t="shared" si="9"/>
        <v>7007.1053950307059</v>
      </c>
      <c r="AJ274" s="1003"/>
      <c r="AK274" s="979"/>
      <c r="AL274" s="1285"/>
      <c r="AM274" s="151"/>
      <c r="AN274" s="90"/>
      <c r="AO274" s="128"/>
      <c r="AP274" s="106"/>
    </row>
    <row r="275" spans="1:42" s="69" customFormat="1" ht="15" customHeight="1">
      <c r="A275" s="1212"/>
      <c r="B275" s="530"/>
      <c r="C275" s="525"/>
      <c r="D275" s="223" t="s">
        <v>811</v>
      </c>
      <c r="E275" s="225" t="s">
        <v>64</v>
      </c>
      <c r="F275" s="534" t="s">
        <v>151</v>
      </c>
      <c r="G275" s="39">
        <v>220.10271460014673</v>
      </c>
      <c r="H275" s="225" t="s">
        <v>64</v>
      </c>
      <c r="I275" s="227" t="s">
        <v>50</v>
      </c>
      <c r="J275" s="1236"/>
      <c r="K275" s="1061"/>
      <c r="L275" s="120">
        <v>15.399853264856933</v>
      </c>
      <c r="M275" s="225" t="s">
        <v>64</v>
      </c>
      <c r="N275" s="255"/>
      <c r="O275" s="255"/>
      <c r="P275" s="255"/>
      <c r="Q275" s="255"/>
      <c r="R275" s="258"/>
      <c r="S275" s="120">
        <v>15.399853264856933</v>
      </c>
      <c r="T275" s="117">
        <v>3859.2444989359083</v>
      </c>
      <c r="U275" s="256"/>
      <c r="V275" s="256"/>
      <c r="W275" s="120">
        <v>2.8613352898019078</v>
      </c>
      <c r="X275" s="117">
        <v>717.058291846119</v>
      </c>
      <c r="Y275" s="120">
        <v>2.4647835656639767</v>
      </c>
      <c r="Z275" s="117">
        <v>617.68136704026608</v>
      </c>
      <c r="AA275" s="252"/>
      <c r="AB275" s="252"/>
      <c r="AC275" s="120">
        <v>3.321349963316214</v>
      </c>
      <c r="AD275" s="177">
        <v>832.3392018429173</v>
      </c>
      <c r="AE275" s="1174"/>
      <c r="AF275" s="1175"/>
      <c r="AG275" s="198">
        <v>15.399853264856933</v>
      </c>
      <c r="AH275" s="117">
        <v>7718.4889978718165</v>
      </c>
      <c r="AI275" s="176">
        <f t="shared" si="9"/>
        <v>7718.4889978718165</v>
      </c>
      <c r="AJ275" s="1003"/>
      <c r="AK275" s="979"/>
      <c r="AL275" s="1285"/>
      <c r="AM275" s="151"/>
      <c r="AN275" s="90"/>
      <c r="AO275" s="128"/>
      <c r="AP275" s="106"/>
    </row>
    <row r="276" spans="1:42" s="69" customFormat="1" ht="15" customHeight="1">
      <c r="A276" s="1212"/>
      <c r="B276" s="530"/>
      <c r="C276" s="525"/>
      <c r="D276" s="223" t="s">
        <v>812</v>
      </c>
      <c r="E276" s="225" t="s">
        <v>64</v>
      </c>
      <c r="F276" s="534" t="s">
        <v>151</v>
      </c>
      <c r="G276" s="39">
        <v>440.20542920029345</v>
      </c>
      <c r="H276" s="225" t="s">
        <v>64</v>
      </c>
      <c r="I276" s="227" t="s">
        <v>50</v>
      </c>
      <c r="J276" s="1236"/>
      <c r="K276" s="1061"/>
      <c r="L276" s="120">
        <v>20.792369772560527</v>
      </c>
      <c r="M276" s="225" t="s">
        <v>64</v>
      </c>
      <c r="N276" s="255"/>
      <c r="O276" s="255"/>
      <c r="P276" s="255"/>
      <c r="Q276" s="255"/>
      <c r="R276" s="258"/>
      <c r="S276" s="120">
        <v>20.792369772560527</v>
      </c>
      <c r="T276" s="117">
        <v>5210.6235874151362</v>
      </c>
      <c r="U276" s="256"/>
      <c r="V276" s="256"/>
      <c r="W276" s="120">
        <v>5.7226705796038155</v>
      </c>
      <c r="X276" s="117">
        <v>1434.116583692238</v>
      </c>
      <c r="Y276" s="120">
        <v>2.8444607483492295</v>
      </c>
      <c r="Z276" s="117">
        <v>712.82948653523226</v>
      </c>
      <c r="AA276" s="252"/>
      <c r="AB276" s="252"/>
      <c r="AC276" s="120">
        <v>4.0807043286867204</v>
      </c>
      <c r="AD276" s="177">
        <v>1022.6354408328506</v>
      </c>
      <c r="AE276" s="1174"/>
      <c r="AF276" s="1175"/>
      <c r="AG276" s="198">
        <v>20.792369772560527</v>
      </c>
      <c r="AH276" s="117">
        <v>10421.247174830272</v>
      </c>
      <c r="AI276" s="176">
        <f t="shared" si="9"/>
        <v>10421.247174830272</v>
      </c>
      <c r="AJ276" s="1003"/>
      <c r="AK276" s="979"/>
      <c r="AL276" s="1285"/>
      <c r="AM276" s="151"/>
      <c r="AN276" s="90"/>
      <c r="AO276" s="128"/>
      <c r="AP276" s="106"/>
    </row>
    <row r="277" spans="1:42" s="69" customFormat="1" ht="15" customHeight="1">
      <c r="A277" s="1212"/>
      <c r="B277" s="530"/>
      <c r="C277" s="525"/>
      <c r="D277" s="223" t="s">
        <v>813</v>
      </c>
      <c r="E277" s="225" t="s">
        <v>64</v>
      </c>
      <c r="F277" s="534" t="s">
        <v>151</v>
      </c>
      <c r="G277" s="39">
        <v>22.010271460014675</v>
      </c>
      <c r="H277" s="225" t="s">
        <v>64</v>
      </c>
      <c r="I277" s="227" t="s">
        <v>50</v>
      </c>
      <c r="J277" s="1236"/>
      <c r="K277" s="1061"/>
      <c r="L277" s="120">
        <v>12.318415260454879</v>
      </c>
      <c r="M277" s="225" t="s">
        <v>64</v>
      </c>
      <c r="N277" s="255"/>
      <c r="O277" s="255"/>
      <c r="P277" s="255"/>
      <c r="Q277" s="255"/>
      <c r="R277" s="258"/>
      <c r="S277" s="120">
        <v>12.318415260454879</v>
      </c>
      <c r="T277" s="117">
        <v>3087.0278769477836</v>
      </c>
      <c r="U277" s="256"/>
      <c r="V277" s="256"/>
      <c r="W277" s="120">
        <v>0.28613352898019079</v>
      </c>
      <c r="X277" s="117">
        <v>71.705829184611929</v>
      </c>
      <c r="Y277" s="120">
        <v>2.3888481291269259</v>
      </c>
      <c r="Z277" s="117">
        <v>598.65174314127432</v>
      </c>
      <c r="AA277" s="252"/>
      <c r="AB277" s="252"/>
      <c r="AC277" s="120">
        <v>3.1694790902421128</v>
      </c>
      <c r="AD277" s="177">
        <v>794.27995404493254</v>
      </c>
      <c r="AE277" s="1174"/>
      <c r="AF277" s="1175"/>
      <c r="AG277" s="198">
        <v>12.318415260454879</v>
      </c>
      <c r="AH277" s="117">
        <v>6174.0557538955672</v>
      </c>
      <c r="AI277" s="176">
        <f t="shared" si="9"/>
        <v>6174.0557538955672</v>
      </c>
      <c r="AJ277" s="1003"/>
      <c r="AK277" s="979"/>
      <c r="AL277" s="1285"/>
      <c r="AM277" s="151"/>
      <c r="AN277" s="90"/>
      <c r="AO277" s="128"/>
      <c r="AP277" s="106"/>
    </row>
    <row r="278" spans="1:42" s="69" customFormat="1" ht="15" customHeight="1">
      <c r="A278" s="1212"/>
      <c r="B278" s="530"/>
      <c r="C278" s="525"/>
      <c r="D278" s="223" t="s">
        <v>814</v>
      </c>
      <c r="E278" s="225" t="s">
        <v>64</v>
      </c>
      <c r="F278" s="534" t="s">
        <v>151</v>
      </c>
      <c r="G278" s="39">
        <v>44.020542920029349</v>
      </c>
      <c r="H278" s="225" t="s">
        <v>64</v>
      </c>
      <c r="I278" s="227" t="s">
        <v>50</v>
      </c>
      <c r="J278" s="1236"/>
      <c r="K278" s="1061"/>
      <c r="L278" s="120">
        <v>12.60454878943507</v>
      </c>
      <c r="M278" s="225" t="s">
        <v>64</v>
      </c>
      <c r="N278" s="255"/>
      <c r="O278" s="255"/>
      <c r="P278" s="255"/>
      <c r="Q278" s="255"/>
      <c r="R278" s="258"/>
      <c r="S278" s="120">
        <v>12.60454878943507</v>
      </c>
      <c r="T278" s="117">
        <v>3158.7337061323947</v>
      </c>
      <c r="U278" s="256"/>
      <c r="V278" s="256"/>
      <c r="W278" s="120">
        <v>0.57226705796038158</v>
      </c>
      <c r="X278" s="117">
        <v>143.41165836922386</v>
      </c>
      <c r="Y278" s="120">
        <v>2.3888481291269259</v>
      </c>
      <c r="Z278" s="117">
        <v>598.65174314127432</v>
      </c>
      <c r="AA278" s="252"/>
      <c r="AB278" s="252"/>
      <c r="AC278" s="120">
        <v>3.1694790902421128</v>
      </c>
      <c r="AD278" s="177">
        <v>794.27995404493254</v>
      </c>
      <c r="AE278" s="1174"/>
      <c r="AF278" s="1175"/>
      <c r="AG278" s="198">
        <v>12.60454878943507</v>
      </c>
      <c r="AH278" s="117">
        <v>6317.4674122647893</v>
      </c>
      <c r="AI278" s="176">
        <f t="shared" si="9"/>
        <v>6317.4674122647893</v>
      </c>
      <c r="AJ278" s="1003"/>
      <c r="AK278" s="979"/>
      <c r="AL278" s="1285"/>
      <c r="AM278" s="151"/>
      <c r="AN278" s="90"/>
      <c r="AO278" s="128"/>
      <c r="AP278" s="106"/>
    </row>
    <row r="279" spans="1:42" s="69" customFormat="1" ht="15" customHeight="1">
      <c r="A279" s="1212"/>
      <c r="B279" s="530"/>
      <c r="C279" s="525"/>
      <c r="D279" s="223" t="s">
        <v>815</v>
      </c>
      <c r="E279" s="225" t="s">
        <v>64</v>
      </c>
      <c r="F279" s="534" t="s">
        <v>151</v>
      </c>
      <c r="G279" s="39">
        <v>66.030814380044021</v>
      </c>
      <c r="H279" s="225" t="s">
        <v>64</v>
      </c>
      <c r="I279" s="227" t="s">
        <v>50</v>
      </c>
      <c r="J279" s="1236"/>
      <c r="K279" s="1061"/>
      <c r="L279" s="120">
        <v>12.89068231841526</v>
      </c>
      <c r="M279" s="225" t="s">
        <v>64</v>
      </c>
      <c r="N279" s="255"/>
      <c r="O279" s="255"/>
      <c r="P279" s="255"/>
      <c r="Q279" s="255"/>
      <c r="R279" s="258"/>
      <c r="S279" s="120">
        <v>12.89068231841526</v>
      </c>
      <c r="T279" s="117">
        <v>3230.4395353170034</v>
      </c>
      <c r="U279" s="256"/>
      <c r="V279" s="256"/>
      <c r="W279" s="120">
        <v>0.85840058694057231</v>
      </c>
      <c r="X279" s="117">
        <v>215.11748755383604</v>
      </c>
      <c r="Y279" s="120">
        <v>2.3888481291269259</v>
      </c>
      <c r="Z279" s="117">
        <v>598.65174314127432</v>
      </c>
      <c r="AA279" s="252"/>
      <c r="AB279" s="252"/>
      <c r="AC279" s="120">
        <v>3.1694790902421128</v>
      </c>
      <c r="AD279" s="177">
        <v>794.27995404493254</v>
      </c>
      <c r="AE279" s="1174"/>
      <c r="AF279" s="1175"/>
      <c r="AG279" s="198">
        <v>12.89068231841526</v>
      </c>
      <c r="AH279" s="117">
        <v>6460.8790706340069</v>
      </c>
      <c r="AI279" s="176">
        <f t="shared" si="9"/>
        <v>6460.8790706340069</v>
      </c>
      <c r="AJ279" s="1003"/>
      <c r="AK279" s="979"/>
      <c r="AL279" s="1285"/>
      <c r="AM279" s="151"/>
      <c r="AN279" s="90"/>
      <c r="AO279" s="128"/>
      <c r="AP279" s="106"/>
    </row>
    <row r="280" spans="1:42" s="69" customFormat="1" ht="15" customHeight="1" thickBot="1">
      <c r="A280" s="1212"/>
      <c r="B280" s="531"/>
      <c r="C280" s="527"/>
      <c r="D280" s="224" t="s">
        <v>816</v>
      </c>
      <c r="E280" s="226" t="s">
        <v>64</v>
      </c>
      <c r="F280" s="536" t="s">
        <v>151</v>
      </c>
      <c r="G280" s="28">
        <v>5869.40572267058</v>
      </c>
      <c r="H280" s="226" t="s">
        <v>64</v>
      </c>
      <c r="I280" s="220" t="s">
        <v>50</v>
      </c>
      <c r="J280" s="1236"/>
      <c r="K280" s="1061"/>
      <c r="L280" s="28">
        <v>153.80777696258255</v>
      </c>
      <c r="M280" s="226" t="s">
        <v>64</v>
      </c>
      <c r="N280" s="257"/>
      <c r="O280" s="257"/>
      <c r="P280" s="257"/>
      <c r="Q280" s="257"/>
      <c r="R280" s="259"/>
      <c r="S280" s="28">
        <v>153.80777696258255</v>
      </c>
      <c r="T280" s="118">
        <v>38544.641103235976</v>
      </c>
      <c r="U280" s="257"/>
      <c r="V280" s="257"/>
      <c r="W280" s="28">
        <v>76.302274394717543</v>
      </c>
      <c r="X280" s="118">
        <v>19121.55444922988</v>
      </c>
      <c r="Y280" s="28">
        <v>12.209831254585474</v>
      </c>
      <c r="Z280" s="118">
        <v>3059.8164340777271</v>
      </c>
      <c r="AA280" s="254"/>
      <c r="AB280" s="254"/>
      <c r="AC280" s="28">
        <v>22.811445341159207</v>
      </c>
      <c r="AD280" s="180">
        <v>5716.6093359178294</v>
      </c>
      <c r="AE280" s="1174"/>
      <c r="AF280" s="1175"/>
      <c r="AG280" s="193">
        <v>153.80777696258255</v>
      </c>
      <c r="AH280" s="118">
        <v>77089.282206471951</v>
      </c>
      <c r="AI280" s="178">
        <f t="shared" si="9"/>
        <v>77089.282206471951</v>
      </c>
      <c r="AJ280" s="1003"/>
      <c r="AK280" s="980"/>
      <c r="AL280" s="1285"/>
      <c r="AM280" s="151"/>
      <c r="AN280" s="90"/>
      <c r="AO280" s="128"/>
      <c r="AP280" s="106"/>
    </row>
    <row r="281" spans="1:42" s="69" customFormat="1" ht="15" customHeight="1">
      <c r="A281" s="1212"/>
      <c r="B281" s="532">
        <v>11665</v>
      </c>
      <c r="C281" s="529">
        <v>34486</v>
      </c>
      <c r="D281" s="222" t="s">
        <v>845</v>
      </c>
      <c r="E281" s="250" t="s">
        <v>1</v>
      </c>
      <c r="F281" s="228" t="s">
        <v>64</v>
      </c>
      <c r="G281" s="9">
        <v>1498.635363169479</v>
      </c>
      <c r="H281" s="225" t="s">
        <v>221</v>
      </c>
      <c r="I281" s="228" t="s">
        <v>64</v>
      </c>
      <c r="J281" s="1236"/>
      <c r="K281" s="1061"/>
      <c r="L281" s="9">
        <v>76.217666911225237</v>
      </c>
      <c r="M281" s="12">
        <v>6.6969919295671314</v>
      </c>
      <c r="N281" s="255"/>
      <c r="O281" s="255"/>
      <c r="P281" s="255"/>
      <c r="Q281" s="255"/>
      <c r="R281" s="258"/>
      <c r="S281" s="120">
        <v>69.520674981658118</v>
      </c>
      <c r="T281" s="117">
        <v>6659.2501792705416</v>
      </c>
      <c r="U281" s="255"/>
      <c r="V281" s="255"/>
      <c r="W281" s="120">
        <v>19.482259721203231</v>
      </c>
      <c r="X281" s="117">
        <v>1866.1677490220968</v>
      </c>
      <c r="Y281" s="120">
        <v>4.1185282465150408</v>
      </c>
      <c r="Z281" s="117">
        <v>394.50580667077884</v>
      </c>
      <c r="AA281" s="252"/>
      <c r="AB281" s="252"/>
      <c r="AC281" s="120">
        <v>14.941091709464416</v>
      </c>
      <c r="AD281" s="177">
        <v>1213.6678048158308</v>
      </c>
      <c r="AE281" s="1174"/>
      <c r="AF281" s="1175"/>
      <c r="AG281" s="198">
        <v>69.520674981658118</v>
      </c>
      <c r="AH281" s="117">
        <v>13318.500358541083</v>
      </c>
      <c r="AI281" s="177">
        <f t="shared" si="9"/>
        <v>13318.500358541083</v>
      </c>
      <c r="AJ281" s="1003"/>
      <c r="AK281" s="978">
        <f>SUM(AI281:AI289)</f>
        <v>35186.127980848381</v>
      </c>
      <c r="AL281" s="1285"/>
      <c r="AM281" s="151"/>
      <c r="AN281" s="90"/>
      <c r="AO281" s="128"/>
      <c r="AP281" s="106"/>
    </row>
    <row r="282" spans="1:42" s="69" customFormat="1" ht="15" customHeight="1">
      <c r="A282" s="1212"/>
      <c r="B282" s="524"/>
      <c r="C282" s="525"/>
      <c r="D282" s="223" t="s">
        <v>808</v>
      </c>
      <c r="E282" s="225" t="s">
        <v>64</v>
      </c>
      <c r="F282" s="228" t="s">
        <v>64</v>
      </c>
      <c r="G282" s="7">
        <v>49.9545121056493</v>
      </c>
      <c r="H282" s="225" t="s">
        <v>64</v>
      </c>
      <c r="I282" s="228" t="s">
        <v>64</v>
      </c>
      <c r="J282" s="1236"/>
      <c r="K282" s="1061"/>
      <c r="L282" s="24">
        <v>12.681690388848128</v>
      </c>
      <c r="M282" s="225" t="s">
        <v>64</v>
      </c>
      <c r="N282" s="520"/>
      <c r="O282" s="520"/>
      <c r="P282" s="520"/>
      <c r="Q282" s="520"/>
      <c r="R282" s="521"/>
      <c r="S282" s="24">
        <v>12.681690388848128</v>
      </c>
      <c r="T282" s="159">
        <v>1214.7544456044377</v>
      </c>
      <c r="U282" s="522"/>
      <c r="V282" s="522"/>
      <c r="W282" s="24">
        <v>0.649408657373441</v>
      </c>
      <c r="X282" s="159">
        <v>62.205591634070032</v>
      </c>
      <c r="Y282" s="24">
        <v>2.3888481291269259</v>
      </c>
      <c r="Z282" s="159">
        <v>228.82311393460486</v>
      </c>
      <c r="AA282" s="523"/>
      <c r="AB282" s="523"/>
      <c r="AC282" s="24">
        <v>3.1694790902421128</v>
      </c>
      <c r="AD282" s="187">
        <v>257.45740703988412</v>
      </c>
      <c r="AE282" s="1174"/>
      <c r="AF282" s="1175"/>
      <c r="AG282" s="195">
        <v>12.681690388848128</v>
      </c>
      <c r="AH282" s="159">
        <v>2429.5088912088754</v>
      </c>
      <c r="AI282" s="176">
        <f t="shared" si="9"/>
        <v>2429.5088912088754</v>
      </c>
      <c r="AJ282" s="1003"/>
      <c r="AK282" s="979"/>
      <c r="AL282" s="1285"/>
      <c r="AM282" s="151"/>
      <c r="AN282" s="90"/>
      <c r="AO282" s="128"/>
      <c r="AP282" s="106"/>
    </row>
    <row r="283" spans="1:42" s="69" customFormat="1" ht="15" customHeight="1">
      <c r="A283" s="1212"/>
      <c r="B283" s="524"/>
      <c r="C283" s="525"/>
      <c r="D283" s="223" t="s">
        <v>809</v>
      </c>
      <c r="E283" s="225" t="s">
        <v>64</v>
      </c>
      <c r="F283" s="228" t="s">
        <v>64</v>
      </c>
      <c r="G283" s="7">
        <v>99.9090242112986</v>
      </c>
      <c r="H283" s="225" t="s">
        <v>64</v>
      </c>
      <c r="I283" s="228" t="s">
        <v>64</v>
      </c>
      <c r="J283" s="1236"/>
      <c r="K283" s="1061"/>
      <c r="L283" s="7">
        <v>13.477834189288336</v>
      </c>
      <c r="M283" s="225" t="s">
        <v>64</v>
      </c>
      <c r="N283" s="256"/>
      <c r="O283" s="256"/>
      <c r="P283" s="256"/>
      <c r="Q283" s="256"/>
      <c r="R283" s="537"/>
      <c r="S283" s="7">
        <v>13.477834189288336</v>
      </c>
      <c r="T283" s="157">
        <v>1291.0155110674166</v>
      </c>
      <c r="U283" s="256"/>
      <c r="V283" s="256"/>
      <c r="W283" s="7">
        <v>1.298817314746882</v>
      </c>
      <c r="X283" s="157">
        <v>124.41118326814006</v>
      </c>
      <c r="Y283" s="7">
        <v>2.3888481291269259</v>
      </c>
      <c r="Z283" s="157">
        <v>228.82311393460486</v>
      </c>
      <c r="AA283" s="253"/>
      <c r="AB283" s="523"/>
      <c r="AC283" s="7">
        <v>3.1694790902421128</v>
      </c>
      <c r="AD283" s="176">
        <v>257.45740703988412</v>
      </c>
      <c r="AE283" s="1174"/>
      <c r="AF283" s="1175"/>
      <c r="AG283" s="192">
        <v>13.477834189288336</v>
      </c>
      <c r="AH283" s="157">
        <v>2582.0310221348332</v>
      </c>
      <c r="AI283" s="176">
        <f t="shared" si="9"/>
        <v>2582.0310221348332</v>
      </c>
      <c r="AJ283" s="1003"/>
      <c r="AK283" s="979"/>
      <c r="AL283" s="1285"/>
      <c r="AM283" s="151"/>
      <c r="AN283" s="90"/>
      <c r="AO283" s="128"/>
      <c r="AP283" s="106"/>
    </row>
    <row r="284" spans="1:42" s="69" customFormat="1" ht="15" customHeight="1">
      <c r="A284" s="1212"/>
      <c r="B284" s="524"/>
      <c r="C284" s="525"/>
      <c r="D284" s="223" t="s">
        <v>810</v>
      </c>
      <c r="E284" s="225" t="s">
        <v>64</v>
      </c>
      <c r="F284" s="228" t="s">
        <v>64</v>
      </c>
      <c r="G284" s="7">
        <v>149.86353631694791</v>
      </c>
      <c r="H284" s="225" t="s">
        <v>64</v>
      </c>
      <c r="I284" s="228" t="s">
        <v>64</v>
      </c>
      <c r="J284" s="1236"/>
      <c r="K284" s="1061"/>
      <c r="L284" s="7">
        <v>13.980507703595011</v>
      </c>
      <c r="M284" s="225" t="s">
        <v>64</v>
      </c>
      <c r="N284" s="256"/>
      <c r="O284" s="256"/>
      <c r="P284" s="256"/>
      <c r="Q284" s="256"/>
      <c r="R284" s="537"/>
      <c r="S284" s="7">
        <v>13.980507703595011</v>
      </c>
      <c r="T284" s="157">
        <v>1339.1656288725796</v>
      </c>
      <c r="U284" s="256"/>
      <c r="V284" s="256"/>
      <c r="W284" s="7">
        <v>1.948225972120323</v>
      </c>
      <c r="X284" s="157">
        <v>186.61677490220995</v>
      </c>
      <c r="Y284" s="7">
        <v>2.3888481291269259</v>
      </c>
      <c r="Z284" s="157">
        <v>228.82311393460486</v>
      </c>
      <c r="AA284" s="253"/>
      <c r="AB284" s="523"/>
      <c r="AC284" s="7">
        <v>3.1694790902421128</v>
      </c>
      <c r="AD284" s="176">
        <v>257.45740703988412</v>
      </c>
      <c r="AE284" s="1174"/>
      <c r="AF284" s="1175"/>
      <c r="AG284" s="192">
        <v>13.980507703595011</v>
      </c>
      <c r="AH284" s="157">
        <v>2678.3312577451593</v>
      </c>
      <c r="AI284" s="176">
        <f t="shared" si="9"/>
        <v>2678.3312577451593</v>
      </c>
      <c r="AJ284" s="1003"/>
      <c r="AK284" s="979"/>
      <c r="AL284" s="1285"/>
      <c r="AM284" s="151"/>
      <c r="AN284" s="90"/>
      <c r="AO284" s="128"/>
      <c r="AP284" s="106"/>
    </row>
    <row r="285" spans="1:42" s="69" customFormat="1" ht="15" customHeight="1">
      <c r="A285" s="1212"/>
      <c r="B285" s="524"/>
      <c r="C285" s="525"/>
      <c r="D285" s="223" t="s">
        <v>811</v>
      </c>
      <c r="E285" s="225" t="s">
        <v>64</v>
      </c>
      <c r="F285" s="228" t="s">
        <v>64</v>
      </c>
      <c r="G285" s="19">
        <v>220.10271460014673</v>
      </c>
      <c r="H285" s="225" t="s">
        <v>64</v>
      </c>
      <c r="I285" s="228" t="s">
        <v>64</v>
      </c>
      <c r="J285" s="1236"/>
      <c r="K285" s="1061"/>
      <c r="L285" s="7">
        <v>15.399853264856933</v>
      </c>
      <c r="M285" s="225" t="s">
        <v>64</v>
      </c>
      <c r="N285" s="256"/>
      <c r="O285" s="256"/>
      <c r="P285" s="256"/>
      <c r="Q285" s="256"/>
      <c r="R285" s="537"/>
      <c r="S285" s="7">
        <v>15.399853264856933</v>
      </c>
      <c r="T285" s="157">
        <v>1475.1219783437825</v>
      </c>
      <c r="U285" s="256"/>
      <c r="V285" s="256"/>
      <c r="W285" s="7">
        <v>2.8613352898019078</v>
      </c>
      <c r="X285" s="157">
        <v>274.08173966368508</v>
      </c>
      <c r="Y285" s="7">
        <v>2.4647835656639767</v>
      </c>
      <c r="Z285" s="157">
        <v>236.09682164106411</v>
      </c>
      <c r="AA285" s="253"/>
      <c r="AB285" s="523"/>
      <c r="AC285" s="7">
        <v>3.321349963316214</v>
      </c>
      <c r="AD285" s="176">
        <v>269.79390779387847</v>
      </c>
      <c r="AE285" s="1174"/>
      <c r="AF285" s="1175"/>
      <c r="AG285" s="192">
        <v>15.399853264856933</v>
      </c>
      <c r="AH285" s="157">
        <v>2950.2439566875651</v>
      </c>
      <c r="AI285" s="176">
        <f t="shared" si="9"/>
        <v>2950.2439566875651</v>
      </c>
      <c r="AJ285" s="1003"/>
      <c r="AK285" s="979"/>
      <c r="AL285" s="1285"/>
      <c r="AM285" s="151"/>
      <c r="AN285" s="90"/>
      <c r="AO285" s="128"/>
      <c r="AP285" s="106"/>
    </row>
    <row r="286" spans="1:42" s="69" customFormat="1" ht="15" customHeight="1">
      <c r="A286" s="1212"/>
      <c r="B286" s="524"/>
      <c r="C286" s="525"/>
      <c r="D286" s="223" t="s">
        <v>812</v>
      </c>
      <c r="E286" s="225" t="s">
        <v>64</v>
      </c>
      <c r="F286" s="228" t="s">
        <v>64</v>
      </c>
      <c r="G286" s="19">
        <v>440.20542920029345</v>
      </c>
      <c r="H286" s="225" t="s">
        <v>64</v>
      </c>
      <c r="I286" s="228" t="s">
        <v>64</v>
      </c>
      <c r="J286" s="1236"/>
      <c r="K286" s="1061"/>
      <c r="L286" s="7">
        <v>20.792369772560527</v>
      </c>
      <c r="M286" s="225" t="s">
        <v>64</v>
      </c>
      <c r="N286" s="256"/>
      <c r="O286" s="256"/>
      <c r="P286" s="256"/>
      <c r="Q286" s="256"/>
      <c r="R286" s="537"/>
      <c r="S286" s="7">
        <v>20.792369772560527</v>
      </c>
      <c r="T286" s="157">
        <v>1991.6606415561159</v>
      </c>
      <c r="U286" s="256"/>
      <c r="V286" s="256"/>
      <c r="W286" s="7">
        <v>5.7226705796038155</v>
      </c>
      <c r="X286" s="157">
        <v>548.16347932737017</v>
      </c>
      <c r="Y286" s="7">
        <v>2.8444607483492295</v>
      </c>
      <c r="Z286" s="157">
        <v>272.46536017336143</v>
      </c>
      <c r="AA286" s="253"/>
      <c r="AB286" s="523"/>
      <c r="AC286" s="7">
        <v>4.0807043286867204</v>
      </c>
      <c r="AD286" s="176">
        <v>331.4764115638506</v>
      </c>
      <c r="AE286" s="1174"/>
      <c r="AF286" s="1175"/>
      <c r="AG286" s="192">
        <v>20.792369772560527</v>
      </c>
      <c r="AH286" s="157">
        <v>3983.3212831122319</v>
      </c>
      <c r="AI286" s="176">
        <f t="shared" si="9"/>
        <v>3983.3212831122319</v>
      </c>
      <c r="AJ286" s="1003"/>
      <c r="AK286" s="979"/>
      <c r="AL286" s="1285"/>
      <c r="AM286" s="151"/>
      <c r="AN286" s="90"/>
      <c r="AO286" s="128"/>
      <c r="AP286" s="106"/>
    </row>
    <row r="287" spans="1:42" s="69" customFormat="1" ht="15" customHeight="1">
      <c r="A287" s="1212"/>
      <c r="B287" s="524"/>
      <c r="C287" s="525"/>
      <c r="D287" s="223" t="s">
        <v>813</v>
      </c>
      <c r="E287" s="225" t="s">
        <v>64</v>
      </c>
      <c r="F287" s="228" t="s">
        <v>64</v>
      </c>
      <c r="G287" s="19">
        <v>22.010271460014675</v>
      </c>
      <c r="H287" s="225" t="s">
        <v>64</v>
      </c>
      <c r="I287" s="228" t="s">
        <v>64</v>
      </c>
      <c r="J287" s="1236"/>
      <c r="K287" s="1061"/>
      <c r="L287" s="7">
        <v>12.318415260454879</v>
      </c>
      <c r="M287" s="225" t="s">
        <v>64</v>
      </c>
      <c r="N287" s="256"/>
      <c r="O287" s="256"/>
      <c r="P287" s="256"/>
      <c r="Q287" s="256"/>
      <c r="R287" s="537"/>
      <c r="S287" s="7">
        <v>12.318415260454879</v>
      </c>
      <c r="T287" s="157">
        <v>1179.9570279367381</v>
      </c>
      <c r="U287" s="256"/>
      <c r="V287" s="256"/>
      <c r="W287" s="7">
        <v>0.28613352898019079</v>
      </c>
      <c r="X287" s="157">
        <v>27.40817396636853</v>
      </c>
      <c r="Y287" s="7">
        <v>2.3888481291269259</v>
      </c>
      <c r="Z287" s="157">
        <v>228.82311393460486</v>
      </c>
      <c r="AA287" s="253"/>
      <c r="AB287" s="523"/>
      <c r="AC287" s="7">
        <v>3.1694790902421128</v>
      </c>
      <c r="AD287" s="176">
        <v>257.45740703988412</v>
      </c>
      <c r="AE287" s="1174"/>
      <c r="AF287" s="1175"/>
      <c r="AG287" s="192">
        <v>12.318415260454879</v>
      </c>
      <c r="AH287" s="157">
        <v>2359.9140558734762</v>
      </c>
      <c r="AI287" s="176">
        <f t="shared" si="9"/>
        <v>2359.9140558734762</v>
      </c>
      <c r="AJ287" s="1003"/>
      <c r="AK287" s="979"/>
      <c r="AL287" s="1285"/>
      <c r="AM287" s="151"/>
      <c r="AN287" s="90"/>
      <c r="AO287" s="128"/>
      <c r="AP287" s="106"/>
    </row>
    <row r="288" spans="1:42" s="69" customFormat="1" ht="15" customHeight="1">
      <c r="A288" s="1212"/>
      <c r="B288" s="524"/>
      <c r="C288" s="525"/>
      <c r="D288" s="223" t="s">
        <v>814</v>
      </c>
      <c r="E288" s="225" t="s">
        <v>64</v>
      </c>
      <c r="F288" s="228" t="s">
        <v>64</v>
      </c>
      <c r="G288" s="19">
        <v>44.020542920029349</v>
      </c>
      <c r="H288" s="225" t="s">
        <v>64</v>
      </c>
      <c r="I288" s="228" t="s">
        <v>64</v>
      </c>
      <c r="J288" s="1236"/>
      <c r="K288" s="1061"/>
      <c r="L288" s="7">
        <v>12.60454878943507</v>
      </c>
      <c r="M288" s="225" t="s">
        <v>64</v>
      </c>
      <c r="N288" s="256"/>
      <c r="O288" s="256"/>
      <c r="P288" s="256"/>
      <c r="Q288" s="256"/>
      <c r="R288" s="537"/>
      <c r="S288" s="7">
        <v>12.60454878943507</v>
      </c>
      <c r="T288" s="157">
        <v>1207.3652019031051</v>
      </c>
      <c r="U288" s="256"/>
      <c r="V288" s="256"/>
      <c r="W288" s="7">
        <v>0.57226705796038158</v>
      </c>
      <c r="X288" s="157">
        <v>54.81634793273706</v>
      </c>
      <c r="Y288" s="7">
        <v>2.3888481291269259</v>
      </c>
      <c r="Z288" s="157">
        <v>228.82311393460486</v>
      </c>
      <c r="AA288" s="253"/>
      <c r="AB288" s="523"/>
      <c r="AC288" s="7">
        <v>3.1694790902421128</v>
      </c>
      <c r="AD288" s="176">
        <v>257.45740703988412</v>
      </c>
      <c r="AE288" s="1174"/>
      <c r="AF288" s="1175"/>
      <c r="AG288" s="192">
        <v>12.60454878943507</v>
      </c>
      <c r="AH288" s="157">
        <v>2414.7304038062102</v>
      </c>
      <c r="AI288" s="176">
        <f t="shared" si="9"/>
        <v>2414.7304038062102</v>
      </c>
      <c r="AJ288" s="1003"/>
      <c r="AK288" s="979"/>
      <c r="AL288" s="1285"/>
      <c r="AM288" s="151"/>
      <c r="AN288" s="90"/>
      <c r="AO288" s="128"/>
      <c r="AP288" s="106"/>
    </row>
    <row r="289" spans="1:42" s="69" customFormat="1" ht="15" customHeight="1" thickBot="1">
      <c r="A289" s="1212"/>
      <c r="B289" s="526"/>
      <c r="C289" s="527"/>
      <c r="D289" s="224" t="s">
        <v>815</v>
      </c>
      <c r="E289" s="226" t="s">
        <v>64</v>
      </c>
      <c r="F289" s="229" t="s">
        <v>64</v>
      </c>
      <c r="G289" s="52">
        <v>66.030814380044021</v>
      </c>
      <c r="H289" s="409" t="s">
        <v>64</v>
      </c>
      <c r="I289" s="313" t="s">
        <v>64</v>
      </c>
      <c r="J289" s="1236"/>
      <c r="K289" s="1061"/>
      <c r="L289" s="28">
        <v>12.89068231841526</v>
      </c>
      <c r="M289" s="226" t="s">
        <v>64</v>
      </c>
      <c r="N289" s="257"/>
      <c r="O289" s="257"/>
      <c r="P289" s="257"/>
      <c r="Q289" s="257"/>
      <c r="R289" s="259"/>
      <c r="S289" s="28">
        <v>12.89068231841526</v>
      </c>
      <c r="T289" s="118">
        <v>1234.7733758694756</v>
      </c>
      <c r="U289" s="257"/>
      <c r="V289" s="257"/>
      <c r="W289" s="28">
        <v>0.85840058694057231</v>
      </c>
      <c r="X289" s="118">
        <v>82.224521899105611</v>
      </c>
      <c r="Y289" s="28">
        <v>2.3888481291269259</v>
      </c>
      <c r="Z289" s="118">
        <v>228.82311393460486</v>
      </c>
      <c r="AA289" s="254"/>
      <c r="AB289" s="254"/>
      <c r="AC289" s="28">
        <v>3.1694790902421128</v>
      </c>
      <c r="AD289" s="180">
        <v>257.45740703988412</v>
      </c>
      <c r="AE289" s="1174"/>
      <c r="AF289" s="1175"/>
      <c r="AG289" s="193">
        <v>12.89068231841526</v>
      </c>
      <c r="AH289" s="118">
        <v>2469.5467517389511</v>
      </c>
      <c r="AI289" s="178">
        <f t="shared" si="9"/>
        <v>2469.5467517389511</v>
      </c>
      <c r="AJ289" s="1003"/>
      <c r="AK289" s="980"/>
      <c r="AL289" s="1285"/>
      <c r="AM289" s="151"/>
      <c r="AN289" s="90"/>
      <c r="AO289" s="128"/>
      <c r="AP289" s="106"/>
    </row>
    <row r="290" spans="1:42" s="69" customFormat="1" ht="15" customHeight="1">
      <c r="A290" s="1212"/>
      <c r="B290" s="528">
        <v>13459</v>
      </c>
      <c r="C290" s="529">
        <v>35612</v>
      </c>
      <c r="D290" s="222" t="s">
        <v>846</v>
      </c>
      <c r="E290" s="250" t="s">
        <v>1</v>
      </c>
      <c r="F290" s="228" t="s">
        <v>64</v>
      </c>
      <c r="G290" s="24">
        <v>1498.635363169479</v>
      </c>
      <c r="H290" s="225" t="s">
        <v>221</v>
      </c>
      <c r="I290" s="228" t="s">
        <v>64</v>
      </c>
      <c r="J290" s="1236"/>
      <c r="K290" s="1061"/>
      <c r="L290" s="120">
        <v>91.742245047688925</v>
      </c>
      <c r="M290" s="12">
        <v>19.568598679383712</v>
      </c>
      <c r="N290" s="255"/>
      <c r="O290" s="255"/>
      <c r="P290" s="255"/>
      <c r="Q290" s="255"/>
      <c r="R290" s="258"/>
      <c r="S290" s="120">
        <v>72.173646368305214</v>
      </c>
      <c r="T290" s="117">
        <v>2879.4781024101949</v>
      </c>
      <c r="U290" s="255"/>
      <c r="V290" s="255"/>
      <c r="W290" s="120">
        <v>19.482259721203231</v>
      </c>
      <c r="X290" s="117">
        <v>777.27457424554348</v>
      </c>
      <c r="Y290" s="120">
        <v>4.8698121790168747</v>
      </c>
      <c r="Z290" s="117">
        <v>194.28861139663178</v>
      </c>
      <c r="AA290" s="252"/>
      <c r="AB290" s="538"/>
      <c r="AC290" s="120">
        <v>15.465816581071167</v>
      </c>
      <c r="AD290" s="177">
        <v>617.03242695859774</v>
      </c>
      <c r="AE290" s="1174"/>
      <c r="AF290" s="1175"/>
      <c r="AG290" s="198">
        <v>72.173646368305214</v>
      </c>
      <c r="AH290" s="117">
        <v>5758.9562048203898</v>
      </c>
      <c r="AI290" s="177">
        <f t="shared" si="9"/>
        <v>5758.9562048203898</v>
      </c>
      <c r="AJ290" s="1003"/>
      <c r="AK290" s="978">
        <f>SUM(AI290:AI298)</f>
        <v>21599.363781786495</v>
      </c>
      <c r="AL290" s="1285"/>
      <c r="AM290" s="151"/>
      <c r="AN290" s="90"/>
      <c r="AO290" s="128"/>
      <c r="AP290" s="106"/>
    </row>
    <row r="291" spans="1:42" s="69" customFormat="1" ht="15" customHeight="1">
      <c r="A291" s="1212"/>
      <c r="B291" s="530"/>
      <c r="C291" s="533"/>
      <c r="D291" s="223" t="s">
        <v>808</v>
      </c>
      <c r="E291" s="225" t="s">
        <v>64</v>
      </c>
      <c r="F291" s="228" t="s">
        <v>64</v>
      </c>
      <c r="G291" s="7">
        <v>49.9545121056493</v>
      </c>
      <c r="H291" s="225" t="s">
        <v>64</v>
      </c>
      <c r="I291" s="228" t="s">
        <v>64</v>
      </c>
      <c r="J291" s="1236"/>
      <c r="K291" s="1061"/>
      <c r="L291" s="7">
        <v>23.246620689655174</v>
      </c>
      <c r="M291" s="225" t="s">
        <v>64</v>
      </c>
      <c r="N291" s="256"/>
      <c r="O291" s="256"/>
      <c r="P291" s="256"/>
      <c r="Q291" s="256"/>
      <c r="R291" s="537"/>
      <c r="S291" s="7">
        <v>23.246620689655174</v>
      </c>
      <c r="T291" s="157">
        <v>927.45951741595093</v>
      </c>
      <c r="U291" s="256"/>
      <c r="V291" s="256"/>
      <c r="W291" s="7">
        <v>0.649408657373441</v>
      </c>
      <c r="X291" s="157">
        <v>25.909152474851435</v>
      </c>
      <c r="Y291" s="7">
        <v>4.8422597212032281</v>
      </c>
      <c r="Z291" s="157">
        <v>193.18936391594957</v>
      </c>
      <c r="AA291" s="253"/>
      <c r="AB291" s="523"/>
      <c r="AC291" s="7">
        <v>5.8987527512839328</v>
      </c>
      <c r="AD291" s="176">
        <v>235.33977058852071</v>
      </c>
      <c r="AE291" s="1174"/>
      <c r="AF291" s="1175"/>
      <c r="AG291" s="192">
        <v>23.246620689655174</v>
      </c>
      <c r="AH291" s="157">
        <v>1854.9190348319019</v>
      </c>
      <c r="AI291" s="176">
        <f t="shared" si="9"/>
        <v>1854.9190348319019</v>
      </c>
      <c r="AJ291" s="1003"/>
      <c r="AK291" s="979"/>
      <c r="AL291" s="1285"/>
      <c r="AM291" s="151"/>
      <c r="AN291" s="90"/>
      <c r="AO291" s="128"/>
      <c r="AP291" s="106"/>
    </row>
    <row r="292" spans="1:42" s="69" customFormat="1" ht="15" customHeight="1">
      <c r="A292" s="1212"/>
      <c r="B292" s="530"/>
      <c r="C292" s="533"/>
      <c r="D292" s="223" t="s">
        <v>809</v>
      </c>
      <c r="E292" s="225" t="s">
        <v>64</v>
      </c>
      <c r="F292" s="228" t="s">
        <v>64</v>
      </c>
      <c r="G292" s="7">
        <v>99.9090242112986</v>
      </c>
      <c r="H292" s="225" t="s">
        <v>64</v>
      </c>
      <c r="I292" s="228" t="s">
        <v>64</v>
      </c>
      <c r="J292" s="1236"/>
      <c r="K292" s="1061"/>
      <c r="L292" s="7">
        <v>23.896029347028612</v>
      </c>
      <c r="M292" s="225" t="s">
        <v>64</v>
      </c>
      <c r="N292" s="256"/>
      <c r="O292" s="256"/>
      <c r="P292" s="256"/>
      <c r="Q292" s="256"/>
      <c r="R292" s="537"/>
      <c r="S292" s="7">
        <v>23.896029347028612</v>
      </c>
      <c r="T292" s="157">
        <v>953.36866989080158</v>
      </c>
      <c r="U292" s="256"/>
      <c r="V292" s="256"/>
      <c r="W292" s="7">
        <v>1.298817314746882</v>
      </c>
      <c r="X292" s="157">
        <v>51.81830494970287</v>
      </c>
      <c r="Y292" s="7">
        <v>4.8422597212032281</v>
      </c>
      <c r="Z292" s="157">
        <v>193.18936391594957</v>
      </c>
      <c r="AA292" s="253"/>
      <c r="AB292" s="523"/>
      <c r="AC292" s="7">
        <v>5.8987527512839328</v>
      </c>
      <c r="AD292" s="176">
        <v>235.33977058852071</v>
      </c>
      <c r="AE292" s="1174"/>
      <c r="AF292" s="1175"/>
      <c r="AG292" s="192">
        <v>23.896029347028612</v>
      </c>
      <c r="AH292" s="157">
        <v>1906.7373397816032</v>
      </c>
      <c r="AI292" s="176">
        <f t="shared" si="9"/>
        <v>1906.7373397816032</v>
      </c>
      <c r="AJ292" s="1003"/>
      <c r="AK292" s="979"/>
      <c r="AL292" s="1285"/>
      <c r="AM292" s="151"/>
      <c r="AN292" s="90"/>
      <c r="AO292" s="128"/>
      <c r="AP292" s="106"/>
    </row>
    <row r="293" spans="1:42" s="69" customFormat="1" ht="15" customHeight="1">
      <c r="A293" s="1212"/>
      <c r="B293" s="530"/>
      <c r="C293" s="533"/>
      <c r="D293" s="223" t="s">
        <v>810</v>
      </c>
      <c r="E293" s="225" t="s">
        <v>64</v>
      </c>
      <c r="F293" s="228" t="s">
        <v>64</v>
      </c>
      <c r="G293" s="7">
        <v>149.86353631694791</v>
      </c>
      <c r="H293" s="225" t="s">
        <v>64</v>
      </c>
      <c r="I293" s="228" t="s">
        <v>64</v>
      </c>
      <c r="J293" s="1236"/>
      <c r="K293" s="1061"/>
      <c r="L293" s="7">
        <v>24.545438004402055</v>
      </c>
      <c r="M293" s="225" t="s">
        <v>64</v>
      </c>
      <c r="N293" s="256"/>
      <c r="O293" s="256"/>
      <c r="P293" s="256"/>
      <c r="Q293" s="256"/>
      <c r="R293" s="537"/>
      <c r="S293" s="7">
        <v>24.545438004402055</v>
      </c>
      <c r="T293" s="157">
        <v>979.27782236565383</v>
      </c>
      <c r="U293" s="256"/>
      <c r="V293" s="256"/>
      <c r="W293" s="7">
        <v>1.948225972120323</v>
      </c>
      <c r="X293" s="157">
        <v>77.727457424554345</v>
      </c>
      <c r="Y293" s="7">
        <v>4.8422597212032281</v>
      </c>
      <c r="Z293" s="157">
        <v>193.18936391594957</v>
      </c>
      <c r="AA293" s="253"/>
      <c r="AB293" s="523"/>
      <c r="AC293" s="7">
        <v>5.8987527512839328</v>
      </c>
      <c r="AD293" s="176">
        <v>235.33977058852071</v>
      </c>
      <c r="AE293" s="1174"/>
      <c r="AF293" s="1175"/>
      <c r="AG293" s="192">
        <v>24.545438004402055</v>
      </c>
      <c r="AH293" s="157">
        <v>1958.5556447313077</v>
      </c>
      <c r="AI293" s="176">
        <f t="shared" si="9"/>
        <v>1958.5556447313077</v>
      </c>
      <c r="AJ293" s="1003"/>
      <c r="AK293" s="979"/>
      <c r="AL293" s="1285"/>
      <c r="AM293" s="151"/>
      <c r="AN293" s="90"/>
      <c r="AO293" s="128"/>
      <c r="AP293" s="106"/>
    </row>
    <row r="294" spans="1:42" s="69" customFormat="1" ht="15" customHeight="1">
      <c r="A294" s="1212"/>
      <c r="B294" s="530"/>
      <c r="C294" s="533"/>
      <c r="D294" s="223" t="s">
        <v>811</v>
      </c>
      <c r="E294" s="225" t="s">
        <v>64</v>
      </c>
      <c r="F294" s="228" t="s">
        <v>64</v>
      </c>
      <c r="G294" s="19">
        <v>220.10271460014673</v>
      </c>
      <c r="H294" s="225" t="s">
        <v>64</v>
      </c>
      <c r="I294" s="228" t="s">
        <v>64</v>
      </c>
      <c r="J294" s="1236"/>
      <c r="K294" s="1061"/>
      <c r="L294" s="7">
        <v>25.964783565663975</v>
      </c>
      <c r="M294" s="225" t="s">
        <v>64</v>
      </c>
      <c r="N294" s="256"/>
      <c r="O294" s="256"/>
      <c r="P294" s="256"/>
      <c r="Q294" s="256"/>
      <c r="R294" s="537"/>
      <c r="S294" s="7">
        <v>25.964783565663975</v>
      </c>
      <c r="T294" s="157">
        <v>1035.9047862099203</v>
      </c>
      <c r="U294" s="256"/>
      <c r="V294" s="256"/>
      <c r="W294" s="7">
        <v>2.8613352898019078</v>
      </c>
      <c r="X294" s="157">
        <v>114.15735140487956</v>
      </c>
      <c r="Y294" s="7">
        <v>4.9181951577402785</v>
      </c>
      <c r="Z294" s="157">
        <v>196.21892439554105</v>
      </c>
      <c r="AA294" s="253"/>
      <c r="AB294" s="523"/>
      <c r="AC294" s="7">
        <v>6.0506236243580336</v>
      </c>
      <c r="AD294" s="176">
        <v>241.39889154770287</v>
      </c>
      <c r="AE294" s="1174"/>
      <c r="AF294" s="1175"/>
      <c r="AG294" s="192">
        <v>25.964783565663975</v>
      </c>
      <c r="AH294" s="157">
        <v>2071.8095724198406</v>
      </c>
      <c r="AI294" s="176">
        <f t="shared" si="9"/>
        <v>2071.8095724198406</v>
      </c>
      <c r="AJ294" s="1003"/>
      <c r="AK294" s="979"/>
      <c r="AL294" s="1285"/>
      <c r="AM294" s="151"/>
      <c r="AN294" s="90"/>
      <c r="AO294" s="128"/>
      <c r="AP294" s="106"/>
    </row>
    <row r="295" spans="1:42" s="69" customFormat="1" ht="15" customHeight="1">
      <c r="A295" s="1212"/>
      <c r="B295" s="530"/>
      <c r="C295" s="533"/>
      <c r="D295" s="223" t="s">
        <v>812</v>
      </c>
      <c r="E295" s="225" t="s">
        <v>64</v>
      </c>
      <c r="F295" s="228" t="s">
        <v>64</v>
      </c>
      <c r="G295" s="19">
        <v>440.20542920029345</v>
      </c>
      <c r="H295" s="225" t="s">
        <v>64</v>
      </c>
      <c r="I295" s="228" t="s">
        <v>64</v>
      </c>
      <c r="J295" s="1236"/>
      <c r="K295" s="1061"/>
      <c r="L295" s="7">
        <v>31.357300073367572</v>
      </c>
      <c r="M295" s="225" t="s">
        <v>64</v>
      </c>
      <c r="N295" s="256"/>
      <c r="O295" s="256"/>
      <c r="P295" s="256"/>
      <c r="Q295" s="256"/>
      <c r="R295" s="537"/>
      <c r="S295" s="7">
        <v>31.357300073367572</v>
      </c>
      <c r="T295" s="157">
        <v>1251.0474869344989</v>
      </c>
      <c r="U295" s="256"/>
      <c r="V295" s="256"/>
      <c r="W295" s="7">
        <v>5.7226705796038155</v>
      </c>
      <c r="X295" s="157">
        <v>228.31470280975913</v>
      </c>
      <c r="Y295" s="7">
        <v>5.2978723404255321</v>
      </c>
      <c r="Z295" s="157">
        <v>211.36672679349593</v>
      </c>
      <c r="AA295" s="253"/>
      <c r="AB295" s="523"/>
      <c r="AC295" s="7">
        <v>6.80997798972854</v>
      </c>
      <c r="AD295" s="176">
        <v>271.69449634361348</v>
      </c>
      <c r="AE295" s="1174"/>
      <c r="AF295" s="1175"/>
      <c r="AG295" s="192">
        <v>31.357300073367572</v>
      </c>
      <c r="AH295" s="157">
        <v>2502.0949738689978</v>
      </c>
      <c r="AI295" s="176">
        <f t="shared" si="9"/>
        <v>2502.0949738689978</v>
      </c>
      <c r="AJ295" s="1003"/>
      <c r="AK295" s="979"/>
      <c r="AL295" s="1285"/>
      <c r="AM295" s="151"/>
      <c r="AN295" s="90"/>
      <c r="AO295" s="128"/>
      <c r="AP295" s="106"/>
    </row>
    <row r="296" spans="1:42" s="69" customFormat="1" ht="15" customHeight="1">
      <c r="A296" s="1212"/>
      <c r="B296" s="530"/>
      <c r="C296" s="533"/>
      <c r="D296" s="223" t="s">
        <v>813</v>
      </c>
      <c r="E296" s="225" t="s">
        <v>64</v>
      </c>
      <c r="F296" s="228" t="s">
        <v>64</v>
      </c>
      <c r="G296" s="19">
        <v>22.010271460014675</v>
      </c>
      <c r="H296" s="225" t="s">
        <v>64</v>
      </c>
      <c r="I296" s="228" t="s">
        <v>64</v>
      </c>
      <c r="J296" s="1236"/>
      <c r="K296" s="1061"/>
      <c r="L296" s="7">
        <v>22.883345561261923</v>
      </c>
      <c r="M296" s="225" t="s">
        <v>64</v>
      </c>
      <c r="N296" s="256"/>
      <c r="O296" s="256"/>
      <c r="P296" s="256"/>
      <c r="Q296" s="256"/>
      <c r="R296" s="537"/>
      <c r="S296" s="7">
        <v>22.883345561261923</v>
      </c>
      <c r="T296" s="157">
        <v>912.96610008158723</v>
      </c>
      <c r="U296" s="256"/>
      <c r="V296" s="256"/>
      <c r="W296" s="7">
        <v>0.28613352898019079</v>
      </c>
      <c r="X296" s="157">
        <v>11.415735140487939</v>
      </c>
      <c r="Y296" s="7">
        <v>4.8422597212032281</v>
      </c>
      <c r="Z296" s="157">
        <v>193.18936391594957</v>
      </c>
      <c r="AA296" s="253"/>
      <c r="AB296" s="523"/>
      <c r="AC296" s="7">
        <v>5.8987527512839328</v>
      </c>
      <c r="AD296" s="176">
        <v>235.33977058852071</v>
      </c>
      <c r="AE296" s="1174"/>
      <c r="AF296" s="1175"/>
      <c r="AG296" s="192">
        <v>22.883345561261923</v>
      </c>
      <c r="AH296" s="157">
        <v>1825.9322001631745</v>
      </c>
      <c r="AI296" s="176">
        <f t="shared" si="9"/>
        <v>1825.9322001631745</v>
      </c>
      <c r="AJ296" s="1003"/>
      <c r="AK296" s="979"/>
      <c r="AL296" s="1285"/>
      <c r="AM296" s="151"/>
      <c r="AN296" s="90"/>
      <c r="AO296" s="128"/>
      <c r="AP296" s="106"/>
    </row>
    <row r="297" spans="1:42" s="69" customFormat="1" ht="15" customHeight="1">
      <c r="A297" s="1212"/>
      <c r="B297" s="530"/>
      <c r="C297" s="533"/>
      <c r="D297" s="223" t="s">
        <v>814</v>
      </c>
      <c r="E297" s="225" t="s">
        <v>64</v>
      </c>
      <c r="F297" s="228" t="s">
        <v>64</v>
      </c>
      <c r="G297" s="123">
        <v>44.020542920029349</v>
      </c>
      <c r="H297" s="225" t="s">
        <v>64</v>
      </c>
      <c r="I297" s="228" t="s">
        <v>64</v>
      </c>
      <c r="J297" s="1236"/>
      <c r="K297" s="1061"/>
      <c r="L297" s="7">
        <v>23.169479090242113</v>
      </c>
      <c r="M297" s="225" t="s">
        <v>64</v>
      </c>
      <c r="N297" s="256"/>
      <c r="O297" s="256"/>
      <c r="P297" s="256"/>
      <c r="Q297" s="256"/>
      <c r="R297" s="537"/>
      <c r="S297" s="7">
        <v>23.169479090242113</v>
      </c>
      <c r="T297" s="157">
        <v>924.38183522207464</v>
      </c>
      <c r="U297" s="256"/>
      <c r="V297" s="256"/>
      <c r="W297" s="7">
        <v>0.57226705796038158</v>
      </c>
      <c r="X297" s="157">
        <v>22.831470280975878</v>
      </c>
      <c r="Y297" s="7">
        <v>4.8422597212032281</v>
      </c>
      <c r="Z297" s="157">
        <v>193.18936391594957</v>
      </c>
      <c r="AA297" s="253"/>
      <c r="AB297" s="523"/>
      <c r="AC297" s="24">
        <v>5.8987527512839328</v>
      </c>
      <c r="AD297" s="187">
        <v>235.33977058852071</v>
      </c>
      <c r="AE297" s="1174"/>
      <c r="AF297" s="1175"/>
      <c r="AG297" s="195">
        <v>23.169479090242113</v>
      </c>
      <c r="AH297" s="159">
        <v>1848.7636704441493</v>
      </c>
      <c r="AI297" s="176">
        <f t="shared" si="9"/>
        <v>1848.7636704441493</v>
      </c>
      <c r="AJ297" s="1003"/>
      <c r="AK297" s="979"/>
      <c r="AL297" s="1285"/>
      <c r="AM297" s="151"/>
      <c r="AN297" s="90"/>
      <c r="AO297" s="128"/>
      <c r="AP297" s="106"/>
    </row>
    <row r="298" spans="1:42" s="69" customFormat="1" ht="15.75" customHeight="1" thickBot="1">
      <c r="A298" s="1213"/>
      <c r="B298" s="531"/>
      <c r="C298" s="527"/>
      <c r="D298" s="224" t="s">
        <v>815</v>
      </c>
      <c r="E298" s="226" t="s">
        <v>64</v>
      </c>
      <c r="F298" s="229" t="s">
        <v>64</v>
      </c>
      <c r="G298" s="219">
        <v>66.030814380044021</v>
      </c>
      <c r="H298" s="226" t="s">
        <v>64</v>
      </c>
      <c r="I298" s="229" t="s">
        <v>64</v>
      </c>
      <c r="J298" s="1236"/>
      <c r="K298" s="1061"/>
      <c r="L298" s="28">
        <v>23.455612619222304</v>
      </c>
      <c r="M298" s="226" t="s">
        <v>64</v>
      </c>
      <c r="N298" s="257"/>
      <c r="O298" s="257"/>
      <c r="P298" s="257"/>
      <c r="Q298" s="257"/>
      <c r="R298" s="259"/>
      <c r="S298" s="28">
        <v>23.455612619222304</v>
      </c>
      <c r="T298" s="118">
        <v>935.79757036256285</v>
      </c>
      <c r="U298" s="257"/>
      <c r="V298" s="257"/>
      <c r="W298" s="28">
        <v>0.85840058694057231</v>
      </c>
      <c r="X298" s="118">
        <v>34.247205421463846</v>
      </c>
      <c r="Y298" s="28">
        <v>4.8422597212032281</v>
      </c>
      <c r="Z298" s="118">
        <v>193.18936391594957</v>
      </c>
      <c r="AA298" s="254"/>
      <c r="AB298" s="254"/>
      <c r="AC298" s="28">
        <v>5.8987527512839328</v>
      </c>
      <c r="AD298" s="180">
        <v>235.33977058852071</v>
      </c>
      <c r="AE298" s="1174"/>
      <c r="AF298" s="1175"/>
      <c r="AG298" s="193">
        <v>23.455612619222304</v>
      </c>
      <c r="AH298" s="118">
        <v>1871.5951407251257</v>
      </c>
      <c r="AI298" s="178">
        <f t="shared" si="9"/>
        <v>1871.5951407251257</v>
      </c>
      <c r="AJ298" s="1004"/>
      <c r="AK298" s="980"/>
      <c r="AL298" s="1286"/>
      <c r="AM298" s="151"/>
      <c r="AN298" s="90"/>
      <c r="AO298" s="128"/>
      <c r="AP298" s="106"/>
    </row>
    <row r="299" spans="1:42" s="69" customFormat="1" ht="12.75" customHeight="1">
      <c r="A299" s="1207" t="s">
        <v>26</v>
      </c>
      <c r="B299" s="465" t="s">
        <v>151</v>
      </c>
      <c r="C299" s="386" t="s">
        <v>151</v>
      </c>
      <c r="D299" s="222" t="s">
        <v>847</v>
      </c>
      <c r="E299" s="250" t="s">
        <v>1</v>
      </c>
      <c r="F299" s="241" t="s">
        <v>89</v>
      </c>
      <c r="G299" s="11">
        <v>1498.635363169479</v>
      </c>
      <c r="H299" s="225" t="s">
        <v>221</v>
      </c>
      <c r="I299" s="6">
        <v>178.55</v>
      </c>
      <c r="J299" s="1236"/>
      <c r="K299" s="1061"/>
      <c r="L299" s="120">
        <v>150.11738811445341</v>
      </c>
      <c r="M299" s="12">
        <v>31.01</v>
      </c>
      <c r="N299" s="255"/>
      <c r="O299" s="255"/>
      <c r="P299" s="255"/>
      <c r="Q299" s="255"/>
      <c r="R299" s="258"/>
      <c r="S299" s="120">
        <v>119.10344827586206</v>
      </c>
      <c r="T299" s="117">
        <v>2546.814440690528</v>
      </c>
      <c r="U299" s="6">
        <v>2.3199999999999998</v>
      </c>
      <c r="V299" s="120">
        <v>19.482259721203231</v>
      </c>
      <c r="W299" s="120">
        <v>19.482259721203231</v>
      </c>
      <c r="X299" s="117">
        <v>416.5933154204024</v>
      </c>
      <c r="Y299" s="120">
        <v>6.9411239911958917</v>
      </c>
      <c r="Z299" s="117">
        <v>148.42353492954069</v>
      </c>
      <c r="AA299" s="252"/>
      <c r="AB299" s="252"/>
      <c r="AC299" s="120">
        <v>29.174984592809974</v>
      </c>
      <c r="AD299" s="177">
        <v>623.85491892555615</v>
      </c>
      <c r="AE299" s="1174"/>
      <c r="AF299" s="1175"/>
      <c r="AG299" s="209">
        <v>119.10344827586206</v>
      </c>
      <c r="AH299" s="117">
        <v>5093.6288813810561</v>
      </c>
      <c r="AI299" s="177">
        <f t="shared" si="9"/>
        <v>5093.6288813810561</v>
      </c>
      <c r="AJ299" s="975">
        <v>46155</v>
      </c>
      <c r="AK299" s="1019">
        <f>SUM(AI299:AI307)</f>
        <v>12372.733989778008</v>
      </c>
      <c r="AL299" s="1005">
        <f>AK299+AK308+AK320+AK332</f>
        <v>97112.693507298318</v>
      </c>
      <c r="AM299" s="151"/>
      <c r="AN299" s="108"/>
      <c r="AO299" s="128"/>
      <c r="AP299" s="106"/>
    </row>
    <row r="300" spans="1:42" s="69" customFormat="1" ht="12.75" customHeight="1">
      <c r="A300" s="1208"/>
      <c r="B300" s="550"/>
      <c r="C300" s="18"/>
      <c r="D300" s="223" t="s">
        <v>808</v>
      </c>
      <c r="E300" s="225" t="s">
        <v>64</v>
      </c>
      <c r="F300" s="228" t="s">
        <v>64</v>
      </c>
      <c r="G300" s="11">
        <v>49.9545121056493</v>
      </c>
      <c r="H300" s="225" t="s">
        <v>64</v>
      </c>
      <c r="I300" s="228" t="s">
        <v>64</v>
      </c>
      <c r="J300" s="1236"/>
      <c r="K300" s="1061"/>
      <c r="L300" s="120">
        <v>20.018447542186355</v>
      </c>
      <c r="M300" s="225" t="s">
        <v>64</v>
      </c>
      <c r="N300" s="255"/>
      <c r="O300" s="255"/>
      <c r="P300" s="255"/>
      <c r="Q300" s="255"/>
      <c r="R300" s="258"/>
      <c r="S300" s="120">
        <v>20.018447542186355</v>
      </c>
      <c r="T300" s="117">
        <v>428.05873397183927</v>
      </c>
      <c r="U300" s="228" t="s">
        <v>64</v>
      </c>
      <c r="V300" s="120">
        <v>0.649408657373441</v>
      </c>
      <c r="W300" s="120">
        <v>0.649408657373441</v>
      </c>
      <c r="X300" s="117">
        <v>13.88644384734677</v>
      </c>
      <c r="Y300" s="120">
        <v>4.8422597212032281</v>
      </c>
      <c r="Z300" s="117">
        <v>103.54307253112313</v>
      </c>
      <c r="AA300" s="252"/>
      <c r="AB300" s="252"/>
      <c r="AC300" s="120">
        <v>4.9303008070432872</v>
      </c>
      <c r="AD300" s="177">
        <v>105.42567384987099</v>
      </c>
      <c r="AE300" s="1174"/>
      <c r="AF300" s="1175"/>
      <c r="AG300" s="209">
        <v>20.018447542186355</v>
      </c>
      <c r="AH300" s="117">
        <v>856.11746794367855</v>
      </c>
      <c r="AI300" s="177">
        <f t="shared" si="9"/>
        <v>856.11746794367855</v>
      </c>
      <c r="AJ300" s="976"/>
      <c r="AK300" s="1020"/>
      <c r="AL300" s="1006"/>
      <c r="AM300" s="151"/>
      <c r="AN300" s="108"/>
      <c r="AO300" s="128"/>
      <c r="AP300" s="106"/>
    </row>
    <row r="301" spans="1:42" s="69" customFormat="1" ht="12.75" customHeight="1">
      <c r="A301" s="1208"/>
      <c r="B301" s="550"/>
      <c r="C301" s="18"/>
      <c r="D301" s="223" t="s">
        <v>809</v>
      </c>
      <c r="E301" s="225" t="s">
        <v>64</v>
      </c>
      <c r="F301" s="228" t="s">
        <v>64</v>
      </c>
      <c r="G301" s="11">
        <v>99.9090242112986</v>
      </c>
      <c r="H301" s="225" t="s">
        <v>64</v>
      </c>
      <c r="I301" s="228" t="s">
        <v>64</v>
      </c>
      <c r="J301" s="1236"/>
      <c r="K301" s="1061"/>
      <c r="L301" s="120">
        <v>20.667856199559793</v>
      </c>
      <c r="M301" s="225" t="s">
        <v>64</v>
      </c>
      <c r="N301" s="255"/>
      <c r="O301" s="255"/>
      <c r="P301" s="255"/>
      <c r="Q301" s="255"/>
      <c r="R301" s="258"/>
      <c r="S301" s="120">
        <v>20.667856199559793</v>
      </c>
      <c r="T301" s="117">
        <v>441.94517781918654</v>
      </c>
      <c r="U301" s="228" t="s">
        <v>64</v>
      </c>
      <c r="V301" s="120">
        <v>1.298817314746882</v>
      </c>
      <c r="W301" s="120">
        <v>1.298817314746882</v>
      </c>
      <c r="X301" s="117">
        <v>27.772887694693541</v>
      </c>
      <c r="Y301" s="120">
        <v>4.8422597212032281</v>
      </c>
      <c r="Z301" s="117">
        <v>103.54307253112313</v>
      </c>
      <c r="AA301" s="252"/>
      <c r="AB301" s="252"/>
      <c r="AC301" s="120">
        <v>4.9303008070432872</v>
      </c>
      <c r="AD301" s="177">
        <v>105.42567384987099</v>
      </c>
      <c r="AE301" s="1174"/>
      <c r="AF301" s="1175"/>
      <c r="AG301" s="209">
        <v>20.667856199559793</v>
      </c>
      <c r="AH301" s="117">
        <v>883.89035563837308</v>
      </c>
      <c r="AI301" s="177">
        <f t="shared" si="9"/>
        <v>883.89035563837308</v>
      </c>
      <c r="AJ301" s="976"/>
      <c r="AK301" s="1020"/>
      <c r="AL301" s="1006"/>
      <c r="AM301" s="151"/>
      <c r="AN301" s="108"/>
      <c r="AO301" s="128"/>
      <c r="AP301" s="106"/>
    </row>
    <row r="302" spans="1:42" s="69" customFormat="1" ht="12.75" customHeight="1">
      <c r="A302" s="1208"/>
      <c r="B302" s="550"/>
      <c r="C302" s="18"/>
      <c r="D302" s="223" t="s">
        <v>810</v>
      </c>
      <c r="E302" s="225" t="s">
        <v>64</v>
      </c>
      <c r="F302" s="228" t="s">
        <v>64</v>
      </c>
      <c r="G302" s="11">
        <v>149.86353631694791</v>
      </c>
      <c r="H302" s="225" t="s">
        <v>64</v>
      </c>
      <c r="I302" s="228" t="s">
        <v>64</v>
      </c>
      <c r="J302" s="1236"/>
      <c r="K302" s="1061"/>
      <c r="L302" s="120">
        <v>21.317264856933235</v>
      </c>
      <c r="M302" s="225" t="s">
        <v>64</v>
      </c>
      <c r="N302" s="255"/>
      <c r="O302" s="255"/>
      <c r="P302" s="255"/>
      <c r="Q302" s="255"/>
      <c r="R302" s="258"/>
      <c r="S302" s="120">
        <v>21.317264856933235</v>
      </c>
      <c r="T302" s="117">
        <v>455.83162166653261</v>
      </c>
      <c r="U302" s="228" t="s">
        <v>64</v>
      </c>
      <c r="V302" s="120">
        <v>1.948225972120323</v>
      </c>
      <c r="W302" s="120">
        <v>1.948225972120323</v>
      </c>
      <c r="X302" s="117">
        <v>41.659331542040292</v>
      </c>
      <c r="Y302" s="120">
        <v>4.8422597212032281</v>
      </c>
      <c r="Z302" s="117">
        <v>103.54307253112313</v>
      </c>
      <c r="AA302" s="252"/>
      <c r="AB302" s="252"/>
      <c r="AC302" s="120">
        <v>4.9303008070432872</v>
      </c>
      <c r="AD302" s="177">
        <v>105.42567384987099</v>
      </c>
      <c r="AE302" s="1174"/>
      <c r="AF302" s="1175"/>
      <c r="AG302" s="209">
        <v>21.317264856933235</v>
      </c>
      <c r="AH302" s="117">
        <v>911.66324333306522</v>
      </c>
      <c r="AI302" s="177">
        <f t="shared" si="9"/>
        <v>911.66324333306522</v>
      </c>
      <c r="AJ302" s="976"/>
      <c r="AK302" s="1020"/>
      <c r="AL302" s="1006"/>
      <c r="AM302" s="151"/>
      <c r="AN302" s="108"/>
      <c r="AO302" s="128"/>
      <c r="AP302" s="106"/>
    </row>
    <row r="303" spans="1:42" s="69" customFormat="1" ht="12.75" customHeight="1">
      <c r="A303" s="1208"/>
      <c r="B303" s="550"/>
      <c r="C303" s="18"/>
      <c r="D303" s="223" t="s">
        <v>811</v>
      </c>
      <c r="E303" s="225" t="s">
        <v>64</v>
      </c>
      <c r="F303" s="228" t="s">
        <v>64</v>
      </c>
      <c r="G303" s="127">
        <v>220.10271460014673</v>
      </c>
      <c r="H303" s="225" t="s">
        <v>64</v>
      </c>
      <c r="I303" s="228" t="s">
        <v>64</v>
      </c>
      <c r="J303" s="1236"/>
      <c r="K303" s="1061"/>
      <c r="L303" s="120">
        <v>22.23037417461482</v>
      </c>
      <c r="M303" s="225" t="s">
        <v>64</v>
      </c>
      <c r="N303" s="255"/>
      <c r="O303" s="255"/>
      <c r="P303" s="255"/>
      <c r="Q303" s="255"/>
      <c r="R303" s="258"/>
      <c r="S303" s="120">
        <v>22.23037417461482</v>
      </c>
      <c r="T303" s="117">
        <v>475.35683298379297</v>
      </c>
      <c r="U303" s="228" t="s">
        <v>64</v>
      </c>
      <c r="V303" s="120">
        <v>2.8613352898019078</v>
      </c>
      <c r="W303" s="120">
        <v>2.8613352898019078</v>
      </c>
      <c r="X303" s="117">
        <v>61.184542859300059</v>
      </c>
      <c r="Y303" s="120">
        <v>4.8422597212032281</v>
      </c>
      <c r="Z303" s="117">
        <v>103.54307253112313</v>
      </c>
      <c r="AA303" s="252"/>
      <c r="AB303" s="252"/>
      <c r="AC303" s="120">
        <v>4.9303008070432872</v>
      </c>
      <c r="AD303" s="177">
        <v>105.42567384987099</v>
      </c>
      <c r="AE303" s="1174"/>
      <c r="AF303" s="1175"/>
      <c r="AG303" s="209">
        <v>22.23037417461482</v>
      </c>
      <c r="AH303" s="117">
        <v>950.71366596758594</v>
      </c>
      <c r="AI303" s="177">
        <f t="shared" si="9"/>
        <v>950.71366596758594</v>
      </c>
      <c r="AJ303" s="976"/>
      <c r="AK303" s="1020"/>
      <c r="AL303" s="1006"/>
      <c r="AM303" s="151"/>
      <c r="AN303" s="108"/>
      <c r="AO303" s="128"/>
      <c r="AP303" s="106"/>
    </row>
    <row r="304" spans="1:42" s="69" customFormat="1" ht="12.75" customHeight="1">
      <c r="A304" s="1208"/>
      <c r="B304" s="550"/>
      <c r="C304" s="18"/>
      <c r="D304" s="223" t="s">
        <v>812</v>
      </c>
      <c r="E304" s="225" t="s">
        <v>64</v>
      </c>
      <c r="F304" s="228" t="s">
        <v>64</v>
      </c>
      <c r="G304" s="127">
        <v>440.20542920029345</v>
      </c>
      <c r="H304" s="225" t="s">
        <v>64</v>
      </c>
      <c r="I304" s="228" t="s">
        <v>64</v>
      </c>
      <c r="J304" s="1236"/>
      <c r="K304" s="1061"/>
      <c r="L304" s="120">
        <v>26.148202494497433</v>
      </c>
      <c r="M304" s="225" t="s">
        <v>64</v>
      </c>
      <c r="N304" s="255"/>
      <c r="O304" s="255"/>
      <c r="P304" s="255"/>
      <c r="Q304" s="255"/>
      <c r="R304" s="258"/>
      <c r="S304" s="120">
        <v>26.148202494497433</v>
      </c>
      <c r="T304" s="117">
        <v>559.13259166806495</v>
      </c>
      <c r="U304" s="228" t="s">
        <v>64</v>
      </c>
      <c r="V304" s="120">
        <v>5.7226705796038155</v>
      </c>
      <c r="W304" s="120">
        <v>5.7226705796038155</v>
      </c>
      <c r="X304" s="117">
        <v>122.36908571860012</v>
      </c>
      <c r="Y304" s="120">
        <v>5.0007336757153338</v>
      </c>
      <c r="Z304" s="117">
        <v>106.93175490486898</v>
      </c>
      <c r="AA304" s="252"/>
      <c r="AB304" s="252"/>
      <c r="AC304" s="120">
        <v>5.2472487160674985</v>
      </c>
      <c r="AD304" s="177">
        <v>112.20303859736252</v>
      </c>
      <c r="AE304" s="1174"/>
      <c r="AF304" s="1175"/>
      <c r="AG304" s="209">
        <v>26.148202494497433</v>
      </c>
      <c r="AH304" s="117">
        <v>1118.2651833361299</v>
      </c>
      <c r="AI304" s="177">
        <f t="shared" si="9"/>
        <v>1118.2651833361299</v>
      </c>
      <c r="AJ304" s="976"/>
      <c r="AK304" s="1020"/>
      <c r="AL304" s="1006"/>
      <c r="AM304" s="151"/>
      <c r="AN304" s="108"/>
      <c r="AO304" s="128"/>
      <c r="AP304" s="106"/>
    </row>
    <row r="305" spans="1:42" s="69" customFormat="1" ht="12.75" customHeight="1">
      <c r="A305" s="1208"/>
      <c r="B305" s="550"/>
      <c r="C305" s="18"/>
      <c r="D305" s="223" t="s">
        <v>813</v>
      </c>
      <c r="E305" s="225" t="s">
        <v>64</v>
      </c>
      <c r="F305" s="228" t="s">
        <v>64</v>
      </c>
      <c r="G305" s="127">
        <v>22.010271460014675</v>
      </c>
      <c r="H305" s="225" t="s">
        <v>64</v>
      </c>
      <c r="I305" s="228" t="s">
        <v>64</v>
      </c>
      <c r="J305" s="1236"/>
      <c r="K305" s="1061"/>
      <c r="L305" s="120">
        <v>19.655172413793103</v>
      </c>
      <c r="M305" s="225" t="s">
        <v>64</v>
      </c>
      <c r="N305" s="255"/>
      <c r="O305" s="255"/>
      <c r="P305" s="255"/>
      <c r="Q305" s="255"/>
      <c r="R305" s="258"/>
      <c r="S305" s="120">
        <v>19.655172413793103</v>
      </c>
      <c r="T305" s="117">
        <v>420.29074441042263</v>
      </c>
      <c r="U305" s="228" t="s">
        <v>64</v>
      </c>
      <c r="V305" s="120">
        <v>0.28613352898019079</v>
      </c>
      <c r="W305" s="120">
        <v>0.28613352898019079</v>
      </c>
      <c r="X305" s="117">
        <v>6.1184542859300004</v>
      </c>
      <c r="Y305" s="120">
        <v>4.8422597212032281</v>
      </c>
      <c r="Z305" s="117">
        <v>103.54307253112313</v>
      </c>
      <c r="AA305" s="252"/>
      <c r="AB305" s="252"/>
      <c r="AC305" s="120">
        <v>4.9303008070432872</v>
      </c>
      <c r="AD305" s="177">
        <v>105.42567384987099</v>
      </c>
      <c r="AE305" s="1174"/>
      <c r="AF305" s="1175"/>
      <c r="AG305" s="209">
        <v>19.655172413793103</v>
      </c>
      <c r="AH305" s="117">
        <v>840.58148882084527</v>
      </c>
      <c r="AI305" s="177">
        <f t="shared" si="9"/>
        <v>840.58148882084527</v>
      </c>
      <c r="AJ305" s="976"/>
      <c r="AK305" s="1020"/>
      <c r="AL305" s="1006"/>
      <c r="AM305" s="151"/>
      <c r="AN305" s="108"/>
      <c r="AO305" s="128"/>
      <c r="AP305" s="106"/>
    </row>
    <row r="306" spans="1:42" s="69" customFormat="1" ht="12.75" customHeight="1">
      <c r="A306" s="1208"/>
      <c r="B306" s="550"/>
      <c r="C306" s="18"/>
      <c r="D306" s="223" t="s">
        <v>814</v>
      </c>
      <c r="E306" s="225" t="s">
        <v>64</v>
      </c>
      <c r="F306" s="228" t="s">
        <v>64</v>
      </c>
      <c r="G306" s="127">
        <v>44.020542920029349</v>
      </c>
      <c r="H306" s="225" t="s">
        <v>64</v>
      </c>
      <c r="I306" s="228" t="s">
        <v>64</v>
      </c>
      <c r="J306" s="1236"/>
      <c r="K306" s="1061"/>
      <c r="L306" s="120">
        <v>19.941305942773294</v>
      </c>
      <c r="M306" s="225" t="s">
        <v>64</v>
      </c>
      <c r="N306" s="255"/>
      <c r="O306" s="255"/>
      <c r="P306" s="255"/>
      <c r="Q306" s="255"/>
      <c r="R306" s="258"/>
      <c r="S306" s="120">
        <v>19.941305942773294</v>
      </c>
      <c r="T306" s="117">
        <v>426.40919869635286</v>
      </c>
      <c r="U306" s="228" t="s">
        <v>64</v>
      </c>
      <c r="V306" s="120">
        <v>0.57226705796038158</v>
      </c>
      <c r="W306" s="120">
        <v>0.57226705796038158</v>
      </c>
      <c r="X306" s="117">
        <v>12.236908571860001</v>
      </c>
      <c r="Y306" s="120">
        <v>4.8422597212032281</v>
      </c>
      <c r="Z306" s="117">
        <v>103.54307253112313</v>
      </c>
      <c r="AA306" s="252"/>
      <c r="AB306" s="252"/>
      <c r="AC306" s="120">
        <v>6.573734409391049</v>
      </c>
      <c r="AD306" s="177">
        <v>140.56756513316111</v>
      </c>
      <c r="AE306" s="1174"/>
      <c r="AF306" s="1175"/>
      <c r="AG306" s="209">
        <v>19.941305942773294</v>
      </c>
      <c r="AH306" s="117">
        <v>852.81839739270572</v>
      </c>
      <c r="AI306" s="177">
        <f t="shared" si="9"/>
        <v>852.81839739270572</v>
      </c>
      <c r="AJ306" s="976"/>
      <c r="AK306" s="1020"/>
      <c r="AL306" s="1006"/>
      <c r="AM306" s="151"/>
      <c r="AN306" s="108"/>
      <c r="AO306" s="128"/>
      <c r="AP306" s="106"/>
    </row>
    <row r="307" spans="1:42" s="69" customFormat="1" ht="12.75" customHeight="1" thickBot="1">
      <c r="A307" s="1208"/>
      <c r="B307" s="194"/>
      <c r="C307" s="26"/>
      <c r="D307" s="224" t="s">
        <v>815</v>
      </c>
      <c r="E307" s="226" t="s">
        <v>64</v>
      </c>
      <c r="F307" s="229" t="s">
        <v>64</v>
      </c>
      <c r="G307" s="94">
        <v>66.030814380044021</v>
      </c>
      <c r="H307" s="226" t="s">
        <v>64</v>
      </c>
      <c r="I307" s="229" t="s">
        <v>64</v>
      </c>
      <c r="J307" s="1236"/>
      <c r="K307" s="1061"/>
      <c r="L307" s="28">
        <v>20.227439471753485</v>
      </c>
      <c r="M307" s="226" t="s">
        <v>64</v>
      </c>
      <c r="N307" s="257"/>
      <c r="O307" s="257"/>
      <c r="P307" s="257"/>
      <c r="Q307" s="257"/>
      <c r="R307" s="259"/>
      <c r="S307" s="28">
        <v>20.227439471753485</v>
      </c>
      <c r="T307" s="118">
        <v>432.52765298228348</v>
      </c>
      <c r="U307" s="229" t="s">
        <v>64</v>
      </c>
      <c r="V307" s="28">
        <v>0.85840058694057231</v>
      </c>
      <c r="W307" s="28">
        <v>0.85840058694057231</v>
      </c>
      <c r="X307" s="118">
        <v>18.355362857790006</v>
      </c>
      <c r="Y307" s="28">
        <v>4.8422597212032281</v>
      </c>
      <c r="Z307" s="118">
        <v>103.54307253112313</v>
      </c>
      <c r="AA307" s="254"/>
      <c r="AB307" s="254"/>
      <c r="AC307" s="28">
        <v>6.573734409391049</v>
      </c>
      <c r="AD307" s="180">
        <v>140.56756513316111</v>
      </c>
      <c r="AE307" s="1174"/>
      <c r="AF307" s="1175"/>
      <c r="AG307" s="199">
        <v>20.227439471753485</v>
      </c>
      <c r="AH307" s="118">
        <v>865.05530596456697</v>
      </c>
      <c r="AI307" s="178">
        <f t="shared" si="9"/>
        <v>865.05530596456697</v>
      </c>
      <c r="AJ307" s="977"/>
      <c r="AK307" s="1021"/>
      <c r="AL307" s="1006"/>
      <c r="AM307" s="151"/>
      <c r="AN307" s="108"/>
      <c r="AO307" s="128"/>
      <c r="AP307" s="106"/>
    </row>
    <row r="308" spans="1:42" s="69" customFormat="1">
      <c r="A308" s="1208"/>
      <c r="B308" s="232" t="s">
        <v>151</v>
      </c>
      <c r="C308" s="912" t="s">
        <v>151</v>
      </c>
      <c r="D308" s="222" t="s">
        <v>848</v>
      </c>
      <c r="E308" s="241" t="s">
        <v>1</v>
      </c>
      <c r="F308" s="241" t="s">
        <v>89</v>
      </c>
      <c r="G308" s="542">
        <v>30639.599999999999</v>
      </c>
      <c r="H308" s="225" t="s">
        <v>221</v>
      </c>
      <c r="I308" s="11">
        <v>178.55</v>
      </c>
      <c r="J308" s="1236"/>
      <c r="K308" s="1061"/>
      <c r="L308" s="120">
        <v>922.66</v>
      </c>
      <c r="M308" s="12">
        <v>27</v>
      </c>
      <c r="N308" s="255"/>
      <c r="O308" s="255"/>
      <c r="P308" s="255"/>
      <c r="Q308" s="255"/>
      <c r="R308" s="258"/>
      <c r="S308" s="120">
        <v>895.66</v>
      </c>
      <c r="T308" s="117">
        <v>13380.445099896655</v>
      </c>
      <c r="U308" s="11">
        <v>2.3199999999999998</v>
      </c>
      <c r="V308" s="120">
        <v>398.31479999999999</v>
      </c>
      <c r="W308" s="120">
        <v>398.31479999999999</v>
      </c>
      <c r="X308" s="117">
        <v>5950.5050062259306</v>
      </c>
      <c r="Y308" s="120">
        <v>64.788780000000003</v>
      </c>
      <c r="Z308" s="117">
        <v>967.89263099756829</v>
      </c>
      <c r="AA308" s="252"/>
      <c r="AB308" s="252"/>
      <c r="AC308" s="120">
        <v>196.61408</v>
      </c>
      <c r="AD308" s="177">
        <v>2937.2573334822241</v>
      </c>
      <c r="AE308" s="1174"/>
      <c r="AF308" s="1175"/>
      <c r="AG308" s="209">
        <v>895.66</v>
      </c>
      <c r="AH308" s="117">
        <v>26760.89019979331</v>
      </c>
      <c r="AI308" s="177">
        <f t="shared" si="9"/>
        <v>26760.89019979331</v>
      </c>
      <c r="AJ308" s="975">
        <v>46155</v>
      </c>
      <c r="AK308" s="1019">
        <f>SUM(AI308:AI319)</f>
        <v>60728.513138614078</v>
      </c>
      <c r="AL308" s="1006"/>
      <c r="AM308" s="151"/>
      <c r="AN308" s="108"/>
      <c r="AO308" s="128"/>
      <c r="AP308" s="106"/>
    </row>
    <row r="309" spans="1:42" s="69" customFormat="1">
      <c r="A309" s="1208"/>
      <c r="B309" s="551"/>
      <c r="C309" s="540"/>
      <c r="D309" s="223" t="s">
        <v>808</v>
      </c>
      <c r="E309" s="225" t="s">
        <v>64</v>
      </c>
      <c r="F309" s="228" t="s">
        <v>64</v>
      </c>
      <c r="G309" s="426">
        <f>72*28.37</f>
        <v>2042.64</v>
      </c>
      <c r="H309" s="225" t="s">
        <v>64</v>
      </c>
      <c r="I309" s="228" t="s">
        <v>64</v>
      </c>
      <c r="J309" s="1236"/>
      <c r="K309" s="1061"/>
      <c r="L309" s="120">
        <v>70.486000000000004</v>
      </c>
      <c r="M309" s="225" t="s">
        <v>64</v>
      </c>
      <c r="N309" s="255"/>
      <c r="O309" s="255"/>
      <c r="P309" s="255"/>
      <c r="Q309" s="255"/>
      <c r="R309" s="258"/>
      <c r="S309" s="120">
        <v>70.486000000000004</v>
      </c>
      <c r="T309" s="117">
        <v>1053.004547832119</v>
      </c>
      <c r="U309" s="228" t="s">
        <v>64</v>
      </c>
      <c r="V309" s="120">
        <v>26.554320000000004</v>
      </c>
      <c r="W309" s="120">
        <v>26.554320000000004</v>
      </c>
      <c r="X309" s="117">
        <v>396.70033374839539</v>
      </c>
      <c r="Y309" s="120">
        <v>8.5830520000000003</v>
      </c>
      <c r="Z309" s="117">
        <v>128.2239422052545</v>
      </c>
      <c r="AA309" s="252"/>
      <c r="AB309" s="252"/>
      <c r="AC309" s="120">
        <v>16.372672000000001</v>
      </c>
      <c r="AD309" s="177">
        <v>244.59464398836101</v>
      </c>
      <c r="AE309" s="1174"/>
      <c r="AF309" s="1175"/>
      <c r="AG309" s="209">
        <v>70.486000000000004</v>
      </c>
      <c r="AH309" s="117">
        <v>2106.009095664238</v>
      </c>
      <c r="AI309" s="177">
        <f t="shared" si="9"/>
        <v>2106.009095664238</v>
      </c>
      <c r="AJ309" s="976"/>
      <c r="AK309" s="1020"/>
      <c r="AL309" s="1006"/>
      <c r="AM309" s="151"/>
      <c r="AN309" s="108"/>
      <c r="AO309" s="128"/>
      <c r="AP309" s="106"/>
    </row>
    <row r="310" spans="1:42" s="69" customFormat="1">
      <c r="A310" s="1208"/>
      <c r="B310" s="551"/>
      <c r="C310" s="540"/>
      <c r="D310" s="223" t="s">
        <v>809</v>
      </c>
      <c r="E310" s="225" t="s">
        <v>64</v>
      </c>
      <c r="F310" s="228" t="s">
        <v>64</v>
      </c>
      <c r="G310" s="426">
        <f>G309*2</f>
        <v>4085.28</v>
      </c>
      <c r="H310" s="225" t="s">
        <v>64</v>
      </c>
      <c r="I310" s="228" t="s">
        <v>64</v>
      </c>
      <c r="J310" s="1236"/>
      <c r="K310" s="1061"/>
      <c r="L310" s="120">
        <v>121.55200000000002</v>
      </c>
      <c r="M310" s="225" t="s">
        <v>64</v>
      </c>
      <c r="N310" s="255"/>
      <c r="O310" s="255"/>
      <c r="P310" s="255"/>
      <c r="Q310" s="255"/>
      <c r="R310" s="258"/>
      <c r="S310" s="120">
        <v>121.55200000000002</v>
      </c>
      <c r="T310" s="117">
        <v>1815.8898050405749</v>
      </c>
      <c r="U310" s="228" t="s">
        <v>64</v>
      </c>
      <c r="V310" s="120">
        <v>53.108640000000008</v>
      </c>
      <c r="W310" s="120">
        <v>53.108640000000008</v>
      </c>
      <c r="X310" s="117">
        <v>793.40066749679079</v>
      </c>
      <c r="Y310" s="120">
        <v>12.259804000000001</v>
      </c>
      <c r="Z310" s="117">
        <v>183.15168072426286</v>
      </c>
      <c r="AA310" s="252"/>
      <c r="AB310" s="252"/>
      <c r="AC310" s="120">
        <v>26.177344000000002</v>
      </c>
      <c r="AD310" s="177">
        <v>391.06861337238337</v>
      </c>
      <c r="AE310" s="1174"/>
      <c r="AF310" s="1175"/>
      <c r="AG310" s="209">
        <v>121.55200000000002</v>
      </c>
      <c r="AH310" s="117">
        <v>3631.7796100811497</v>
      </c>
      <c r="AI310" s="177">
        <f t="shared" si="9"/>
        <v>3631.7796100811497</v>
      </c>
      <c r="AJ310" s="976"/>
      <c r="AK310" s="1020"/>
      <c r="AL310" s="1006"/>
      <c r="AM310" s="151"/>
      <c r="AN310" s="108"/>
      <c r="AO310" s="128"/>
      <c r="AP310" s="106"/>
    </row>
    <row r="311" spans="1:42" s="69" customFormat="1">
      <c r="A311" s="1208"/>
      <c r="B311" s="551"/>
      <c r="C311" s="540"/>
      <c r="D311" s="223" t="s">
        <v>810</v>
      </c>
      <c r="E311" s="225" t="s">
        <v>64</v>
      </c>
      <c r="F311" s="228" t="s">
        <v>64</v>
      </c>
      <c r="G311" s="426">
        <f>G309*3</f>
        <v>6127.92</v>
      </c>
      <c r="H311" s="225" t="s">
        <v>64</v>
      </c>
      <c r="I311" s="228" t="s">
        <v>64</v>
      </c>
      <c r="J311" s="1236"/>
      <c r="K311" s="1061"/>
      <c r="L311" s="120">
        <v>172.61800000000002</v>
      </c>
      <c r="M311" s="225" t="s">
        <v>64</v>
      </c>
      <c r="N311" s="255"/>
      <c r="O311" s="255"/>
      <c r="P311" s="255"/>
      <c r="Q311" s="255"/>
      <c r="R311" s="258"/>
      <c r="S311" s="120">
        <v>172.61800000000002</v>
      </c>
      <c r="T311" s="117">
        <v>2578.7750622490234</v>
      </c>
      <c r="U311" s="228" t="s">
        <v>64</v>
      </c>
      <c r="V311" s="120">
        <v>79.662960000000012</v>
      </c>
      <c r="W311" s="120">
        <v>79.662960000000012</v>
      </c>
      <c r="X311" s="117">
        <v>1190.101001245187</v>
      </c>
      <c r="Y311" s="120">
        <v>15.936556</v>
      </c>
      <c r="Z311" s="117">
        <v>238.07941924327139</v>
      </c>
      <c r="AA311" s="252"/>
      <c r="AB311" s="252"/>
      <c r="AC311" s="120">
        <v>35.982016000000009</v>
      </c>
      <c r="AD311" s="177">
        <v>537.54258275640711</v>
      </c>
      <c r="AE311" s="1174"/>
      <c r="AF311" s="1175"/>
      <c r="AG311" s="209">
        <v>172.61800000000002</v>
      </c>
      <c r="AH311" s="117">
        <v>5157.5501244980469</v>
      </c>
      <c r="AI311" s="177">
        <f t="shared" si="9"/>
        <v>5157.5501244980469</v>
      </c>
      <c r="AJ311" s="976"/>
      <c r="AK311" s="1020"/>
      <c r="AL311" s="1006"/>
      <c r="AM311" s="151"/>
      <c r="AN311" s="108"/>
      <c r="AO311" s="128"/>
      <c r="AP311" s="106"/>
    </row>
    <row r="312" spans="1:42" s="69" customFormat="1">
      <c r="A312" s="1208"/>
      <c r="B312" s="551"/>
      <c r="C312" s="540"/>
      <c r="D312" s="223" t="s">
        <v>811</v>
      </c>
      <c r="E312" s="225" t="s">
        <v>64</v>
      </c>
      <c r="F312" s="228" t="s">
        <v>64</v>
      </c>
      <c r="G312" s="427">
        <v>652.16</v>
      </c>
      <c r="H312" s="225" t="s">
        <v>64</v>
      </c>
      <c r="I312" s="228" t="s">
        <v>64</v>
      </c>
      <c r="J312" s="1236"/>
      <c r="K312" s="1061"/>
      <c r="L312" s="120">
        <v>35.723999999999997</v>
      </c>
      <c r="M312" s="225" t="s">
        <v>64</v>
      </c>
      <c r="N312" s="255"/>
      <c r="O312" s="255"/>
      <c r="P312" s="255"/>
      <c r="Q312" s="255"/>
      <c r="R312" s="258"/>
      <c r="S312" s="120">
        <v>35.723999999999997</v>
      </c>
      <c r="T312" s="117">
        <v>533.68802977548228</v>
      </c>
      <c r="U312" s="228" t="s">
        <v>64</v>
      </c>
      <c r="V312" s="120">
        <v>8.4780800000000003</v>
      </c>
      <c r="W312" s="120">
        <v>8.4780800000000003</v>
      </c>
      <c r="X312" s="117">
        <v>126.65574435894403</v>
      </c>
      <c r="Y312" s="120">
        <v>6.0801879999999997</v>
      </c>
      <c r="Z312" s="117">
        <v>90.833152905176561</v>
      </c>
      <c r="AA312" s="252"/>
      <c r="AB312" s="252"/>
      <c r="AC312" s="120">
        <v>9.6983680000000003</v>
      </c>
      <c r="AD312" s="177">
        <v>144.88587252148662</v>
      </c>
      <c r="AE312" s="1174"/>
      <c r="AF312" s="1175"/>
      <c r="AG312" s="209">
        <v>35.723999999999997</v>
      </c>
      <c r="AH312" s="117">
        <v>1067.3760595509646</v>
      </c>
      <c r="AI312" s="177">
        <f t="shared" si="9"/>
        <v>1067.3760595509646</v>
      </c>
      <c r="AJ312" s="976"/>
      <c r="AK312" s="1020"/>
      <c r="AL312" s="1006"/>
      <c r="AM312" s="151"/>
      <c r="AN312" s="108"/>
      <c r="AO312" s="128"/>
      <c r="AP312" s="106"/>
    </row>
    <row r="313" spans="1:42" s="69" customFormat="1">
      <c r="A313" s="1208"/>
      <c r="B313" s="551"/>
      <c r="C313" s="540"/>
      <c r="D313" s="223" t="s">
        <v>812</v>
      </c>
      <c r="E313" s="225" t="s">
        <v>64</v>
      </c>
      <c r="F313" s="228" t="s">
        <v>64</v>
      </c>
      <c r="G313" s="427">
        <f>G312*2</f>
        <v>1304.32</v>
      </c>
      <c r="H313" s="225" t="s">
        <v>64</v>
      </c>
      <c r="I313" s="228" t="s">
        <v>64</v>
      </c>
      <c r="J313" s="1236"/>
      <c r="K313" s="1061"/>
      <c r="L313" s="120">
        <v>52.027999999999999</v>
      </c>
      <c r="M313" s="225" t="s">
        <v>64</v>
      </c>
      <c r="N313" s="255"/>
      <c r="O313" s="255"/>
      <c r="P313" s="255"/>
      <c r="Q313" s="255"/>
      <c r="R313" s="258"/>
      <c r="S313" s="120">
        <v>52.027999999999999</v>
      </c>
      <c r="T313" s="117">
        <v>777.25676892729712</v>
      </c>
      <c r="U313" s="228" t="s">
        <v>64</v>
      </c>
      <c r="V313" s="120">
        <v>16.956160000000001</v>
      </c>
      <c r="W313" s="120">
        <v>16.956160000000001</v>
      </c>
      <c r="X313" s="117">
        <v>253.31148871788807</v>
      </c>
      <c r="Y313" s="120">
        <v>7.2540760000000004</v>
      </c>
      <c r="Z313" s="117">
        <v>108.37010212410726</v>
      </c>
      <c r="AA313" s="252"/>
      <c r="AB313" s="252"/>
      <c r="AC313" s="120">
        <v>12.828736000000001</v>
      </c>
      <c r="AD313" s="177">
        <v>191.651070438635</v>
      </c>
      <c r="AE313" s="1174"/>
      <c r="AF313" s="1175"/>
      <c r="AG313" s="209">
        <v>52.027999999999999</v>
      </c>
      <c r="AH313" s="117">
        <v>1554.5135378545942</v>
      </c>
      <c r="AI313" s="177">
        <f t="shared" si="9"/>
        <v>1554.5135378545942</v>
      </c>
      <c r="AJ313" s="976"/>
      <c r="AK313" s="1020"/>
      <c r="AL313" s="1006"/>
      <c r="AM313" s="151"/>
      <c r="AN313" s="108"/>
      <c r="AO313" s="128"/>
      <c r="AP313" s="106"/>
    </row>
    <row r="314" spans="1:42" s="69" customFormat="1">
      <c r="A314" s="1208"/>
      <c r="B314" s="551"/>
      <c r="C314" s="540"/>
      <c r="D314" s="223" t="s">
        <v>813</v>
      </c>
      <c r="E314" s="225" t="s">
        <v>64</v>
      </c>
      <c r="F314" s="228" t="s">
        <v>64</v>
      </c>
      <c r="G314" s="427">
        <f>G312*10%</f>
        <v>65.215999999999994</v>
      </c>
      <c r="H314" s="225" t="s">
        <v>64</v>
      </c>
      <c r="I314" s="228" t="s">
        <v>64</v>
      </c>
      <c r="J314" s="1236"/>
      <c r="K314" s="1061"/>
      <c r="L314" s="120">
        <v>21.050399999999996</v>
      </c>
      <c r="M314" s="225" t="s">
        <v>64</v>
      </c>
      <c r="N314" s="255"/>
      <c r="O314" s="255"/>
      <c r="P314" s="255"/>
      <c r="Q314" s="255"/>
      <c r="R314" s="258"/>
      <c r="S314" s="120">
        <v>21.050399999999996</v>
      </c>
      <c r="T314" s="117">
        <v>314.4761645388478</v>
      </c>
      <c r="U314" s="228" t="s">
        <v>64</v>
      </c>
      <c r="V314" s="120">
        <v>0.84780800000000001</v>
      </c>
      <c r="W314" s="120">
        <v>0.84780800000000001</v>
      </c>
      <c r="X314" s="117">
        <v>12.665574435894387</v>
      </c>
      <c r="Y314" s="120">
        <v>5.0236888000000004</v>
      </c>
      <c r="Z314" s="117">
        <v>75.049898608138847</v>
      </c>
      <c r="AA314" s="252"/>
      <c r="AB314" s="252"/>
      <c r="AC314" s="120">
        <v>6.8810368000000004</v>
      </c>
      <c r="AD314" s="177">
        <v>102.79719439605277</v>
      </c>
      <c r="AE314" s="1174"/>
      <c r="AF314" s="1175"/>
      <c r="AG314" s="209">
        <v>21.050399999999996</v>
      </c>
      <c r="AH314" s="117">
        <v>628.95232907769559</v>
      </c>
      <c r="AI314" s="177">
        <f t="shared" si="9"/>
        <v>628.95232907769559</v>
      </c>
      <c r="AJ314" s="976"/>
      <c r="AK314" s="1020"/>
      <c r="AL314" s="1006"/>
      <c r="AM314" s="151"/>
      <c r="AN314" s="108"/>
      <c r="AO314" s="128"/>
      <c r="AP314" s="106"/>
    </row>
    <row r="315" spans="1:42" s="69" customFormat="1">
      <c r="A315" s="1208"/>
      <c r="B315" s="551"/>
      <c r="C315" s="540"/>
      <c r="D315" s="223" t="s">
        <v>814</v>
      </c>
      <c r="E315" s="225" t="s">
        <v>64</v>
      </c>
      <c r="F315" s="228" t="s">
        <v>64</v>
      </c>
      <c r="G315" s="427">
        <f>G314*2</f>
        <v>130.43199999999999</v>
      </c>
      <c r="H315" s="225" t="s">
        <v>64</v>
      </c>
      <c r="I315" s="228" t="s">
        <v>64</v>
      </c>
      <c r="J315" s="1236"/>
      <c r="K315" s="1061"/>
      <c r="L315" s="120">
        <v>22.680800000000001</v>
      </c>
      <c r="M315" s="225" t="s">
        <v>64</v>
      </c>
      <c r="N315" s="255"/>
      <c r="O315" s="255"/>
      <c r="P315" s="255"/>
      <c r="Q315" s="255"/>
      <c r="R315" s="258"/>
      <c r="S315" s="120">
        <v>22.680800000000001</v>
      </c>
      <c r="T315" s="117">
        <v>338.8330384540298</v>
      </c>
      <c r="U315" s="228" t="s">
        <v>64</v>
      </c>
      <c r="V315" s="120">
        <v>1.695616</v>
      </c>
      <c r="W315" s="120">
        <v>1.695616</v>
      </c>
      <c r="X315" s="117">
        <v>25.331148871788773</v>
      </c>
      <c r="Y315" s="120">
        <v>5.1410776</v>
      </c>
      <c r="Z315" s="117">
        <v>76.803593530032046</v>
      </c>
      <c r="AA315" s="252"/>
      <c r="AB315" s="252"/>
      <c r="AC315" s="120">
        <v>7.1940736000000003</v>
      </c>
      <c r="AD315" s="177">
        <v>107.47371418776746</v>
      </c>
      <c r="AE315" s="1174"/>
      <c r="AF315" s="1175"/>
      <c r="AG315" s="209">
        <v>22.680800000000001</v>
      </c>
      <c r="AH315" s="117">
        <v>677.66607690805961</v>
      </c>
      <c r="AI315" s="177">
        <f t="shared" si="9"/>
        <v>677.66607690805961</v>
      </c>
      <c r="AJ315" s="976"/>
      <c r="AK315" s="1020"/>
      <c r="AL315" s="1006"/>
      <c r="AM315" s="151"/>
      <c r="AN315" s="108"/>
      <c r="AO315" s="128"/>
      <c r="AP315" s="106"/>
    </row>
    <row r="316" spans="1:42" s="69" customFormat="1">
      <c r="A316" s="1208"/>
      <c r="B316" s="551"/>
      <c r="C316" s="540"/>
      <c r="D316" s="223" t="s">
        <v>815</v>
      </c>
      <c r="E316" s="225" t="s">
        <v>64</v>
      </c>
      <c r="F316" s="228" t="s">
        <v>64</v>
      </c>
      <c r="G316" s="427">
        <f>G314*3</f>
        <v>195.64799999999997</v>
      </c>
      <c r="H316" s="225" t="s">
        <v>64</v>
      </c>
      <c r="I316" s="228" t="s">
        <v>64</v>
      </c>
      <c r="J316" s="1236"/>
      <c r="K316" s="1061"/>
      <c r="L316" s="120">
        <v>24.311200000000003</v>
      </c>
      <c r="M316" s="225" t="s">
        <v>64</v>
      </c>
      <c r="N316" s="255"/>
      <c r="O316" s="255"/>
      <c r="P316" s="255"/>
      <c r="Q316" s="255"/>
      <c r="R316" s="258"/>
      <c r="S316" s="120">
        <v>24.311200000000003</v>
      </c>
      <c r="T316" s="117">
        <v>363.18991236921096</v>
      </c>
      <c r="U316" s="228" t="s">
        <v>64</v>
      </c>
      <c r="V316" s="120">
        <v>2.5434239999999999</v>
      </c>
      <c r="W316" s="120">
        <v>2.5434239999999999</v>
      </c>
      <c r="X316" s="117">
        <v>37.996723307683176</v>
      </c>
      <c r="Y316" s="120">
        <v>5.2584663999999997</v>
      </c>
      <c r="Z316" s="117">
        <v>78.557288451925061</v>
      </c>
      <c r="AA316" s="252"/>
      <c r="AB316" s="252"/>
      <c r="AC316" s="120">
        <v>7.5071104000000011</v>
      </c>
      <c r="AD316" s="177">
        <v>112.15023397948238</v>
      </c>
      <c r="AE316" s="1174"/>
      <c r="AF316" s="1175"/>
      <c r="AG316" s="209">
        <v>24.311200000000003</v>
      </c>
      <c r="AH316" s="117">
        <v>726.37982473842192</v>
      </c>
      <c r="AI316" s="177">
        <f t="shared" si="9"/>
        <v>726.37982473842192</v>
      </c>
      <c r="AJ316" s="976"/>
      <c r="AK316" s="1020"/>
      <c r="AL316" s="1006"/>
      <c r="AM316" s="151"/>
      <c r="AN316" s="108"/>
      <c r="AO316" s="128"/>
      <c r="AP316" s="106"/>
    </row>
    <row r="317" spans="1:42" s="69" customFormat="1">
      <c r="A317" s="1208"/>
      <c r="B317" s="551"/>
      <c r="C317" s="540"/>
      <c r="D317" s="223" t="s">
        <v>816</v>
      </c>
      <c r="E317" s="225" t="s">
        <v>64</v>
      </c>
      <c r="F317" s="228" t="s">
        <v>64</v>
      </c>
      <c r="G317" s="427">
        <v>19999.990000000002</v>
      </c>
      <c r="H317" s="225" t="s">
        <v>64</v>
      </c>
      <c r="I317" s="228" t="s">
        <v>64</v>
      </c>
      <c r="J317" s="1236"/>
      <c r="K317" s="1061"/>
      <c r="L317" s="120">
        <v>519.41975000000014</v>
      </c>
      <c r="M317" s="225" t="s">
        <v>64</v>
      </c>
      <c r="N317" s="255"/>
      <c r="O317" s="255"/>
      <c r="P317" s="255"/>
      <c r="Q317" s="255"/>
      <c r="R317" s="258"/>
      <c r="S317" s="120">
        <v>519.41975000000014</v>
      </c>
      <c r="T317" s="117">
        <v>7759.7162412936304</v>
      </c>
      <c r="U317" s="228" t="s">
        <v>64</v>
      </c>
      <c r="V317" s="120">
        <v>259.99987000000004</v>
      </c>
      <c r="W317" s="120">
        <v>259.99987000000004</v>
      </c>
      <c r="X317" s="117">
        <v>3884.190414348378</v>
      </c>
      <c r="Y317" s="120">
        <v>40.906282000000004</v>
      </c>
      <c r="Z317" s="117">
        <v>611.10718413448228</v>
      </c>
      <c r="AA317" s="252"/>
      <c r="AB317" s="252"/>
      <c r="AC317" s="120">
        <v>102.56795200000002</v>
      </c>
      <c r="AD317" s="177">
        <v>1532.2832891329681</v>
      </c>
      <c r="AE317" s="1174"/>
      <c r="AF317" s="1175"/>
      <c r="AG317" s="209">
        <v>519.41975000000014</v>
      </c>
      <c r="AH317" s="117">
        <v>15519.432482587261</v>
      </c>
      <c r="AI317" s="177">
        <f t="shared" si="9"/>
        <v>15519.432482587261</v>
      </c>
      <c r="AJ317" s="976"/>
      <c r="AK317" s="1020"/>
      <c r="AL317" s="1006"/>
      <c r="AM317" s="151"/>
      <c r="AN317" s="108"/>
      <c r="AO317" s="128"/>
      <c r="AP317" s="106"/>
    </row>
    <row r="318" spans="1:42" s="69" customFormat="1">
      <c r="A318" s="1208"/>
      <c r="B318" s="551"/>
      <c r="C318" s="540"/>
      <c r="D318" s="223" t="s">
        <v>820</v>
      </c>
      <c r="E318" s="225" t="s">
        <v>64</v>
      </c>
      <c r="F318" s="228" t="s">
        <v>64</v>
      </c>
      <c r="G318" s="427">
        <f>3260.78*10%</f>
        <v>326.07800000000003</v>
      </c>
      <c r="H318" s="225" t="s">
        <v>64</v>
      </c>
      <c r="I318" s="228" t="s">
        <v>64</v>
      </c>
      <c r="J318" s="1236"/>
      <c r="K318" s="1061"/>
      <c r="L318" s="120">
        <v>27.571950000000005</v>
      </c>
      <c r="M318" s="225" t="s">
        <v>64</v>
      </c>
      <c r="N318" s="255"/>
      <c r="O318" s="255"/>
      <c r="P318" s="255"/>
      <c r="Q318" s="255"/>
      <c r="R318" s="258"/>
      <c r="S318" s="120">
        <v>27.571950000000005</v>
      </c>
      <c r="T318" s="117">
        <v>411.90291323950532</v>
      </c>
      <c r="U318" s="228" t="s">
        <v>64</v>
      </c>
      <c r="V318" s="120">
        <v>4.2390140000000009</v>
      </c>
      <c r="W318" s="120">
        <v>4.2390140000000009</v>
      </c>
      <c r="X318" s="117">
        <v>63.327483760236419</v>
      </c>
      <c r="Y318" s="120">
        <v>5.4932403999999995</v>
      </c>
      <c r="Z318" s="117">
        <v>82.064624514586342</v>
      </c>
      <c r="AA318" s="252"/>
      <c r="AB318" s="252"/>
      <c r="AC318" s="120">
        <v>8.1331744000000015</v>
      </c>
      <c r="AD318" s="177">
        <v>121.50313014657898</v>
      </c>
      <c r="AE318" s="1174"/>
      <c r="AF318" s="1175"/>
      <c r="AG318" s="209">
        <v>27.571950000000005</v>
      </c>
      <c r="AH318" s="117">
        <v>823.80582647901065</v>
      </c>
      <c r="AI318" s="177">
        <f t="shared" si="9"/>
        <v>823.80582647901065</v>
      </c>
      <c r="AJ318" s="976"/>
      <c r="AK318" s="1020"/>
      <c r="AL318" s="1006"/>
      <c r="AM318" s="151"/>
      <c r="AN318" s="108"/>
      <c r="AO318" s="128"/>
      <c r="AP318" s="106"/>
    </row>
    <row r="319" spans="1:42" s="69" customFormat="1" ht="13.5" thickBot="1">
      <c r="A319" s="1208"/>
      <c r="B319" s="552"/>
      <c r="C319" s="541"/>
      <c r="D319" s="224" t="s">
        <v>821</v>
      </c>
      <c r="E319" s="226" t="s">
        <v>64</v>
      </c>
      <c r="F319" s="229" t="s">
        <v>64</v>
      </c>
      <c r="G319" s="429">
        <f>G317*10%</f>
        <v>1999.9990000000003</v>
      </c>
      <c r="H319" s="226" t="s">
        <v>64</v>
      </c>
      <c r="I319" s="229" t="s">
        <v>64</v>
      </c>
      <c r="J319" s="1236"/>
      <c r="K319" s="1061"/>
      <c r="L319" s="28">
        <v>69.419975000000008</v>
      </c>
      <c r="M319" s="226" t="s">
        <v>64</v>
      </c>
      <c r="N319" s="257"/>
      <c r="O319" s="257"/>
      <c r="P319" s="257"/>
      <c r="Q319" s="257"/>
      <c r="R319" s="259"/>
      <c r="S319" s="28">
        <v>69.419975000000008</v>
      </c>
      <c r="T319" s="118">
        <v>1037.0789856906624</v>
      </c>
      <c r="U319" s="229" t="s">
        <v>64</v>
      </c>
      <c r="V319" s="28">
        <v>25.999987000000004</v>
      </c>
      <c r="W319" s="28">
        <v>25.999987000000004</v>
      </c>
      <c r="X319" s="118">
        <v>388.41904143483782</v>
      </c>
      <c r="Y319" s="28">
        <v>8.5062981999999998</v>
      </c>
      <c r="Z319" s="118">
        <v>127.07730173106943</v>
      </c>
      <c r="AA319" s="254"/>
      <c r="AB319" s="254"/>
      <c r="AC319" s="28">
        <v>16.167995200000004</v>
      </c>
      <c r="AD319" s="180">
        <v>241.53693605720099</v>
      </c>
      <c r="AE319" s="1174"/>
      <c r="AF319" s="1175"/>
      <c r="AG319" s="199">
        <v>69.419975000000008</v>
      </c>
      <c r="AH319" s="118">
        <v>2074.1579713813248</v>
      </c>
      <c r="AI319" s="178">
        <f t="shared" si="9"/>
        <v>2074.1579713813248</v>
      </c>
      <c r="AJ319" s="977"/>
      <c r="AK319" s="1021"/>
      <c r="AL319" s="1006"/>
      <c r="AM319" s="151"/>
      <c r="AN319" s="108"/>
      <c r="AO319" s="128"/>
      <c r="AP319" s="106"/>
    </row>
    <row r="320" spans="1:42" s="69" customFormat="1">
      <c r="A320" s="1208"/>
      <c r="B320" s="465" t="s">
        <v>151</v>
      </c>
      <c r="C320" s="386" t="s">
        <v>151</v>
      </c>
      <c r="D320" s="222" t="s">
        <v>849</v>
      </c>
      <c r="E320" s="241" t="s">
        <v>1</v>
      </c>
      <c r="F320" s="260"/>
      <c r="G320" s="430">
        <f>28.37*10*72</f>
        <v>20426.399999999998</v>
      </c>
      <c r="H320" s="225" t="s">
        <v>221</v>
      </c>
      <c r="I320" s="260"/>
      <c r="J320" s="1236"/>
      <c r="K320" s="1061"/>
      <c r="L320" s="120">
        <v>488.42588800000004</v>
      </c>
      <c r="M320" s="12">
        <v>103.25</v>
      </c>
      <c r="N320" s="255"/>
      <c r="O320" s="255"/>
      <c r="P320" s="255"/>
      <c r="Q320" s="255"/>
      <c r="R320" s="258"/>
      <c r="S320" s="120">
        <v>385.17588800000004</v>
      </c>
      <c r="T320" s="117">
        <v>1498.5741037517917</v>
      </c>
      <c r="U320" s="323"/>
      <c r="V320" s="255"/>
      <c r="W320" s="255"/>
      <c r="X320" s="258"/>
      <c r="Y320" s="120">
        <v>2</v>
      </c>
      <c r="Z320" s="117">
        <v>7.7812456617315098</v>
      </c>
      <c r="AA320" s="120">
        <v>60.934687999999987</v>
      </c>
      <c r="AB320" s="117">
        <v>237.07388832448174</v>
      </c>
      <c r="AC320" s="120">
        <v>148.27103999999997</v>
      </c>
      <c r="AD320" s="177">
        <v>576.86669338020909</v>
      </c>
      <c r="AE320" s="1174"/>
      <c r="AF320" s="1175"/>
      <c r="AG320" s="209">
        <v>385.17588800000004</v>
      </c>
      <c r="AH320" s="117">
        <v>2997.1482075035833</v>
      </c>
      <c r="AI320" s="177">
        <f t="shared" si="9"/>
        <v>2997.1482075035833</v>
      </c>
      <c r="AJ320" s="975">
        <v>46157</v>
      </c>
      <c r="AK320" s="1019">
        <f>SUM(AI320:AI331)</f>
        <v>13686.03248312285</v>
      </c>
      <c r="AL320" s="1006"/>
      <c r="AM320" s="151"/>
      <c r="AN320" s="90"/>
      <c r="AO320" s="128"/>
      <c r="AP320" s="106"/>
    </row>
    <row r="321" spans="1:42" s="69" customFormat="1">
      <c r="A321" s="1208"/>
      <c r="B321" s="387"/>
      <c r="C321" s="386"/>
      <c r="D321" s="223" t="s">
        <v>808</v>
      </c>
      <c r="E321" s="225" t="s">
        <v>64</v>
      </c>
      <c r="F321" s="543"/>
      <c r="G321" s="426">
        <f>72*28.37</f>
        <v>2042.64</v>
      </c>
      <c r="H321" s="225" t="s">
        <v>64</v>
      </c>
      <c r="I321" s="543"/>
      <c r="J321" s="1236"/>
      <c r="K321" s="1061"/>
      <c r="L321" s="7">
        <v>64.262988800000002</v>
      </c>
      <c r="M321" s="225" t="s">
        <v>64</v>
      </c>
      <c r="N321" s="256"/>
      <c r="O321" s="256"/>
      <c r="P321" s="256"/>
      <c r="Q321" s="256"/>
      <c r="R321" s="537"/>
      <c r="S321" s="7">
        <v>64.262988800000002</v>
      </c>
      <c r="T321" s="157">
        <v>250.02305140495034</v>
      </c>
      <c r="U321" s="261"/>
      <c r="V321" s="256"/>
      <c r="W321" s="256"/>
      <c r="X321" s="537"/>
      <c r="Y321" s="7">
        <v>3</v>
      </c>
      <c r="Z321" s="157">
        <v>11.67186849259727</v>
      </c>
      <c r="AA321" s="7">
        <v>9.9218688000000004</v>
      </c>
      <c r="AB321" s="159">
        <v>38.602249278134629</v>
      </c>
      <c r="AC321" s="24">
        <v>18.603504000000001</v>
      </c>
      <c r="AD321" s="187">
        <v>72.379217396502426</v>
      </c>
      <c r="AE321" s="1174"/>
      <c r="AF321" s="1175"/>
      <c r="AG321" s="210">
        <v>64.262988800000002</v>
      </c>
      <c r="AH321" s="159">
        <v>500.04610280990067</v>
      </c>
      <c r="AI321" s="177">
        <f t="shared" si="9"/>
        <v>500.04610280990067</v>
      </c>
      <c r="AJ321" s="976"/>
      <c r="AK321" s="1020"/>
      <c r="AL321" s="1006"/>
      <c r="AM321" s="151"/>
      <c r="AN321" s="90"/>
      <c r="AO321" s="128"/>
      <c r="AP321" s="106"/>
    </row>
    <row r="322" spans="1:42" s="69" customFormat="1">
      <c r="A322" s="1208"/>
      <c r="B322" s="385"/>
      <c r="C322" s="386"/>
      <c r="D322" s="223" t="s">
        <v>809</v>
      </c>
      <c r="E322" s="225" t="s">
        <v>64</v>
      </c>
      <c r="F322" s="543"/>
      <c r="G322" s="430">
        <f>G321*14</f>
        <v>28596.960000000003</v>
      </c>
      <c r="H322" s="225" t="s">
        <v>64</v>
      </c>
      <c r="I322" s="543"/>
      <c r="J322" s="1236"/>
      <c r="K322" s="1061"/>
      <c r="L322" s="7">
        <v>327.6818432</v>
      </c>
      <c r="M322" s="225" t="s">
        <v>64</v>
      </c>
      <c r="N322" s="256"/>
      <c r="O322" s="256"/>
      <c r="P322" s="256"/>
      <c r="Q322" s="256"/>
      <c r="R322" s="537"/>
      <c r="S322" s="7">
        <v>327.6818432</v>
      </c>
      <c r="T322" s="157">
        <v>1274.8864604140908</v>
      </c>
      <c r="U322" s="261"/>
      <c r="V322" s="256"/>
      <c r="W322" s="256"/>
      <c r="X322" s="537"/>
      <c r="Y322" s="7">
        <v>3</v>
      </c>
      <c r="Z322" s="157">
        <v>11.67186849259727</v>
      </c>
      <c r="AA322" s="7">
        <v>60.906163200000002</v>
      </c>
      <c r="AB322" s="157">
        <v>236.96290908635589</v>
      </c>
      <c r="AC322" s="7">
        <v>114.19905600000001</v>
      </c>
      <c r="AD322" s="176">
        <v>444.30545453691695</v>
      </c>
      <c r="AE322" s="1174"/>
      <c r="AF322" s="1175"/>
      <c r="AG322" s="211">
        <v>327.6818432</v>
      </c>
      <c r="AH322" s="157">
        <v>2549.7729208281817</v>
      </c>
      <c r="AI322" s="177">
        <f t="shared" si="9"/>
        <v>2549.7729208281817</v>
      </c>
      <c r="AJ322" s="976"/>
      <c r="AK322" s="1020"/>
      <c r="AL322" s="1006"/>
      <c r="AM322" s="151"/>
      <c r="AN322" s="90"/>
      <c r="AO322" s="128"/>
      <c r="AP322" s="106"/>
    </row>
    <row r="323" spans="1:42" s="69" customFormat="1">
      <c r="A323" s="1208"/>
      <c r="B323" s="385"/>
      <c r="C323" s="386"/>
      <c r="D323" s="223" t="s">
        <v>810</v>
      </c>
      <c r="E323" s="225" t="s">
        <v>64</v>
      </c>
      <c r="F323" s="543"/>
      <c r="G323" s="430">
        <f>G321*15</f>
        <v>30639.600000000002</v>
      </c>
      <c r="H323" s="225" t="s">
        <v>64</v>
      </c>
      <c r="I323" s="543"/>
      <c r="J323" s="1236"/>
      <c r="K323" s="1061"/>
      <c r="L323" s="7">
        <v>347.94483200000002</v>
      </c>
      <c r="M323" s="225" t="s">
        <v>64</v>
      </c>
      <c r="N323" s="256"/>
      <c r="O323" s="256"/>
      <c r="P323" s="256"/>
      <c r="Q323" s="256"/>
      <c r="R323" s="537"/>
      <c r="S323" s="7">
        <v>347.94483200000002</v>
      </c>
      <c r="T323" s="157">
        <v>1353.7221072609498</v>
      </c>
      <c r="U323" s="261"/>
      <c r="V323" s="256"/>
      <c r="W323" s="256"/>
      <c r="X323" s="537"/>
      <c r="Y323" s="7">
        <v>3</v>
      </c>
      <c r="Z323" s="157">
        <v>11.67186849259727</v>
      </c>
      <c r="AA323" s="7">
        <v>64.828032000000007</v>
      </c>
      <c r="AB323" s="157">
        <v>252.2214213792958</v>
      </c>
      <c r="AC323" s="7">
        <v>121.55256000000001</v>
      </c>
      <c r="AD323" s="176">
        <v>472.91516508617923</v>
      </c>
      <c r="AE323" s="1174"/>
      <c r="AF323" s="1175"/>
      <c r="AG323" s="211">
        <v>347.94483200000002</v>
      </c>
      <c r="AH323" s="157">
        <v>2707.4442145218995</v>
      </c>
      <c r="AI323" s="177">
        <f t="shared" si="9"/>
        <v>2707.4442145218995</v>
      </c>
      <c r="AJ323" s="976"/>
      <c r="AK323" s="1020"/>
      <c r="AL323" s="1006"/>
      <c r="AM323" s="151"/>
      <c r="AN323" s="90"/>
      <c r="AO323" s="128"/>
      <c r="AP323" s="106"/>
    </row>
    <row r="324" spans="1:42" s="69" customFormat="1">
      <c r="A324" s="1208"/>
      <c r="B324" s="385"/>
      <c r="C324" s="386"/>
      <c r="D324" s="223" t="s">
        <v>811</v>
      </c>
      <c r="E324" s="225" t="s">
        <v>64</v>
      </c>
      <c r="F324" s="543"/>
      <c r="G324" s="427">
        <v>652.16</v>
      </c>
      <c r="H324" s="225" t="s">
        <v>64</v>
      </c>
      <c r="I324" s="543"/>
      <c r="J324" s="1236"/>
      <c r="K324" s="1061"/>
      <c r="L324" s="7">
        <v>50.469427199999998</v>
      </c>
      <c r="M324" s="225" t="s">
        <v>64</v>
      </c>
      <c r="N324" s="256"/>
      <c r="O324" s="256"/>
      <c r="P324" s="256"/>
      <c r="Q324" s="256"/>
      <c r="R324" s="537"/>
      <c r="S324" s="7">
        <v>50.469427199999998</v>
      </c>
      <c r="T324" s="157">
        <v>196.35750572503707</v>
      </c>
      <c r="U324" s="261"/>
      <c r="V324" s="256"/>
      <c r="W324" s="256"/>
      <c r="X324" s="537"/>
      <c r="Y324" s="7">
        <v>3</v>
      </c>
      <c r="Z324" s="157">
        <v>11.67186849259727</v>
      </c>
      <c r="AA324" s="7">
        <v>7.2521471999999996</v>
      </c>
      <c r="AB324" s="157">
        <v>28.215369469119146</v>
      </c>
      <c r="AC324" s="7">
        <v>13.597776</v>
      </c>
      <c r="AD324" s="176">
        <v>52.903817754598407</v>
      </c>
      <c r="AE324" s="1174"/>
      <c r="AF324" s="1175"/>
      <c r="AG324" s="211">
        <v>50.469427199999998</v>
      </c>
      <c r="AH324" s="157">
        <v>392.71501145007414</v>
      </c>
      <c r="AI324" s="177">
        <f t="shared" si="9"/>
        <v>392.71501145007414</v>
      </c>
      <c r="AJ324" s="976"/>
      <c r="AK324" s="1020"/>
      <c r="AL324" s="1006"/>
      <c r="AM324" s="151"/>
      <c r="AN324" s="90"/>
      <c r="AO324" s="128"/>
      <c r="AP324" s="106"/>
    </row>
    <row r="325" spans="1:42" s="69" customFormat="1">
      <c r="A325" s="1208"/>
      <c r="B325" s="385"/>
      <c r="C325" s="386"/>
      <c r="D325" s="223" t="s">
        <v>812</v>
      </c>
      <c r="E325" s="225" t="s">
        <v>64</v>
      </c>
      <c r="F325" s="543"/>
      <c r="G325" s="428">
        <f>G324*14</f>
        <v>9130.24</v>
      </c>
      <c r="H325" s="225" t="s">
        <v>64</v>
      </c>
      <c r="I325" s="543"/>
      <c r="J325" s="1236"/>
      <c r="K325" s="1061"/>
      <c r="L325" s="7">
        <v>134.57198080000001</v>
      </c>
      <c r="M325" s="225" t="s">
        <v>64</v>
      </c>
      <c r="N325" s="256"/>
      <c r="O325" s="256"/>
      <c r="P325" s="256"/>
      <c r="Q325" s="256"/>
      <c r="R325" s="537"/>
      <c r="S325" s="7">
        <v>134.57198080000001</v>
      </c>
      <c r="T325" s="157">
        <v>523.56882089530848</v>
      </c>
      <c r="U325" s="261"/>
      <c r="V325" s="256"/>
      <c r="W325" s="256"/>
      <c r="X325" s="537"/>
      <c r="Y325" s="7">
        <v>3</v>
      </c>
      <c r="Z325" s="157">
        <v>11.67186849259727</v>
      </c>
      <c r="AA325" s="7">
        <v>23.530060800000001</v>
      </c>
      <c r="AB325" s="157">
        <v>91.546591760139293</v>
      </c>
      <c r="AC325" s="7">
        <v>44.118864000000002</v>
      </c>
      <c r="AD325" s="176">
        <v>171.64985955026117</v>
      </c>
      <c r="AE325" s="1174"/>
      <c r="AF325" s="1175"/>
      <c r="AG325" s="211">
        <v>134.57198080000001</v>
      </c>
      <c r="AH325" s="157">
        <v>1047.137641790617</v>
      </c>
      <c r="AI325" s="177">
        <f t="shared" si="9"/>
        <v>1047.137641790617</v>
      </c>
      <c r="AJ325" s="976"/>
      <c r="AK325" s="1020"/>
      <c r="AL325" s="1006"/>
      <c r="AM325" s="151"/>
      <c r="AN325" s="90"/>
      <c r="AO325" s="128"/>
      <c r="AP325" s="106"/>
    </row>
    <row r="326" spans="1:42" s="69" customFormat="1">
      <c r="A326" s="1208"/>
      <c r="B326" s="385"/>
      <c r="C326" s="386"/>
      <c r="D326" s="223" t="s">
        <v>813</v>
      </c>
      <c r="E326" s="225" t="s">
        <v>64</v>
      </c>
      <c r="F326" s="543"/>
      <c r="G326" s="428">
        <f>G324*10%</f>
        <v>65.215999999999994</v>
      </c>
      <c r="H326" s="225" t="s">
        <v>64</v>
      </c>
      <c r="I326" s="543"/>
      <c r="J326" s="1236"/>
      <c r="K326" s="1061"/>
      <c r="L326" s="7">
        <v>44.646942719999998</v>
      </c>
      <c r="M326" s="225" t="s">
        <v>64</v>
      </c>
      <c r="N326" s="256"/>
      <c r="O326" s="256"/>
      <c r="P326" s="256"/>
      <c r="Q326" s="256"/>
      <c r="R326" s="537"/>
      <c r="S326" s="7">
        <v>44.646942719999998</v>
      </c>
      <c r="T326" s="157">
        <v>173.70441467478756</v>
      </c>
      <c r="U326" s="261"/>
      <c r="V326" s="256"/>
      <c r="W326" s="256"/>
      <c r="X326" s="537"/>
      <c r="Y326" s="7">
        <v>3</v>
      </c>
      <c r="Z326" s="157">
        <v>11.67186849259727</v>
      </c>
      <c r="AA326" s="7">
        <v>6.1252147199999998</v>
      </c>
      <c r="AB326" s="157">
        <v>23.830900233586995</v>
      </c>
      <c r="AC326" s="7">
        <v>11.484777599999999</v>
      </c>
      <c r="AD326" s="176">
        <v>44.68293793797563</v>
      </c>
      <c r="AE326" s="1174"/>
      <c r="AF326" s="1175"/>
      <c r="AG326" s="211">
        <v>44.646942719999998</v>
      </c>
      <c r="AH326" s="157">
        <v>347.40882934957511</v>
      </c>
      <c r="AI326" s="177">
        <f t="shared" si="9"/>
        <v>347.40882934957511</v>
      </c>
      <c r="AJ326" s="976"/>
      <c r="AK326" s="1020"/>
      <c r="AL326" s="1006"/>
      <c r="AM326" s="151"/>
      <c r="AN326" s="90"/>
      <c r="AO326" s="128"/>
      <c r="AP326" s="106"/>
    </row>
    <row r="327" spans="1:42" s="69" customFormat="1">
      <c r="A327" s="1208"/>
      <c r="B327" s="385"/>
      <c r="C327" s="386"/>
      <c r="D327" s="223" t="s">
        <v>814</v>
      </c>
      <c r="E327" s="225" t="s">
        <v>64</v>
      </c>
      <c r="F327" s="543"/>
      <c r="G327" s="428">
        <f>G326*14</f>
        <v>913.02399999999989</v>
      </c>
      <c r="H327" s="225" t="s">
        <v>64</v>
      </c>
      <c r="I327" s="543"/>
      <c r="J327" s="1236"/>
      <c r="K327" s="1061"/>
      <c r="L327" s="7">
        <v>53.057198079999999</v>
      </c>
      <c r="M327" s="225" t="s">
        <v>64</v>
      </c>
      <c r="N327" s="256"/>
      <c r="O327" s="256"/>
      <c r="P327" s="256"/>
      <c r="Q327" s="256"/>
      <c r="R327" s="537"/>
      <c r="S327" s="7">
        <v>53.057198079999999</v>
      </c>
      <c r="T327" s="157">
        <v>206.42554619181459</v>
      </c>
      <c r="U327" s="261"/>
      <c r="V327" s="256"/>
      <c r="W327" s="256"/>
      <c r="X327" s="537"/>
      <c r="Y327" s="7">
        <v>3</v>
      </c>
      <c r="Z327" s="157">
        <v>11.67186849259727</v>
      </c>
      <c r="AA327" s="7">
        <v>7.7530060799999996</v>
      </c>
      <c r="AB327" s="157">
        <v>30.164022462689019</v>
      </c>
      <c r="AC327" s="7">
        <v>14.5368864</v>
      </c>
      <c r="AD327" s="176">
        <v>56.55754211754185</v>
      </c>
      <c r="AE327" s="1174"/>
      <c r="AF327" s="1175"/>
      <c r="AG327" s="211">
        <v>53.057198079999999</v>
      </c>
      <c r="AH327" s="157">
        <v>412.85109238362918</v>
      </c>
      <c r="AI327" s="177">
        <f t="shared" si="9"/>
        <v>412.85109238362918</v>
      </c>
      <c r="AJ327" s="976"/>
      <c r="AK327" s="1020"/>
      <c r="AL327" s="1006"/>
      <c r="AM327" s="151"/>
      <c r="AN327" s="90"/>
      <c r="AO327" s="128"/>
      <c r="AP327" s="106"/>
    </row>
    <row r="328" spans="1:42" s="69" customFormat="1">
      <c r="A328" s="1208"/>
      <c r="B328" s="385"/>
      <c r="C328" s="386"/>
      <c r="D328" s="223" t="s">
        <v>815</v>
      </c>
      <c r="E328" s="225" t="s">
        <v>64</v>
      </c>
      <c r="F328" s="543"/>
      <c r="G328" s="428">
        <f>G326*15</f>
        <v>978.2399999999999</v>
      </c>
      <c r="H328" s="225" t="s">
        <v>64</v>
      </c>
      <c r="I328" s="543"/>
      <c r="J328" s="1236"/>
      <c r="K328" s="1061"/>
      <c r="L328" s="7">
        <v>53.704140799999998</v>
      </c>
      <c r="M328" s="225" t="s">
        <v>64</v>
      </c>
      <c r="N328" s="256"/>
      <c r="O328" s="256"/>
      <c r="P328" s="256"/>
      <c r="Q328" s="256"/>
      <c r="R328" s="537"/>
      <c r="S328" s="7">
        <v>53.704140799999998</v>
      </c>
      <c r="T328" s="157">
        <v>208.94255630850893</v>
      </c>
      <c r="U328" s="261"/>
      <c r="V328" s="256"/>
      <c r="W328" s="256"/>
      <c r="X328" s="537"/>
      <c r="Y328" s="7">
        <v>3</v>
      </c>
      <c r="Z328" s="157">
        <v>11.67186849259727</v>
      </c>
      <c r="AA328" s="7">
        <v>7.8782207999999985</v>
      </c>
      <c r="AB328" s="157">
        <v>30.651185711081482</v>
      </c>
      <c r="AC328" s="7">
        <v>14.771663999999999</v>
      </c>
      <c r="AD328" s="176">
        <v>57.470973208277726</v>
      </c>
      <c r="AE328" s="1174"/>
      <c r="AF328" s="1175"/>
      <c r="AG328" s="211">
        <v>53.704140799999998</v>
      </c>
      <c r="AH328" s="157">
        <v>417.88511261701785</v>
      </c>
      <c r="AI328" s="177">
        <f t="shared" si="9"/>
        <v>417.88511261701785</v>
      </c>
      <c r="AJ328" s="976"/>
      <c r="AK328" s="1020"/>
      <c r="AL328" s="1006"/>
      <c r="AM328" s="151"/>
      <c r="AN328" s="90"/>
      <c r="AO328" s="128"/>
      <c r="AP328" s="106"/>
    </row>
    <row r="329" spans="1:42" s="69" customFormat="1">
      <c r="A329" s="1208"/>
      <c r="B329" s="385"/>
      <c r="C329" s="386"/>
      <c r="D329" s="223" t="s">
        <v>816</v>
      </c>
      <c r="E329" s="225" t="s">
        <v>64</v>
      </c>
      <c r="F329" s="543"/>
      <c r="G329" s="428">
        <v>13333.33</v>
      </c>
      <c r="H329" s="225" t="s">
        <v>64</v>
      </c>
      <c r="I329" s="543"/>
      <c r="J329" s="1236"/>
      <c r="K329" s="1061"/>
      <c r="L329" s="7">
        <v>176.26663360000001</v>
      </c>
      <c r="M329" s="225" t="s">
        <v>64</v>
      </c>
      <c r="N329" s="256"/>
      <c r="O329" s="256"/>
      <c r="P329" s="256"/>
      <c r="Q329" s="256"/>
      <c r="R329" s="537"/>
      <c r="S329" s="7">
        <v>176.26663360000001</v>
      </c>
      <c r="T329" s="157">
        <v>685.78698900400889</v>
      </c>
      <c r="U329" s="261"/>
      <c r="V329" s="256"/>
      <c r="W329" s="256"/>
      <c r="X329" s="537"/>
      <c r="Y329" s="7">
        <v>3</v>
      </c>
      <c r="Z329" s="157">
        <v>11.67186849259727</v>
      </c>
      <c r="AA329" s="7">
        <v>31.599993599999998</v>
      </c>
      <c r="AB329" s="157">
        <v>122.94365655537175</v>
      </c>
      <c r="AC329" s="7">
        <v>59.249988000000002</v>
      </c>
      <c r="AD329" s="176">
        <v>230.51935604132208</v>
      </c>
      <c r="AE329" s="1174"/>
      <c r="AF329" s="1175"/>
      <c r="AG329" s="211">
        <v>176.26663360000001</v>
      </c>
      <c r="AH329" s="157">
        <v>1371.5739780080178</v>
      </c>
      <c r="AI329" s="177">
        <f t="shared" si="9"/>
        <v>1371.5739780080178</v>
      </c>
      <c r="AJ329" s="976"/>
      <c r="AK329" s="1020"/>
      <c r="AL329" s="1006"/>
      <c r="AM329" s="151"/>
      <c r="AN329" s="90"/>
      <c r="AO329" s="128"/>
      <c r="AP329" s="106"/>
    </row>
    <row r="330" spans="1:42" s="69" customFormat="1">
      <c r="A330" s="1208"/>
      <c r="B330" s="385"/>
      <c r="C330" s="386"/>
      <c r="D330" s="223" t="s">
        <v>820</v>
      </c>
      <c r="E330" s="225" t="s">
        <v>64</v>
      </c>
      <c r="F330" s="543"/>
      <c r="G330" s="427">
        <f>19999.99*10%</f>
        <v>1999.9990000000003</v>
      </c>
      <c r="H330" s="225" t="s">
        <v>64</v>
      </c>
      <c r="I330" s="543"/>
      <c r="J330" s="1236"/>
      <c r="K330" s="1061"/>
      <c r="L330" s="7">
        <v>63.839990080000007</v>
      </c>
      <c r="M330" s="225" t="s">
        <v>64</v>
      </c>
      <c r="N330" s="256"/>
      <c r="O330" s="256"/>
      <c r="P330" s="256"/>
      <c r="Q330" s="256"/>
      <c r="R330" s="537"/>
      <c r="S330" s="7">
        <v>63.839990080000007</v>
      </c>
      <c r="T330" s="157">
        <v>248.37732292749115</v>
      </c>
      <c r="U330" s="261"/>
      <c r="V330" s="256"/>
      <c r="W330" s="256"/>
      <c r="X330" s="537"/>
      <c r="Y330" s="7">
        <v>3</v>
      </c>
      <c r="Z330" s="157">
        <v>11.67186849259727</v>
      </c>
      <c r="AA330" s="7">
        <v>9.8399980800000009</v>
      </c>
      <c r="AB330" s="157">
        <v>38.283721185723202</v>
      </c>
      <c r="AC330" s="7">
        <v>18.449996400000003</v>
      </c>
      <c r="AD330" s="176">
        <v>71.781977223231067</v>
      </c>
      <c r="AE330" s="1174"/>
      <c r="AF330" s="1175"/>
      <c r="AG330" s="211">
        <v>63.839990080000007</v>
      </c>
      <c r="AH330" s="157">
        <v>496.7546458549823</v>
      </c>
      <c r="AI330" s="177">
        <f t="shared" si="9"/>
        <v>496.7546458549823</v>
      </c>
      <c r="AJ330" s="976"/>
      <c r="AK330" s="1020"/>
      <c r="AL330" s="1006"/>
      <c r="AM330" s="151"/>
      <c r="AN330" s="90"/>
      <c r="AO330" s="128"/>
      <c r="AP330" s="106"/>
    </row>
    <row r="331" spans="1:42" s="69" customFormat="1" ht="13.5" thickBot="1">
      <c r="A331" s="1208"/>
      <c r="B331" s="389"/>
      <c r="C331" s="390"/>
      <c r="D331" s="224" t="s">
        <v>821</v>
      </c>
      <c r="E331" s="226" t="s">
        <v>64</v>
      </c>
      <c r="F331" s="545"/>
      <c r="G331" s="429">
        <f>G329*10%</f>
        <v>1333.3330000000001</v>
      </c>
      <c r="H331" s="226" t="s">
        <v>64</v>
      </c>
      <c r="I331" s="545"/>
      <c r="J331" s="1236"/>
      <c r="K331" s="1061"/>
      <c r="L331" s="28">
        <v>57.226663359999996</v>
      </c>
      <c r="M331" s="226" t="s">
        <v>64</v>
      </c>
      <c r="N331" s="257"/>
      <c r="O331" s="257"/>
      <c r="P331" s="257"/>
      <c r="Q331" s="257"/>
      <c r="R331" s="259"/>
      <c r="S331" s="28">
        <v>57.226663359999996</v>
      </c>
      <c r="T331" s="118">
        <v>222.64736300268453</v>
      </c>
      <c r="U331" s="324"/>
      <c r="V331" s="257"/>
      <c r="W331" s="257"/>
      <c r="X331" s="259"/>
      <c r="Y331" s="28">
        <v>3</v>
      </c>
      <c r="Z331" s="118">
        <v>11.67186849259727</v>
      </c>
      <c r="AA331" s="28">
        <v>8.5599993599999991</v>
      </c>
      <c r="AB331" s="118">
        <v>33.303728942212238</v>
      </c>
      <c r="AC331" s="28">
        <v>16.049998800000001</v>
      </c>
      <c r="AD331" s="178">
        <v>62.444491766648035</v>
      </c>
      <c r="AE331" s="1174"/>
      <c r="AF331" s="1175"/>
      <c r="AG331" s="547">
        <v>57.226663359999996</v>
      </c>
      <c r="AH331" s="118">
        <v>445.29472600536906</v>
      </c>
      <c r="AI331" s="178">
        <f t="shared" si="9"/>
        <v>445.29472600536906</v>
      </c>
      <c r="AJ331" s="976"/>
      <c r="AK331" s="1021"/>
      <c r="AL331" s="1006"/>
      <c r="AM331" s="151"/>
      <c r="AN331" s="90"/>
      <c r="AO331" s="128"/>
      <c r="AP331" s="106"/>
    </row>
    <row r="332" spans="1:42" s="69" customFormat="1">
      <c r="A332" s="1208"/>
      <c r="B332" s="232" t="s">
        <v>151</v>
      </c>
      <c r="C332" s="912" t="s">
        <v>151</v>
      </c>
      <c r="D332" s="222" t="s">
        <v>850</v>
      </c>
      <c r="E332" s="241" t="s">
        <v>1</v>
      </c>
      <c r="F332" s="260"/>
      <c r="G332" s="430">
        <f>28.37*30*72</f>
        <v>61279.200000000004</v>
      </c>
      <c r="H332" s="546">
        <v>3281.6</v>
      </c>
      <c r="I332" s="260"/>
      <c r="J332" s="1236"/>
      <c r="K332" s="1061"/>
      <c r="L332" s="120">
        <v>909.31766400000004</v>
      </c>
      <c r="M332" s="12">
        <v>103.23</v>
      </c>
      <c r="N332" s="255"/>
      <c r="O332" s="255"/>
      <c r="P332" s="255"/>
      <c r="Q332" s="255"/>
      <c r="R332" s="258"/>
      <c r="S332" s="120">
        <v>806.08766400000002</v>
      </c>
      <c r="T332" s="117">
        <v>3117.3542495702382</v>
      </c>
      <c r="U332" s="323"/>
      <c r="V332" s="255"/>
      <c r="W332" s="255"/>
      <c r="X332" s="258"/>
      <c r="Y332" s="120">
        <v>0</v>
      </c>
      <c r="Z332" s="117">
        <v>0</v>
      </c>
      <c r="AA332" s="120">
        <v>141.80406399999998</v>
      </c>
      <c r="AB332" s="117">
        <v>548.39383017369937</v>
      </c>
      <c r="AC332" s="120">
        <v>294.42761999999999</v>
      </c>
      <c r="AD332" s="177">
        <v>1138.6294982400971</v>
      </c>
      <c r="AE332" s="1174"/>
      <c r="AF332" s="1175"/>
      <c r="AG332" s="209">
        <v>806.08766400000002</v>
      </c>
      <c r="AH332" s="117">
        <v>6234.7084991404763</v>
      </c>
      <c r="AI332" s="177">
        <f t="shared" si="9"/>
        <v>6234.7084991404763</v>
      </c>
      <c r="AJ332" s="976"/>
      <c r="AK332" s="978">
        <f>SUM(AI332:AI334)</f>
        <v>10325.413895783373</v>
      </c>
      <c r="AL332" s="1006"/>
      <c r="AM332" s="151"/>
      <c r="AN332" s="90"/>
      <c r="AO332" s="128"/>
      <c r="AP332" s="106"/>
    </row>
    <row r="333" spans="1:42" s="69" customFormat="1">
      <c r="A333" s="1208"/>
      <c r="B333" s="548"/>
      <c r="C333" s="544"/>
      <c r="D333" s="223" t="s">
        <v>808</v>
      </c>
      <c r="E333" s="225" t="s">
        <v>64</v>
      </c>
      <c r="F333" s="543"/>
      <c r="G333" s="427">
        <v>39999.99</v>
      </c>
      <c r="H333" s="225" t="s">
        <v>64</v>
      </c>
      <c r="I333" s="543"/>
      <c r="J333" s="1236"/>
      <c r="K333" s="1061"/>
      <c r="L333" s="7">
        <v>440.79990079999993</v>
      </c>
      <c r="M333" s="225" t="s">
        <v>64</v>
      </c>
      <c r="N333" s="256"/>
      <c r="O333" s="256"/>
      <c r="P333" s="256"/>
      <c r="Q333" s="256"/>
      <c r="R333" s="537"/>
      <c r="S333" s="7">
        <v>440.79990079999993</v>
      </c>
      <c r="T333" s="157">
        <v>1704.6898313146989</v>
      </c>
      <c r="U333" s="261"/>
      <c r="V333" s="256"/>
      <c r="W333" s="256"/>
      <c r="X333" s="537"/>
      <c r="Y333" s="7">
        <v>3</v>
      </c>
      <c r="Z333" s="157">
        <v>11.601793658897526</v>
      </c>
      <c r="AA333" s="7">
        <v>82.799980799999986</v>
      </c>
      <c r="AB333" s="157">
        <v>320.20943073409194</v>
      </c>
      <c r="AC333" s="7">
        <v>155.24996400000001</v>
      </c>
      <c r="AD333" s="176">
        <v>600.39268262642247</v>
      </c>
      <c r="AE333" s="1174"/>
      <c r="AF333" s="1175"/>
      <c r="AG333" s="211">
        <v>440.79990079999993</v>
      </c>
      <c r="AH333" s="157">
        <v>3409.3796626293979</v>
      </c>
      <c r="AI333" s="177">
        <f t="shared" si="9"/>
        <v>3409.3796626293979</v>
      </c>
      <c r="AJ333" s="976"/>
      <c r="AK333" s="979"/>
      <c r="AL333" s="1006"/>
      <c r="AM333" s="151"/>
      <c r="AN333" s="90"/>
      <c r="AO333" s="128"/>
      <c r="AP333" s="106"/>
    </row>
    <row r="334" spans="1:42" s="69" customFormat="1" ht="13.5" thickBot="1">
      <c r="A334" s="1209"/>
      <c r="B334" s="549"/>
      <c r="C334" s="390"/>
      <c r="D334" s="224" t="s">
        <v>809</v>
      </c>
      <c r="E334" s="226" t="s">
        <v>64</v>
      </c>
      <c r="F334" s="545"/>
      <c r="G334" s="429">
        <v>4444.4399999999996</v>
      </c>
      <c r="H334" s="226" t="s">
        <v>64</v>
      </c>
      <c r="I334" s="545"/>
      <c r="J334" s="1237"/>
      <c r="K334" s="1062"/>
      <c r="L334" s="28">
        <v>88.08884479999999</v>
      </c>
      <c r="M334" s="226" t="s">
        <v>64</v>
      </c>
      <c r="N334" s="257"/>
      <c r="O334" s="257"/>
      <c r="P334" s="257"/>
      <c r="Q334" s="257"/>
      <c r="R334" s="259"/>
      <c r="S334" s="28">
        <v>88.08884479999999</v>
      </c>
      <c r="T334" s="118">
        <v>340.66286700674914</v>
      </c>
      <c r="U334" s="324"/>
      <c r="V334" s="257"/>
      <c r="W334" s="257"/>
      <c r="X334" s="259"/>
      <c r="Y334" s="28">
        <v>3</v>
      </c>
      <c r="Z334" s="118">
        <v>11.601793658897526</v>
      </c>
      <c r="AA334" s="28">
        <v>14.533324799999997</v>
      </c>
      <c r="AB334" s="118">
        <v>56.204211835779354</v>
      </c>
      <c r="AC334" s="28">
        <v>27.249983999999998</v>
      </c>
      <c r="AD334" s="178">
        <v>105.38289719208628</v>
      </c>
      <c r="AE334" s="1176"/>
      <c r="AF334" s="1177"/>
      <c r="AG334" s="547">
        <v>88.08884479999999</v>
      </c>
      <c r="AH334" s="118">
        <v>681.32573401349828</v>
      </c>
      <c r="AI334" s="178">
        <f t="shared" si="9"/>
        <v>681.32573401349828</v>
      </c>
      <c r="AJ334" s="977"/>
      <c r="AK334" s="980"/>
      <c r="AL334" s="1007"/>
      <c r="AM334" s="151"/>
      <c r="AN334" s="90"/>
      <c r="AO334" s="128"/>
      <c r="AP334" s="106"/>
    </row>
    <row r="335" spans="1:42" s="69" customFormat="1">
      <c r="A335" s="66"/>
      <c r="B335" s="93"/>
      <c r="C335" s="67"/>
      <c r="D335" s="128"/>
      <c r="E335" s="128"/>
      <c r="F335" s="128"/>
      <c r="G335" s="59"/>
      <c r="H335" s="59"/>
      <c r="I335" s="59"/>
      <c r="J335" s="128"/>
      <c r="K335" s="128"/>
      <c r="L335" s="61"/>
      <c r="M335" s="60"/>
      <c r="N335" s="61"/>
      <c r="O335" s="61"/>
      <c r="P335" s="61"/>
      <c r="Q335" s="61"/>
      <c r="R335" s="160"/>
      <c r="S335" s="61"/>
      <c r="T335" s="160"/>
      <c r="U335" s="61"/>
      <c r="V335" s="61"/>
      <c r="W335" s="61"/>
      <c r="X335" s="151"/>
      <c r="Y335" s="60"/>
      <c r="Z335" s="151"/>
      <c r="AA335" s="60"/>
      <c r="AB335" s="60"/>
      <c r="AC335" s="60"/>
      <c r="AD335" s="60"/>
      <c r="AE335" s="60"/>
      <c r="AF335" s="60"/>
      <c r="AG335" s="60"/>
      <c r="AH335" s="151"/>
      <c r="AI335" s="151"/>
      <c r="AJ335" s="60"/>
      <c r="AK335" s="147"/>
      <c r="AM335" s="151"/>
      <c r="AN335" s="90"/>
      <c r="AO335" s="128"/>
      <c r="AP335" s="106"/>
    </row>
    <row r="336" spans="1:42" s="144" customFormat="1">
      <c r="A336" s="139"/>
      <c r="B336" s="139"/>
      <c r="C336" s="140"/>
      <c r="D336" s="141"/>
      <c r="E336" s="141"/>
      <c r="F336" s="141"/>
      <c r="G336" s="142"/>
      <c r="H336" s="142"/>
      <c r="I336" s="142"/>
      <c r="J336" s="146"/>
      <c r="K336" s="141"/>
      <c r="L336" s="143"/>
      <c r="M336" s="137"/>
      <c r="N336" s="143"/>
      <c r="O336" s="143"/>
      <c r="P336" s="143"/>
      <c r="Q336" s="143"/>
      <c r="R336" s="169"/>
      <c r="S336" s="143"/>
      <c r="T336" s="169"/>
      <c r="U336" s="143"/>
      <c r="V336" s="143"/>
      <c r="W336" s="143"/>
      <c r="X336" s="155"/>
      <c r="Y336" s="137"/>
      <c r="Z336" s="155"/>
      <c r="AA336" s="137"/>
      <c r="AB336" s="137"/>
      <c r="AC336" s="137"/>
      <c r="AD336" s="137"/>
      <c r="AE336" s="137"/>
      <c r="AF336" s="137"/>
      <c r="AG336" s="137"/>
      <c r="AH336" s="155"/>
      <c r="AI336" s="155"/>
      <c r="AJ336" s="137"/>
      <c r="AK336" s="148"/>
      <c r="AM336" s="155"/>
      <c r="AN336" s="138"/>
      <c r="AO336" s="141"/>
      <c r="AP336" s="145"/>
    </row>
    <row r="337" spans="1:42" s="69" customFormat="1" ht="13.5" thickBot="1">
      <c r="A337" s="66"/>
      <c r="B337" s="70"/>
      <c r="C337" s="71"/>
      <c r="D337" s="63"/>
      <c r="E337" s="63"/>
      <c r="F337" s="63"/>
      <c r="G337" s="59"/>
      <c r="H337" s="59"/>
      <c r="I337" s="59"/>
      <c r="J337" s="68"/>
      <c r="K337" s="128"/>
      <c r="L337" s="61"/>
      <c r="M337" s="60"/>
      <c r="N337" s="61"/>
      <c r="O337" s="61"/>
      <c r="P337" s="61"/>
      <c r="Q337" s="61"/>
      <c r="R337" s="160"/>
      <c r="S337" s="61"/>
      <c r="T337" s="160"/>
      <c r="U337" s="61"/>
      <c r="V337" s="61"/>
      <c r="W337" s="61"/>
      <c r="X337" s="151"/>
      <c r="Y337" s="60"/>
      <c r="Z337" s="151"/>
      <c r="AA337" s="64"/>
      <c r="AB337" s="64"/>
      <c r="AC337" s="64"/>
      <c r="AD337" s="64"/>
      <c r="AE337" s="64"/>
      <c r="AF337" s="64"/>
      <c r="AG337" s="60"/>
      <c r="AH337" s="151"/>
      <c r="AI337" s="151"/>
      <c r="AJ337" s="60"/>
      <c r="AK337" s="147"/>
      <c r="AM337" s="151"/>
      <c r="AN337" s="90"/>
      <c r="AO337" s="128"/>
      <c r="AP337" s="106"/>
    </row>
    <row r="338" spans="1:42" s="69" customFormat="1">
      <c r="A338" s="1014" t="s">
        <v>32</v>
      </c>
      <c r="B338" s="465" t="s">
        <v>151</v>
      </c>
      <c r="C338" s="386" t="s">
        <v>151</v>
      </c>
      <c r="D338" s="222" t="s">
        <v>374</v>
      </c>
      <c r="E338" s="77" t="s">
        <v>0</v>
      </c>
      <c r="F338" s="245" t="s">
        <v>21</v>
      </c>
      <c r="G338" s="425">
        <f>3*48*41.039</f>
        <v>5909.616</v>
      </c>
      <c r="H338" s="49">
        <v>5909.62</v>
      </c>
      <c r="I338" s="264" t="s">
        <v>21</v>
      </c>
      <c r="J338" s="1293" t="s">
        <v>23</v>
      </c>
      <c r="K338" s="1078" t="s">
        <v>504</v>
      </c>
      <c r="L338" s="88">
        <v>561.58455360000005</v>
      </c>
      <c r="M338" s="50">
        <v>465.65</v>
      </c>
      <c r="N338" s="114"/>
      <c r="O338" s="114"/>
      <c r="P338" s="114"/>
      <c r="Q338" s="114"/>
      <c r="R338" s="173"/>
      <c r="S338" s="272">
        <v>95.934553600000072</v>
      </c>
      <c r="T338" s="109">
        <v>466.5110969388565</v>
      </c>
      <c r="U338" s="245" t="s">
        <v>21</v>
      </c>
      <c r="V338" s="88"/>
      <c r="W338" s="88">
        <v>-4.9919999999872289E-3</v>
      </c>
      <c r="X338" s="110">
        <v>0</v>
      </c>
      <c r="Y338" s="88">
        <v>9.0044240000000002</v>
      </c>
      <c r="Z338" s="109">
        <v>43.786764621402952</v>
      </c>
      <c r="AA338" s="120">
        <v>16.843385600000012</v>
      </c>
      <c r="AB338" s="120">
        <v>81.906112006134848</v>
      </c>
      <c r="AC338" s="120">
        <v>23.131732800000016</v>
      </c>
      <c r="AD338" s="269">
        <v>112.48512280172343</v>
      </c>
      <c r="AE338" s="941" t="s">
        <v>19</v>
      </c>
      <c r="AF338" s="942"/>
      <c r="AG338" s="272">
        <v>95.934553600000072</v>
      </c>
      <c r="AH338" s="109">
        <v>933.02219387771299</v>
      </c>
      <c r="AI338" s="179">
        <f>AH338</f>
        <v>933.02219387771299</v>
      </c>
      <c r="AJ338" s="975">
        <v>46126</v>
      </c>
      <c r="AK338" s="978">
        <f>SUM(AI338:AI350)</f>
        <v>42484.719782261105</v>
      </c>
      <c r="AL338" s="1005">
        <f>AK338+AK351+AK361</f>
        <v>67014.515882689433</v>
      </c>
      <c r="AM338" s="151"/>
      <c r="AN338" s="90"/>
      <c r="AO338" s="128"/>
      <c r="AP338" s="106"/>
    </row>
    <row r="339" spans="1:42" s="69" customFormat="1">
      <c r="A339" s="1015"/>
      <c r="B339" s="437"/>
      <c r="C339" s="239"/>
      <c r="D339" s="223" t="s">
        <v>808</v>
      </c>
      <c r="E339" s="225" t="s">
        <v>64</v>
      </c>
      <c r="F339" s="245" t="s">
        <v>21</v>
      </c>
      <c r="G339" s="426">
        <f>G338/3</f>
        <v>1969.8720000000001</v>
      </c>
      <c r="H339" s="225" t="s">
        <v>64</v>
      </c>
      <c r="I339" s="265" t="s">
        <v>21</v>
      </c>
      <c r="J339" s="1294"/>
      <c r="K339" s="1079"/>
      <c r="L339" s="7">
        <v>133.45885120000003</v>
      </c>
      <c r="M339" s="225" t="s">
        <v>64</v>
      </c>
      <c r="N339" s="188"/>
      <c r="O339" s="188"/>
      <c r="P339" s="188"/>
      <c r="Q339" s="188"/>
      <c r="R339" s="214"/>
      <c r="S339" s="192">
        <v>133.45885120000003</v>
      </c>
      <c r="T339" s="157">
        <v>648.98446631758407</v>
      </c>
      <c r="U339" s="245" t="s">
        <v>21</v>
      </c>
      <c r="V339" s="7"/>
      <c r="W339" s="7">
        <v>25.608336000000005</v>
      </c>
      <c r="X339" s="111">
        <v>124.52836303330442</v>
      </c>
      <c r="Y339" s="7">
        <v>8.1548079999999992</v>
      </c>
      <c r="Z339" s="157">
        <v>39.655247068411413</v>
      </c>
      <c r="AA339" s="7">
        <v>15.151795200000002</v>
      </c>
      <c r="AB339" s="7">
        <v>73.680236516417111</v>
      </c>
      <c r="AC339" s="7">
        <v>29.600577600000005</v>
      </c>
      <c r="AD339" s="270">
        <v>143.94185836082059</v>
      </c>
      <c r="AE339" s="943"/>
      <c r="AF339" s="944"/>
      <c r="AG339" s="192">
        <v>133.45885120000003</v>
      </c>
      <c r="AH339" s="157">
        <v>1297.9689326351681</v>
      </c>
      <c r="AI339" s="176">
        <f t="shared" ref="AI339:AI373" si="10">AH339</f>
        <v>1297.9689326351681</v>
      </c>
      <c r="AJ339" s="1003"/>
      <c r="AK339" s="979"/>
      <c r="AL339" s="1006"/>
      <c r="AM339" s="151"/>
      <c r="AN339" s="90"/>
      <c r="AO339" s="128"/>
      <c r="AP339" s="106"/>
    </row>
    <row r="340" spans="1:42" s="69" customFormat="1">
      <c r="A340" s="1015"/>
      <c r="B340" s="437"/>
      <c r="C340" s="239"/>
      <c r="D340" s="223" t="s">
        <v>809</v>
      </c>
      <c r="E340" s="225" t="s">
        <v>64</v>
      </c>
      <c r="F340" s="245" t="s">
        <v>21</v>
      </c>
      <c r="G340" s="426">
        <f>G343*10%</f>
        <v>5340</v>
      </c>
      <c r="H340" s="225"/>
      <c r="I340" s="265" t="s">
        <v>21</v>
      </c>
      <c r="J340" s="1294"/>
      <c r="K340" s="1079"/>
      <c r="L340" s="7">
        <v>216.36400000000003</v>
      </c>
      <c r="M340" s="225" t="s">
        <v>64</v>
      </c>
      <c r="N340" s="188"/>
      <c r="O340" s="188"/>
      <c r="P340" s="188"/>
      <c r="Q340" s="188"/>
      <c r="R340" s="214"/>
      <c r="S340" s="192">
        <v>216.36400000000003</v>
      </c>
      <c r="T340" s="157">
        <v>1052.136098938169</v>
      </c>
      <c r="U340" s="245" t="s">
        <v>21</v>
      </c>
      <c r="V340" s="7"/>
      <c r="W340" s="7">
        <v>69.42</v>
      </c>
      <c r="X340" s="111">
        <v>337.5759737677605</v>
      </c>
      <c r="Y340" s="7">
        <v>13.21</v>
      </c>
      <c r="Z340" s="157">
        <v>64.237663691617897</v>
      </c>
      <c r="AA340" s="7">
        <v>20.544</v>
      </c>
      <c r="AB340" s="7">
        <v>99.901480914503978</v>
      </c>
      <c r="AC340" s="7">
        <v>40.722000000000001</v>
      </c>
      <c r="AD340" s="270">
        <v>198.02317493187465</v>
      </c>
      <c r="AE340" s="943"/>
      <c r="AF340" s="944"/>
      <c r="AG340" s="192">
        <v>216.36400000000003</v>
      </c>
      <c r="AH340" s="157">
        <v>2104.2721978763379</v>
      </c>
      <c r="AI340" s="176">
        <f t="shared" si="10"/>
        <v>2104.2721978763379</v>
      </c>
      <c r="AJ340" s="1003"/>
      <c r="AK340" s="979"/>
      <c r="AL340" s="1006"/>
      <c r="AM340" s="151"/>
      <c r="AN340" s="90"/>
      <c r="AO340" s="128"/>
      <c r="AP340" s="106"/>
    </row>
    <row r="341" spans="1:42" s="69" customFormat="1">
      <c r="A341" s="1015"/>
      <c r="B341" s="437"/>
      <c r="C341" s="239"/>
      <c r="D341" s="223" t="s">
        <v>810</v>
      </c>
      <c r="E341" s="225" t="s">
        <v>64</v>
      </c>
      <c r="F341" s="245" t="s">
        <v>21</v>
      </c>
      <c r="G341" s="426">
        <f>G340*10%</f>
        <v>534</v>
      </c>
      <c r="H341" s="225"/>
      <c r="I341" s="265" t="s">
        <v>21</v>
      </c>
      <c r="J341" s="1294"/>
      <c r="K341" s="1079"/>
      <c r="L341" s="7">
        <v>98.136400000000009</v>
      </c>
      <c r="M341" s="225" t="s">
        <v>64</v>
      </c>
      <c r="N341" s="188"/>
      <c r="O341" s="188"/>
      <c r="P341" s="188"/>
      <c r="Q341" s="188"/>
      <c r="R341" s="214"/>
      <c r="S341" s="192">
        <v>98.136400000000009</v>
      </c>
      <c r="T341" s="157">
        <v>477.21824822907581</v>
      </c>
      <c r="U341" s="245" t="s">
        <v>21</v>
      </c>
      <c r="V341" s="7"/>
      <c r="W341" s="7">
        <v>6.9420000000000002</v>
      </c>
      <c r="X341" s="111">
        <v>33.757597376776047</v>
      </c>
      <c r="Y341" s="7">
        <v>6.0010000000000003</v>
      </c>
      <c r="Z341" s="157">
        <v>29.181697184965852</v>
      </c>
      <c r="AA341" s="7">
        <v>12.8544</v>
      </c>
      <c r="AB341" s="7">
        <v>62.508449974075226</v>
      </c>
      <c r="AC341" s="7">
        <v>24.862200000000001</v>
      </c>
      <c r="AD341" s="270">
        <v>120.90004861724017</v>
      </c>
      <c r="AE341" s="943"/>
      <c r="AF341" s="944"/>
      <c r="AG341" s="192">
        <v>98.136400000000009</v>
      </c>
      <c r="AH341" s="157">
        <v>954.43649645815162</v>
      </c>
      <c r="AI341" s="176">
        <f t="shared" si="10"/>
        <v>954.43649645815162</v>
      </c>
      <c r="AJ341" s="1003"/>
      <c r="AK341" s="979"/>
      <c r="AL341" s="1006"/>
      <c r="AM341" s="151"/>
      <c r="AN341" s="90"/>
      <c r="AO341" s="128"/>
      <c r="AP341" s="106"/>
    </row>
    <row r="342" spans="1:42" s="69" customFormat="1">
      <c r="A342" s="1015"/>
      <c r="B342" s="437"/>
      <c r="C342" s="239"/>
      <c r="D342" s="223" t="s">
        <v>811</v>
      </c>
      <c r="E342" s="225" t="s">
        <v>64</v>
      </c>
      <c r="F342" s="245" t="s">
        <v>21</v>
      </c>
      <c r="G342" s="427">
        <v>6666.66</v>
      </c>
      <c r="H342" s="225"/>
      <c r="I342" s="265" t="s">
        <v>21</v>
      </c>
      <c r="J342" s="1294"/>
      <c r="K342" s="1079"/>
      <c r="L342" s="7">
        <v>248.99983600000004</v>
      </c>
      <c r="M342" s="225" t="s">
        <v>64</v>
      </c>
      <c r="N342" s="188"/>
      <c r="O342" s="188"/>
      <c r="P342" s="188"/>
      <c r="Q342" s="188"/>
      <c r="R342" s="214"/>
      <c r="S342" s="192">
        <v>248.99983600000004</v>
      </c>
      <c r="T342" s="157">
        <v>1210.8378292381542</v>
      </c>
      <c r="U342" s="245" t="s">
        <v>21</v>
      </c>
      <c r="V342" s="7"/>
      <c r="W342" s="7">
        <v>86.66658000000001</v>
      </c>
      <c r="X342" s="111">
        <v>421.44274181246789</v>
      </c>
      <c r="Y342" s="7">
        <v>15.199990000000001</v>
      </c>
      <c r="Z342" s="157">
        <v>73.914598466007263</v>
      </c>
      <c r="AA342" s="7">
        <v>22.666656</v>
      </c>
      <c r="AB342" s="7">
        <v>110.22354467385271</v>
      </c>
      <c r="AC342" s="7">
        <v>45.099978000000007</v>
      </c>
      <c r="AD342" s="270">
        <v>219.31243143553112</v>
      </c>
      <c r="AE342" s="943"/>
      <c r="AF342" s="944"/>
      <c r="AG342" s="192">
        <v>248.99983600000004</v>
      </c>
      <c r="AH342" s="157">
        <v>2421.6756584763084</v>
      </c>
      <c r="AI342" s="176">
        <f t="shared" si="10"/>
        <v>2421.6756584763084</v>
      </c>
      <c r="AJ342" s="1003"/>
      <c r="AK342" s="979"/>
      <c r="AL342" s="1006"/>
      <c r="AM342" s="151"/>
      <c r="AN342" s="90"/>
      <c r="AO342" s="128"/>
      <c r="AP342" s="106"/>
    </row>
    <row r="343" spans="1:42" s="69" customFormat="1">
      <c r="A343" s="1015"/>
      <c r="B343" s="437"/>
      <c r="C343" s="239"/>
      <c r="D343" s="223" t="s">
        <v>812</v>
      </c>
      <c r="E343" s="225" t="s">
        <v>64</v>
      </c>
      <c r="F343" s="245" t="s">
        <v>21</v>
      </c>
      <c r="G343" s="426">
        <f>21360*100/40</f>
        <v>53400</v>
      </c>
      <c r="H343" s="225"/>
      <c r="I343" s="265" t="s">
        <v>21</v>
      </c>
      <c r="J343" s="1294"/>
      <c r="K343" s="1079"/>
      <c r="L343" s="7">
        <v>1398.64</v>
      </c>
      <c r="M343" s="225" t="s">
        <v>64</v>
      </c>
      <c r="N343" s="188"/>
      <c r="O343" s="188"/>
      <c r="P343" s="188"/>
      <c r="Q343" s="188"/>
      <c r="R343" s="214"/>
      <c r="S343" s="192">
        <v>1398.64</v>
      </c>
      <c r="T343" s="157">
        <v>6801.3146060291019</v>
      </c>
      <c r="U343" s="245" t="s">
        <v>21</v>
      </c>
      <c r="V343" s="7"/>
      <c r="W343" s="7">
        <v>694.2</v>
      </c>
      <c r="X343" s="111">
        <v>3375.7597376776043</v>
      </c>
      <c r="Y343" s="7">
        <v>85.3</v>
      </c>
      <c r="Z343" s="157">
        <v>414.79732875813824</v>
      </c>
      <c r="AA343" s="7">
        <v>97.44</v>
      </c>
      <c r="AB343" s="7">
        <v>473.83179031879251</v>
      </c>
      <c r="AC343" s="7">
        <v>199.32000000000002</v>
      </c>
      <c r="AD343" s="270">
        <v>969.2544380782191</v>
      </c>
      <c r="AE343" s="943"/>
      <c r="AF343" s="944"/>
      <c r="AG343" s="192">
        <v>1398.64</v>
      </c>
      <c r="AH343" s="157">
        <v>13602.629212058204</v>
      </c>
      <c r="AI343" s="176">
        <f t="shared" si="10"/>
        <v>13602.629212058204</v>
      </c>
      <c r="AJ343" s="1003"/>
      <c r="AK343" s="979"/>
      <c r="AL343" s="1006"/>
      <c r="AM343" s="151"/>
      <c r="AN343" s="90"/>
      <c r="AO343" s="128"/>
      <c r="AP343" s="106"/>
    </row>
    <row r="344" spans="1:42" s="69" customFormat="1">
      <c r="A344" s="1015"/>
      <c r="B344" s="437"/>
      <c r="C344" s="239"/>
      <c r="D344" s="223" t="s">
        <v>813</v>
      </c>
      <c r="E344" s="225" t="s">
        <v>64</v>
      </c>
      <c r="F344" s="245" t="s">
        <v>21</v>
      </c>
      <c r="G344" s="430">
        <v>21360</v>
      </c>
      <c r="H344" s="225"/>
      <c r="I344" s="265" t="s">
        <v>21</v>
      </c>
      <c r="J344" s="1294"/>
      <c r="K344" s="1079"/>
      <c r="L344" s="7">
        <v>610.4559999999999</v>
      </c>
      <c r="M344" s="225" t="s">
        <v>64</v>
      </c>
      <c r="N344" s="188"/>
      <c r="O344" s="188"/>
      <c r="P344" s="188"/>
      <c r="Q344" s="188"/>
      <c r="R344" s="214"/>
      <c r="S344" s="192">
        <v>610.4559999999999</v>
      </c>
      <c r="T344" s="157">
        <v>2968.5289346351465</v>
      </c>
      <c r="U344" s="245" t="s">
        <v>21</v>
      </c>
      <c r="V344" s="7"/>
      <c r="W344" s="7">
        <v>277.68</v>
      </c>
      <c r="X344" s="111">
        <v>1350.303895071042</v>
      </c>
      <c r="Y344" s="7">
        <v>37.24</v>
      </c>
      <c r="Z344" s="157">
        <v>181.09088538045799</v>
      </c>
      <c r="AA344" s="7">
        <v>46.175999999999995</v>
      </c>
      <c r="AB344" s="7">
        <v>224.54491738260023</v>
      </c>
      <c r="AC344" s="7">
        <v>93.587999999999994</v>
      </c>
      <c r="AD344" s="270">
        <v>455.10026264732312</v>
      </c>
      <c r="AE344" s="943"/>
      <c r="AF344" s="944"/>
      <c r="AG344" s="192">
        <v>610.4559999999999</v>
      </c>
      <c r="AH344" s="157">
        <v>5937.0578692702929</v>
      </c>
      <c r="AI344" s="176">
        <f t="shared" si="10"/>
        <v>5937.0578692702929</v>
      </c>
      <c r="AJ344" s="1003"/>
      <c r="AK344" s="979"/>
      <c r="AL344" s="1006"/>
      <c r="AM344" s="151"/>
      <c r="AN344" s="90"/>
      <c r="AO344" s="128"/>
      <c r="AP344" s="106"/>
    </row>
    <row r="345" spans="1:42" s="69" customFormat="1">
      <c r="A345" s="1015"/>
      <c r="B345" s="437"/>
      <c r="C345" s="239"/>
      <c r="D345" s="223" t="s">
        <v>814</v>
      </c>
      <c r="E345" s="225" t="s">
        <v>64</v>
      </c>
      <c r="F345" s="245" t="s">
        <v>21</v>
      </c>
      <c r="G345" s="430">
        <v>30000</v>
      </c>
      <c r="H345" s="225"/>
      <c r="I345" s="265" t="s">
        <v>21</v>
      </c>
      <c r="J345" s="1294"/>
      <c r="K345" s="1079"/>
      <c r="L345" s="7">
        <v>823.00000000000011</v>
      </c>
      <c r="M345" s="225" t="s">
        <v>64</v>
      </c>
      <c r="N345" s="188"/>
      <c r="O345" s="188"/>
      <c r="P345" s="188"/>
      <c r="Q345" s="188"/>
      <c r="R345" s="214"/>
      <c r="S345" s="192">
        <v>823.00000000000011</v>
      </c>
      <c r="T345" s="157">
        <v>4002.0891156852058</v>
      </c>
      <c r="U345" s="245" t="s">
        <v>21</v>
      </c>
      <c r="V345" s="7"/>
      <c r="W345" s="7">
        <v>390.00000000000006</v>
      </c>
      <c r="X345" s="111">
        <v>1896.4942346503392</v>
      </c>
      <c r="Y345" s="7">
        <v>50.2</v>
      </c>
      <c r="Z345" s="157">
        <v>244.11284763960757</v>
      </c>
      <c r="AA345" s="7">
        <v>60</v>
      </c>
      <c r="AB345" s="7">
        <v>291.76834379235964</v>
      </c>
      <c r="AC345" s="7">
        <v>122.10000000000001</v>
      </c>
      <c r="AD345" s="270">
        <v>593.74857961745238</v>
      </c>
      <c r="AE345" s="943"/>
      <c r="AF345" s="944"/>
      <c r="AG345" s="192">
        <v>823.00000000000011</v>
      </c>
      <c r="AH345" s="157">
        <v>8004.1782313704116</v>
      </c>
      <c r="AI345" s="176">
        <f t="shared" si="10"/>
        <v>8004.1782313704116</v>
      </c>
      <c r="AJ345" s="1003"/>
      <c r="AK345" s="979"/>
      <c r="AL345" s="1006"/>
      <c r="AM345" s="151"/>
      <c r="AN345" s="90"/>
      <c r="AO345" s="128"/>
      <c r="AP345" s="106"/>
    </row>
    <row r="346" spans="1:42" s="69" customFormat="1">
      <c r="A346" s="1015"/>
      <c r="B346" s="437"/>
      <c r="C346" s="239"/>
      <c r="D346" s="223" t="s">
        <v>815</v>
      </c>
      <c r="E346" s="225" t="s">
        <v>64</v>
      </c>
      <c r="F346" s="245" t="s">
        <v>21</v>
      </c>
      <c r="G346" s="430">
        <f>G345*10%</f>
        <v>3000</v>
      </c>
      <c r="H346" s="225"/>
      <c r="I346" s="265" t="s">
        <v>21</v>
      </c>
      <c r="J346" s="1294"/>
      <c r="K346" s="1079"/>
      <c r="L346" s="7">
        <v>158.79999999999998</v>
      </c>
      <c r="M346" s="225" t="s">
        <v>64</v>
      </c>
      <c r="N346" s="188"/>
      <c r="O346" s="188"/>
      <c r="P346" s="188"/>
      <c r="Q346" s="188"/>
      <c r="R346" s="214"/>
      <c r="S346" s="192">
        <v>158.79999999999998</v>
      </c>
      <c r="T346" s="157">
        <v>772.21354990377995</v>
      </c>
      <c r="U346" s="245" t="s">
        <v>21</v>
      </c>
      <c r="V346" s="7"/>
      <c r="W346" s="7">
        <v>39</v>
      </c>
      <c r="X346" s="111">
        <v>189.64942346503381</v>
      </c>
      <c r="Y346" s="7">
        <v>9.6999999999999993</v>
      </c>
      <c r="Z346" s="157">
        <v>47.169215579764838</v>
      </c>
      <c r="AA346" s="7">
        <v>16.799999999999997</v>
      </c>
      <c r="AB346" s="7">
        <v>81.695136261860739</v>
      </c>
      <c r="AC346" s="7">
        <v>33</v>
      </c>
      <c r="AD346" s="270">
        <v>160.47258908579786</v>
      </c>
      <c r="AE346" s="943"/>
      <c r="AF346" s="944"/>
      <c r="AG346" s="192">
        <v>158.79999999999998</v>
      </c>
      <c r="AH346" s="157">
        <v>1544.4270998075599</v>
      </c>
      <c r="AI346" s="176">
        <f t="shared" si="10"/>
        <v>1544.4270998075599</v>
      </c>
      <c r="AJ346" s="1003"/>
      <c r="AK346" s="979"/>
      <c r="AL346" s="1006"/>
      <c r="AM346" s="151"/>
      <c r="AN346" s="90"/>
      <c r="AO346" s="128"/>
      <c r="AP346" s="106"/>
    </row>
    <row r="347" spans="1:42" s="69" customFormat="1">
      <c r="A347" s="1015"/>
      <c r="B347" s="437"/>
      <c r="C347" s="239"/>
      <c r="D347" s="223" t="s">
        <v>816</v>
      </c>
      <c r="E347" s="225" t="s">
        <v>64</v>
      </c>
      <c r="F347" s="245" t="s">
        <v>21</v>
      </c>
      <c r="G347" s="427">
        <v>111.11</v>
      </c>
      <c r="H347" s="225"/>
      <c r="I347" s="265" t="s">
        <v>21</v>
      </c>
      <c r="J347" s="1294"/>
      <c r="K347" s="1079"/>
      <c r="L347" s="7">
        <v>87.733305999999999</v>
      </c>
      <c r="M347" s="225" t="s">
        <v>64</v>
      </c>
      <c r="N347" s="188"/>
      <c r="O347" s="188"/>
      <c r="P347" s="188"/>
      <c r="Q347" s="188"/>
      <c r="R347" s="214"/>
      <c r="S347" s="192">
        <v>87.733305999999999</v>
      </c>
      <c r="T347" s="157">
        <v>426.63002311747175</v>
      </c>
      <c r="U347" s="245" t="s">
        <v>21</v>
      </c>
      <c r="V347" s="7"/>
      <c r="W347" s="7">
        <v>1.4444300000000001</v>
      </c>
      <c r="X347" s="111">
        <v>7.0239824803999751</v>
      </c>
      <c r="Y347" s="7">
        <v>5.3666649999999994</v>
      </c>
      <c r="Z347" s="157">
        <v>26.097049312307085</v>
      </c>
      <c r="AA347" s="7">
        <v>12.177776</v>
      </c>
      <c r="AB347" s="7">
        <v>59.218158909905824</v>
      </c>
      <c r="AC347" s="7">
        <v>23.466663</v>
      </c>
      <c r="AD347" s="270">
        <v>114.11382329739084</v>
      </c>
      <c r="AE347" s="943"/>
      <c r="AF347" s="944"/>
      <c r="AG347" s="192">
        <v>87.733305999999999</v>
      </c>
      <c r="AH347" s="157">
        <v>853.2600462349435</v>
      </c>
      <c r="AI347" s="176">
        <f t="shared" si="10"/>
        <v>853.2600462349435</v>
      </c>
      <c r="AJ347" s="1003"/>
      <c r="AK347" s="979"/>
      <c r="AL347" s="1006"/>
      <c r="AM347" s="151"/>
      <c r="AN347" s="90"/>
      <c r="AO347" s="128"/>
      <c r="AP347" s="106"/>
    </row>
    <row r="348" spans="1:42" s="69" customFormat="1">
      <c r="A348" s="1015"/>
      <c r="B348" s="437"/>
      <c r="C348" s="239"/>
      <c r="D348" s="223" t="s">
        <v>820</v>
      </c>
      <c r="E348" s="225" t="s">
        <v>64</v>
      </c>
      <c r="F348" s="245" t="s">
        <v>21</v>
      </c>
      <c r="G348" s="427">
        <v>1111.1099999999999</v>
      </c>
      <c r="H348" s="225"/>
      <c r="I348" s="265" t="s">
        <v>21</v>
      </c>
      <c r="J348" s="1294"/>
      <c r="K348" s="1079"/>
      <c r="L348" s="7">
        <v>112.33330599999999</v>
      </c>
      <c r="M348" s="225" t="s">
        <v>64</v>
      </c>
      <c r="N348" s="188"/>
      <c r="O348" s="188"/>
      <c r="P348" s="188"/>
      <c r="Q348" s="188"/>
      <c r="R348" s="214"/>
      <c r="S348" s="192">
        <v>112.33330599999999</v>
      </c>
      <c r="T348" s="157">
        <v>546.25504407233939</v>
      </c>
      <c r="U348" s="245" t="s">
        <v>21</v>
      </c>
      <c r="V348" s="7"/>
      <c r="W348" s="7">
        <v>14.444430000000001</v>
      </c>
      <c r="X348" s="111">
        <v>70.240456968744667</v>
      </c>
      <c r="Y348" s="7">
        <v>6.8666649999999994</v>
      </c>
      <c r="Z348" s="157">
        <v>33.391257907116099</v>
      </c>
      <c r="AA348" s="7">
        <v>13.777776000000001</v>
      </c>
      <c r="AB348" s="7">
        <v>66.998648077702043</v>
      </c>
      <c r="AC348" s="7">
        <v>26.766662999999998</v>
      </c>
      <c r="AD348" s="270">
        <v>130.16108220597064</v>
      </c>
      <c r="AE348" s="943"/>
      <c r="AF348" s="944"/>
      <c r="AG348" s="192">
        <v>112.33330599999999</v>
      </c>
      <c r="AH348" s="157">
        <v>1092.5100881446788</v>
      </c>
      <c r="AI348" s="176">
        <f t="shared" si="10"/>
        <v>1092.5100881446788</v>
      </c>
      <c r="AJ348" s="1003"/>
      <c r="AK348" s="979"/>
      <c r="AL348" s="1006"/>
      <c r="AM348" s="151"/>
      <c r="AN348" s="90"/>
      <c r="AO348" s="128"/>
      <c r="AP348" s="106"/>
    </row>
    <row r="349" spans="1:42" s="69" customFormat="1">
      <c r="A349" s="1015"/>
      <c r="B349" s="437"/>
      <c r="C349" s="239"/>
      <c r="D349" s="223" t="s">
        <v>821</v>
      </c>
      <c r="E349" s="225" t="s">
        <v>64</v>
      </c>
      <c r="F349" s="245" t="s">
        <v>21</v>
      </c>
      <c r="G349" s="427">
        <v>6666.66</v>
      </c>
      <c r="H349" s="225" t="s">
        <v>64</v>
      </c>
      <c r="I349" s="265" t="s">
        <v>21</v>
      </c>
      <c r="J349" s="1294"/>
      <c r="K349" s="1079"/>
      <c r="L349" s="7">
        <v>248.99983600000004</v>
      </c>
      <c r="M349" s="225" t="s">
        <v>64</v>
      </c>
      <c r="N349" s="188"/>
      <c r="O349" s="188"/>
      <c r="P349" s="188"/>
      <c r="Q349" s="188"/>
      <c r="R349" s="214"/>
      <c r="S349" s="192">
        <v>248.99983600000004</v>
      </c>
      <c r="T349" s="157">
        <v>1210.8378292381542</v>
      </c>
      <c r="U349" s="245" t="s">
        <v>21</v>
      </c>
      <c r="V349" s="7"/>
      <c r="W349" s="7">
        <v>86.66658000000001</v>
      </c>
      <c r="X349" s="111">
        <v>421.44274181246789</v>
      </c>
      <c r="Y349" s="7">
        <v>15.199990000000001</v>
      </c>
      <c r="Z349" s="157">
        <v>73.914598466007263</v>
      </c>
      <c r="AA349" s="7">
        <v>22.666656</v>
      </c>
      <c r="AB349" s="7">
        <v>110.22354467385271</v>
      </c>
      <c r="AC349" s="7">
        <v>45.099978000000007</v>
      </c>
      <c r="AD349" s="270">
        <v>219.31243143553112</v>
      </c>
      <c r="AE349" s="943"/>
      <c r="AF349" s="944"/>
      <c r="AG349" s="192">
        <v>248.99983600000004</v>
      </c>
      <c r="AH349" s="157">
        <v>2421.6756584763084</v>
      </c>
      <c r="AI349" s="176">
        <f t="shared" si="10"/>
        <v>2421.6756584763084</v>
      </c>
      <c r="AJ349" s="1003"/>
      <c r="AK349" s="979"/>
      <c r="AL349" s="1006"/>
      <c r="AM349" s="151"/>
      <c r="AN349" s="90"/>
      <c r="AO349" s="128"/>
      <c r="AP349" s="106"/>
    </row>
    <row r="350" spans="1:42" s="69" customFormat="1" ht="13.5" thickBot="1">
      <c r="A350" s="1015"/>
      <c r="B350" s="194"/>
      <c r="C350" s="26"/>
      <c r="D350" s="224" t="s">
        <v>822</v>
      </c>
      <c r="E350" s="226" t="s">
        <v>64</v>
      </c>
      <c r="F350" s="246" t="s">
        <v>21</v>
      </c>
      <c r="G350" s="432">
        <f>50*41.039</f>
        <v>2051.9500000000003</v>
      </c>
      <c r="H350" s="226" t="s">
        <v>64</v>
      </c>
      <c r="I350" s="266" t="s">
        <v>21</v>
      </c>
      <c r="J350" s="1294"/>
      <c r="K350" s="1079"/>
      <c r="L350" s="46">
        <v>135.47797000000003</v>
      </c>
      <c r="M350" s="226" t="s">
        <v>64</v>
      </c>
      <c r="N350" s="189"/>
      <c r="O350" s="189"/>
      <c r="P350" s="189"/>
      <c r="Q350" s="189"/>
      <c r="R350" s="275"/>
      <c r="S350" s="193">
        <v>135.47797000000003</v>
      </c>
      <c r="T350" s="156">
        <v>658.80304878751633</v>
      </c>
      <c r="U350" s="246" t="s">
        <v>21</v>
      </c>
      <c r="V350" s="28"/>
      <c r="W350" s="28">
        <v>26.675350000000005</v>
      </c>
      <c r="X350" s="45">
        <v>129.71704482635872</v>
      </c>
      <c r="Y350" s="28">
        <v>8.2779249999999998</v>
      </c>
      <c r="Z350" s="118">
        <v>40.253941121456222</v>
      </c>
      <c r="AA350" s="28">
        <v>15.283120000000004</v>
      </c>
      <c r="AB350" s="28">
        <v>74.318843506331646</v>
      </c>
      <c r="AC350" s="28">
        <v>29.871435000000005</v>
      </c>
      <c r="AD350" s="571">
        <v>145.2589852775188</v>
      </c>
      <c r="AE350" s="943"/>
      <c r="AF350" s="944"/>
      <c r="AG350" s="193">
        <v>135.47797000000003</v>
      </c>
      <c r="AH350" s="156">
        <v>1317.6060975750327</v>
      </c>
      <c r="AI350" s="180">
        <f t="shared" si="10"/>
        <v>1317.6060975750327</v>
      </c>
      <c r="AJ350" s="1003"/>
      <c r="AK350" s="980"/>
      <c r="AL350" s="1006"/>
      <c r="AM350" s="151"/>
      <c r="AN350" s="90"/>
      <c r="AO350" s="128"/>
      <c r="AP350" s="106"/>
    </row>
    <row r="351" spans="1:42" s="69" customFormat="1">
      <c r="A351" s="1015"/>
      <c r="B351" s="232" t="s">
        <v>151</v>
      </c>
      <c r="C351" s="912" t="s">
        <v>151</v>
      </c>
      <c r="D351" s="222" t="s">
        <v>851</v>
      </c>
      <c r="E351" s="203" t="s">
        <v>0</v>
      </c>
      <c r="F351" s="450"/>
      <c r="G351" s="430">
        <f>3*41.039*150</f>
        <v>18467.55</v>
      </c>
      <c r="H351" s="559">
        <v>5909.62</v>
      </c>
      <c r="I351" s="560"/>
      <c r="J351" s="1294"/>
      <c r="K351" s="1079"/>
      <c r="L351" s="7">
        <v>380.72609599999998</v>
      </c>
      <c r="M351" s="8">
        <v>115.71</v>
      </c>
      <c r="N351" s="188"/>
      <c r="O351" s="188"/>
      <c r="P351" s="188"/>
      <c r="Q351" s="188"/>
      <c r="R351" s="214"/>
      <c r="S351" s="192">
        <v>265.016096</v>
      </c>
      <c r="T351" s="157">
        <v>1056.425129104764</v>
      </c>
      <c r="U351" s="207"/>
      <c r="V351" s="188"/>
      <c r="W351" s="188"/>
      <c r="X351" s="124"/>
      <c r="Y351" s="120">
        <v>10</v>
      </c>
      <c r="Z351" s="117">
        <v>39.862677967483286</v>
      </c>
      <c r="AA351" s="120">
        <v>49.355695999999995</v>
      </c>
      <c r="AB351" s="120">
        <v>196.74502155090039</v>
      </c>
      <c r="AC351" s="120">
        <v>92.547179999999997</v>
      </c>
      <c r="AD351" s="269">
        <v>368.91784331387106</v>
      </c>
      <c r="AE351" s="943"/>
      <c r="AF351" s="944"/>
      <c r="AG351" s="561">
        <v>265.016096</v>
      </c>
      <c r="AH351" s="562">
        <v>2112.850258209528</v>
      </c>
      <c r="AI351" s="179">
        <f t="shared" si="10"/>
        <v>2112.850258209528</v>
      </c>
      <c r="AJ351" s="1003"/>
      <c r="AK351" s="1309">
        <f>SUM(AI351:AI360)</f>
        <v>6594.2384356217217</v>
      </c>
      <c r="AL351" s="1006"/>
      <c r="AM351" s="151"/>
      <c r="AN351" s="90"/>
      <c r="AO351" s="128"/>
    </row>
    <row r="352" spans="1:42" s="69" customFormat="1" ht="15" customHeight="1">
      <c r="A352" s="1015"/>
      <c r="B352" s="318"/>
      <c r="C352" s="239"/>
      <c r="D352" s="223" t="s">
        <v>808</v>
      </c>
      <c r="E352" s="225" t="s">
        <v>64</v>
      </c>
      <c r="F352" s="563"/>
      <c r="G352" s="430">
        <f>41.039*150</f>
        <v>6155.85</v>
      </c>
      <c r="H352" s="244"/>
      <c r="I352" s="555"/>
      <c r="J352" s="1294"/>
      <c r="K352" s="1079"/>
      <c r="L352" s="120">
        <v>101.26603200000001</v>
      </c>
      <c r="M352" s="225" t="s">
        <v>64</v>
      </c>
      <c r="N352" s="115"/>
      <c r="O352" s="115"/>
      <c r="P352" s="115"/>
      <c r="Q352" s="115"/>
      <c r="R352" s="174"/>
      <c r="S352" s="198">
        <v>101.26603200000001</v>
      </c>
      <c r="T352" s="117">
        <v>403.67352226608585</v>
      </c>
      <c r="U352" s="556"/>
      <c r="V352" s="115"/>
      <c r="W352" s="115"/>
      <c r="X352" s="557"/>
      <c r="Y352" s="120">
        <v>3</v>
      </c>
      <c r="Z352" s="157">
        <v>11.958803390244993</v>
      </c>
      <c r="AA352" s="7">
        <v>19.019232000000002</v>
      </c>
      <c r="AB352" s="7">
        <v>75.815752040485336</v>
      </c>
      <c r="AC352" s="7">
        <v>35.661060000000006</v>
      </c>
      <c r="AD352" s="270">
        <v>142.15453507590993</v>
      </c>
      <c r="AE352" s="943"/>
      <c r="AF352" s="944"/>
      <c r="AG352" s="561">
        <v>101.26603200000001</v>
      </c>
      <c r="AH352" s="562">
        <v>807.34704453217171</v>
      </c>
      <c r="AI352" s="176">
        <f t="shared" si="10"/>
        <v>807.34704453217171</v>
      </c>
      <c r="AJ352" s="1003"/>
      <c r="AK352" s="1310"/>
      <c r="AL352" s="1006"/>
      <c r="AM352" s="151"/>
      <c r="AN352" s="90"/>
      <c r="AO352" s="128"/>
    </row>
    <row r="353" spans="1:42" s="69" customFormat="1" ht="15" customHeight="1">
      <c r="A353" s="1015"/>
      <c r="B353" s="318"/>
      <c r="C353" s="239"/>
      <c r="D353" s="223" t="s">
        <v>809</v>
      </c>
      <c r="E353" s="225" t="s">
        <v>64</v>
      </c>
      <c r="F353" s="563"/>
      <c r="G353" s="430">
        <v>1969.87</v>
      </c>
      <c r="H353" s="244"/>
      <c r="I353" s="555"/>
      <c r="J353" s="1294"/>
      <c r="K353" s="1079"/>
      <c r="L353" s="120">
        <v>59.741110400000004</v>
      </c>
      <c r="M353" s="225" t="s">
        <v>64</v>
      </c>
      <c r="N353" s="115"/>
      <c r="O353" s="115"/>
      <c r="P353" s="115"/>
      <c r="Q353" s="115"/>
      <c r="R353" s="174"/>
      <c r="S353" s="198">
        <v>59.741110400000004</v>
      </c>
      <c r="T353" s="117">
        <v>238.14406452950675</v>
      </c>
      <c r="U353" s="556"/>
      <c r="V353" s="115"/>
      <c r="W353" s="115"/>
      <c r="X353" s="557"/>
      <c r="Y353" s="120">
        <v>3</v>
      </c>
      <c r="Z353" s="157">
        <v>11.958803390244993</v>
      </c>
      <c r="AA353" s="7">
        <v>10.9821504</v>
      </c>
      <c r="AB353" s="7">
        <v>43.777792478566795</v>
      </c>
      <c r="AC353" s="7">
        <v>20.591532000000001</v>
      </c>
      <c r="AD353" s="270">
        <v>82.08336089731273</v>
      </c>
      <c r="AE353" s="943"/>
      <c r="AF353" s="944"/>
      <c r="AG353" s="561">
        <v>59.741110400000004</v>
      </c>
      <c r="AH353" s="562">
        <v>476.2881290590135</v>
      </c>
      <c r="AI353" s="176">
        <f t="shared" si="10"/>
        <v>476.2881290590135</v>
      </c>
      <c r="AJ353" s="1003"/>
      <c r="AK353" s="1310"/>
      <c r="AL353" s="1006"/>
      <c r="AM353" s="151"/>
      <c r="AN353" s="90"/>
      <c r="AO353" s="128"/>
    </row>
    <row r="354" spans="1:42" s="69" customFormat="1" ht="15" customHeight="1">
      <c r="A354" s="1015"/>
      <c r="B354" s="318"/>
      <c r="C354" s="239"/>
      <c r="D354" s="223" t="s">
        <v>810</v>
      </c>
      <c r="E354" s="225" t="s">
        <v>64</v>
      </c>
      <c r="F354" s="563"/>
      <c r="G354" s="430">
        <f>G353*2</f>
        <v>3939.74</v>
      </c>
      <c r="H354" s="244"/>
      <c r="I354" s="555"/>
      <c r="J354" s="1294"/>
      <c r="K354" s="1079"/>
      <c r="L354" s="120">
        <v>79.282220800000005</v>
      </c>
      <c r="M354" s="225" t="s">
        <v>64</v>
      </c>
      <c r="N354" s="115"/>
      <c r="O354" s="115"/>
      <c r="P354" s="115"/>
      <c r="Q354" s="115"/>
      <c r="R354" s="174"/>
      <c r="S354" s="198">
        <v>79.282220800000005</v>
      </c>
      <c r="T354" s="117">
        <v>316.04016362973073</v>
      </c>
      <c r="U354" s="556"/>
      <c r="V354" s="115"/>
      <c r="W354" s="115"/>
      <c r="X354" s="557"/>
      <c r="Y354" s="120">
        <v>3</v>
      </c>
      <c r="Z354" s="157">
        <v>11.958803390244993</v>
      </c>
      <c r="AA354" s="7">
        <v>14.764300800000001</v>
      </c>
      <c r="AB354" s="7">
        <v>58.854456820545558</v>
      </c>
      <c r="AC354" s="7">
        <v>27.683064000000002</v>
      </c>
      <c r="AD354" s="270">
        <v>110.35210653852297</v>
      </c>
      <c r="AE354" s="943"/>
      <c r="AF354" s="944"/>
      <c r="AG354" s="561">
        <v>79.282220800000005</v>
      </c>
      <c r="AH354" s="562">
        <v>632.08032725946146</v>
      </c>
      <c r="AI354" s="176">
        <f t="shared" si="10"/>
        <v>632.08032725946146</v>
      </c>
      <c r="AJ354" s="1003"/>
      <c r="AK354" s="1310"/>
      <c r="AL354" s="1006"/>
      <c r="AM354" s="151"/>
      <c r="AN354" s="90"/>
      <c r="AO354" s="128"/>
    </row>
    <row r="355" spans="1:42" s="69" customFormat="1" ht="15" customHeight="1">
      <c r="A355" s="1015"/>
      <c r="B355" s="318"/>
      <c r="C355" s="239"/>
      <c r="D355" s="223" t="s">
        <v>811</v>
      </c>
      <c r="E355" s="225" t="s">
        <v>64</v>
      </c>
      <c r="F355" s="563"/>
      <c r="G355" s="430">
        <v>2136</v>
      </c>
      <c r="H355" s="244"/>
      <c r="I355" s="555"/>
      <c r="J355" s="1294"/>
      <c r="K355" s="1079"/>
      <c r="L355" s="120">
        <v>61.389119999999998</v>
      </c>
      <c r="M355" s="225" t="s">
        <v>64</v>
      </c>
      <c r="N355" s="115"/>
      <c r="O355" s="115"/>
      <c r="P355" s="115"/>
      <c r="Q355" s="115"/>
      <c r="R355" s="174"/>
      <c r="S355" s="198">
        <v>61.389119999999998</v>
      </c>
      <c r="T355" s="117">
        <v>244.71347212671876</v>
      </c>
      <c r="U355" s="556"/>
      <c r="V355" s="115"/>
      <c r="W355" s="115"/>
      <c r="X355" s="557"/>
      <c r="Y355" s="120">
        <v>3</v>
      </c>
      <c r="Z355" s="157">
        <v>11.958803390244993</v>
      </c>
      <c r="AA355" s="7">
        <v>11.301119999999999</v>
      </c>
      <c r="AB355" s="7">
        <v>45.049290723188463</v>
      </c>
      <c r="AC355" s="7">
        <v>21.189600000000002</v>
      </c>
      <c r="AD355" s="270">
        <v>84.467420105978462</v>
      </c>
      <c r="AE355" s="943"/>
      <c r="AF355" s="944"/>
      <c r="AG355" s="561">
        <v>61.389119999999998</v>
      </c>
      <c r="AH355" s="562">
        <v>489.42694425343751</v>
      </c>
      <c r="AI355" s="176">
        <f t="shared" si="10"/>
        <v>489.42694425343751</v>
      </c>
      <c r="AJ355" s="1003"/>
      <c r="AK355" s="1310"/>
      <c r="AL355" s="1006"/>
      <c r="AM355" s="151"/>
      <c r="AN355" s="90"/>
      <c r="AO355" s="128"/>
    </row>
    <row r="356" spans="1:42" s="69" customFormat="1" ht="15" customHeight="1">
      <c r="A356" s="1015"/>
      <c r="B356" s="318"/>
      <c r="C356" s="239"/>
      <c r="D356" s="223" t="s">
        <v>812</v>
      </c>
      <c r="E356" s="225" t="s">
        <v>64</v>
      </c>
      <c r="F356" s="563"/>
      <c r="G356" s="430">
        <v>2136</v>
      </c>
      <c r="H356" s="244"/>
      <c r="I356" s="555"/>
      <c r="J356" s="1294"/>
      <c r="K356" s="1079"/>
      <c r="L356" s="120">
        <v>61.389119999999998</v>
      </c>
      <c r="M356" s="225" t="s">
        <v>64</v>
      </c>
      <c r="N356" s="115"/>
      <c r="O356" s="115"/>
      <c r="P356" s="115"/>
      <c r="Q356" s="115"/>
      <c r="R356" s="174"/>
      <c r="S356" s="198">
        <v>61.389119999999998</v>
      </c>
      <c r="T356" s="117">
        <v>244.71347212671876</v>
      </c>
      <c r="U356" s="556"/>
      <c r="V356" s="115"/>
      <c r="W356" s="115"/>
      <c r="X356" s="557"/>
      <c r="Y356" s="120">
        <v>3</v>
      </c>
      <c r="Z356" s="157">
        <v>11.958803390244993</v>
      </c>
      <c r="AA356" s="7">
        <v>11.301119999999999</v>
      </c>
      <c r="AB356" s="7">
        <v>45.049290723188463</v>
      </c>
      <c r="AC356" s="7">
        <v>21.189600000000002</v>
      </c>
      <c r="AD356" s="270">
        <v>84.467420105978462</v>
      </c>
      <c r="AE356" s="943"/>
      <c r="AF356" s="944"/>
      <c r="AG356" s="561">
        <v>61.389119999999998</v>
      </c>
      <c r="AH356" s="562">
        <v>489.42694425343751</v>
      </c>
      <c r="AI356" s="176">
        <f t="shared" si="10"/>
        <v>489.42694425343751</v>
      </c>
      <c r="AJ356" s="1003"/>
      <c r="AK356" s="1310"/>
      <c r="AL356" s="1006"/>
      <c r="AM356" s="151"/>
      <c r="AN356" s="90"/>
      <c r="AO356" s="128"/>
    </row>
    <row r="357" spans="1:42" s="69" customFormat="1" ht="15" customHeight="1">
      <c r="A357" s="1015"/>
      <c r="B357" s="318"/>
      <c r="C357" s="239"/>
      <c r="D357" s="223" t="s">
        <v>813</v>
      </c>
      <c r="E357" s="225" t="s">
        <v>64</v>
      </c>
      <c r="F357" s="563"/>
      <c r="G357" s="430">
        <f>G355*10%</f>
        <v>213.60000000000002</v>
      </c>
      <c r="H357" s="244"/>
      <c r="I357" s="555"/>
      <c r="J357" s="1294"/>
      <c r="K357" s="1079"/>
      <c r="L357" s="120">
        <v>42.318911999999997</v>
      </c>
      <c r="M357" s="225" t="s">
        <v>64</v>
      </c>
      <c r="N357" s="115"/>
      <c r="O357" s="115"/>
      <c r="P357" s="115"/>
      <c r="Q357" s="115"/>
      <c r="R357" s="174"/>
      <c r="S357" s="198">
        <v>42.318911999999997</v>
      </c>
      <c r="T357" s="117">
        <v>168.69451609902643</v>
      </c>
      <c r="U357" s="556"/>
      <c r="V357" s="115"/>
      <c r="W357" s="115"/>
      <c r="X357" s="557"/>
      <c r="Y357" s="120">
        <v>3</v>
      </c>
      <c r="Z357" s="157">
        <v>11.958803390244993</v>
      </c>
      <c r="AA357" s="7">
        <v>7.610112</v>
      </c>
      <c r="AB357" s="7">
        <v>30.335944395248024</v>
      </c>
      <c r="AC357" s="7">
        <v>14.26896</v>
      </c>
      <c r="AD357" s="270">
        <v>56.879895741090046</v>
      </c>
      <c r="AE357" s="943"/>
      <c r="AF357" s="944"/>
      <c r="AG357" s="561">
        <v>42.318911999999997</v>
      </c>
      <c r="AH357" s="562">
        <v>337.38903219805286</v>
      </c>
      <c r="AI357" s="176">
        <f t="shared" si="10"/>
        <v>337.38903219805286</v>
      </c>
      <c r="AJ357" s="1003"/>
      <c r="AK357" s="1310"/>
      <c r="AL357" s="1006"/>
      <c r="AM357" s="151"/>
      <c r="AN357" s="90"/>
      <c r="AO357" s="128"/>
    </row>
    <row r="358" spans="1:42" s="69" customFormat="1" ht="15" customHeight="1">
      <c r="A358" s="1015"/>
      <c r="B358" s="318"/>
      <c r="C358" s="239"/>
      <c r="D358" s="223" t="s">
        <v>814</v>
      </c>
      <c r="E358" s="225" t="s">
        <v>64</v>
      </c>
      <c r="F358" s="563"/>
      <c r="G358" s="430">
        <f>G356*10%</f>
        <v>213.60000000000002</v>
      </c>
      <c r="H358" s="244"/>
      <c r="I358" s="555"/>
      <c r="J358" s="1294"/>
      <c r="K358" s="1079"/>
      <c r="L358" s="120">
        <v>42.318911999999997</v>
      </c>
      <c r="M358" s="225" t="s">
        <v>64</v>
      </c>
      <c r="N358" s="115"/>
      <c r="O358" s="115"/>
      <c r="P358" s="115"/>
      <c r="Q358" s="115"/>
      <c r="R358" s="174"/>
      <c r="S358" s="198">
        <v>42.318911999999997</v>
      </c>
      <c r="T358" s="117">
        <v>168.69451609902643</v>
      </c>
      <c r="U358" s="556"/>
      <c r="V358" s="115"/>
      <c r="W358" s="115"/>
      <c r="X358" s="557"/>
      <c r="Y358" s="120">
        <v>3</v>
      </c>
      <c r="Z358" s="157">
        <v>11.958803390244993</v>
      </c>
      <c r="AA358" s="7">
        <v>7.610112</v>
      </c>
      <c r="AB358" s="7">
        <v>30.335944395248024</v>
      </c>
      <c r="AC358" s="7">
        <v>14.26896</v>
      </c>
      <c r="AD358" s="270">
        <v>56.879895741090046</v>
      </c>
      <c r="AE358" s="943"/>
      <c r="AF358" s="944"/>
      <c r="AG358" s="561">
        <v>42.318911999999997</v>
      </c>
      <c r="AH358" s="562">
        <v>337.38903219805286</v>
      </c>
      <c r="AI358" s="176">
        <f t="shared" si="10"/>
        <v>337.38903219805286</v>
      </c>
      <c r="AJ358" s="1003"/>
      <c r="AK358" s="1310"/>
      <c r="AL358" s="1006"/>
      <c r="AM358" s="151"/>
      <c r="AN358" s="90"/>
      <c r="AO358" s="128"/>
    </row>
    <row r="359" spans="1:42" s="69" customFormat="1" ht="15" customHeight="1">
      <c r="A359" s="1015"/>
      <c r="B359" s="318"/>
      <c r="C359" s="239"/>
      <c r="D359" s="223" t="s">
        <v>815</v>
      </c>
      <c r="E359" s="225" t="s">
        <v>64</v>
      </c>
      <c r="F359" s="563"/>
      <c r="G359" s="431">
        <f>G358*2</f>
        <v>427.20000000000005</v>
      </c>
      <c r="H359" s="244"/>
      <c r="I359" s="555"/>
      <c r="J359" s="1294"/>
      <c r="K359" s="1079"/>
      <c r="L359" s="120">
        <v>44.437823999999999</v>
      </c>
      <c r="M359" s="225" t="s">
        <v>64</v>
      </c>
      <c r="N359" s="115"/>
      <c r="O359" s="115"/>
      <c r="P359" s="115"/>
      <c r="Q359" s="115"/>
      <c r="R359" s="174"/>
      <c r="S359" s="198">
        <v>44.437823999999999</v>
      </c>
      <c r="T359" s="117">
        <v>177.1410667687702</v>
      </c>
      <c r="U359" s="556"/>
      <c r="V359" s="115"/>
      <c r="W359" s="115"/>
      <c r="X359" s="557"/>
      <c r="Y359" s="120">
        <v>3</v>
      </c>
      <c r="Z359" s="157">
        <v>11.958803390244993</v>
      </c>
      <c r="AA359" s="7">
        <v>8.0202239999999989</v>
      </c>
      <c r="AB359" s="7">
        <v>31.970760653908066</v>
      </c>
      <c r="AC359" s="7">
        <v>15.03792</v>
      </c>
      <c r="AD359" s="270">
        <v>59.945176226077628</v>
      </c>
      <c r="AE359" s="943"/>
      <c r="AF359" s="944"/>
      <c r="AG359" s="561">
        <v>44.437823999999999</v>
      </c>
      <c r="AH359" s="562">
        <v>354.2821335375404</v>
      </c>
      <c r="AI359" s="176">
        <f t="shared" si="10"/>
        <v>354.2821335375404</v>
      </c>
      <c r="AJ359" s="1003"/>
      <c r="AK359" s="1310"/>
      <c r="AL359" s="1006"/>
      <c r="AM359" s="151"/>
      <c r="AN359" s="90"/>
      <c r="AO359" s="128"/>
    </row>
    <row r="360" spans="1:42" s="69" customFormat="1" ht="15.75" customHeight="1" thickBot="1">
      <c r="A360" s="1015"/>
      <c r="B360" s="572"/>
      <c r="C360" s="238"/>
      <c r="D360" s="224" t="s">
        <v>816</v>
      </c>
      <c r="E360" s="226" t="s">
        <v>64</v>
      </c>
      <c r="F360" s="568"/>
      <c r="G360" s="477">
        <v>3000</v>
      </c>
      <c r="H360" s="558"/>
      <c r="I360" s="555"/>
      <c r="J360" s="1294"/>
      <c r="K360" s="1079"/>
      <c r="L360" s="120">
        <v>69.959999999999994</v>
      </c>
      <c r="M360" s="225" t="s">
        <v>64</v>
      </c>
      <c r="N360" s="115"/>
      <c r="O360" s="115"/>
      <c r="P360" s="115"/>
      <c r="Q360" s="115"/>
      <c r="R360" s="174"/>
      <c r="S360" s="198">
        <v>69.959999999999994</v>
      </c>
      <c r="T360" s="117">
        <v>278.8792950605129</v>
      </c>
      <c r="U360" s="556"/>
      <c r="V360" s="115"/>
      <c r="W360" s="115"/>
      <c r="X360" s="557"/>
      <c r="Y360" s="28">
        <v>3</v>
      </c>
      <c r="Z360" s="118">
        <v>11.958803390244993</v>
      </c>
      <c r="AA360" s="28">
        <v>12.959999999999999</v>
      </c>
      <c r="AB360" s="28">
        <v>51.662030645858351</v>
      </c>
      <c r="AC360" s="28">
        <v>24.3</v>
      </c>
      <c r="AD360" s="571">
        <v>96.866307460984387</v>
      </c>
      <c r="AE360" s="943"/>
      <c r="AF360" s="944"/>
      <c r="AG360" s="193">
        <v>69.959999999999994</v>
      </c>
      <c r="AH360" s="118">
        <v>557.7585901210258</v>
      </c>
      <c r="AI360" s="180">
        <f t="shared" si="10"/>
        <v>557.7585901210258</v>
      </c>
      <c r="AJ360" s="1003"/>
      <c r="AK360" s="1311"/>
      <c r="AL360" s="1006"/>
      <c r="AM360" s="151"/>
      <c r="AN360" s="90"/>
      <c r="AO360" s="128"/>
    </row>
    <row r="361" spans="1:42" s="69" customFormat="1">
      <c r="A361" s="1015"/>
      <c r="B361" s="465" t="s">
        <v>151</v>
      </c>
      <c r="C361" s="386" t="s">
        <v>151</v>
      </c>
      <c r="D361" s="222" t="s">
        <v>852</v>
      </c>
      <c r="E361" s="77" t="s">
        <v>0</v>
      </c>
      <c r="F361" s="564"/>
      <c r="G361" s="430">
        <f>14*41.039*150</f>
        <v>86181.900000000009</v>
      </c>
      <c r="H361" s="243">
        <v>27578.21</v>
      </c>
      <c r="I361" s="267"/>
      <c r="J361" s="1294"/>
      <c r="K361" s="1079"/>
      <c r="L361" s="88">
        <v>1108.7724480000002</v>
      </c>
      <c r="M361" s="50">
        <v>315.13</v>
      </c>
      <c r="N361" s="114"/>
      <c r="O361" s="114"/>
      <c r="P361" s="114"/>
      <c r="Q361" s="114"/>
      <c r="R361" s="173"/>
      <c r="S361" s="272">
        <v>793.64244800000017</v>
      </c>
      <c r="T361" s="109">
        <v>2516.5868005906668</v>
      </c>
      <c r="U361" s="273"/>
      <c r="V361" s="114"/>
      <c r="W361" s="114"/>
      <c r="X361" s="274"/>
      <c r="Y361" s="120">
        <v>8</v>
      </c>
      <c r="Z361" s="117">
        <v>25.367461702004793</v>
      </c>
      <c r="AA361" s="120">
        <v>140.167248</v>
      </c>
      <c r="AB361" s="120">
        <v>444.46091193942596</v>
      </c>
      <c r="AC361" s="120">
        <v>284.00908800000002</v>
      </c>
      <c r="AD361" s="269">
        <v>900.57370785766284</v>
      </c>
      <c r="AE361" s="943"/>
      <c r="AF361" s="944"/>
      <c r="AG361" s="198">
        <v>793.64244800000017</v>
      </c>
      <c r="AH361" s="117">
        <v>5033.1736011813337</v>
      </c>
      <c r="AI361" s="177">
        <f t="shared" si="10"/>
        <v>5033.1736011813337</v>
      </c>
      <c r="AJ361" s="1003"/>
      <c r="AK361" s="1300">
        <f>SUM(AI361:AI373)</f>
        <v>17935.557664806609</v>
      </c>
      <c r="AL361" s="1006"/>
      <c r="AM361" s="151"/>
      <c r="AN361" s="90"/>
      <c r="AO361" s="128"/>
      <c r="AP361" s="106"/>
    </row>
    <row r="362" spans="1:42" s="69" customFormat="1">
      <c r="A362" s="1015"/>
      <c r="B362" s="573"/>
      <c r="C362" s="424"/>
      <c r="D362" s="223" t="s">
        <v>809</v>
      </c>
      <c r="E362" s="225" t="s">
        <v>64</v>
      </c>
      <c r="F362" s="569"/>
      <c r="G362" s="430">
        <f>41.039*150</f>
        <v>6155.85</v>
      </c>
      <c r="H362" s="244"/>
      <c r="I362" s="565"/>
      <c r="J362" s="1294"/>
      <c r="K362" s="1079"/>
      <c r="L362" s="24">
        <v>107.46603200000001</v>
      </c>
      <c r="M362" s="225" t="s">
        <v>64</v>
      </c>
      <c r="N362" s="197"/>
      <c r="O362" s="197"/>
      <c r="P362" s="197"/>
      <c r="Q362" s="197"/>
      <c r="R362" s="213"/>
      <c r="S362" s="195">
        <v>107.46603200000001</v>
      </c>
      <c r="T362" s="159">
        <v>340.76755637830269</v>
      </c>
      <c r="U362" s="566"/>
      <c r="V362" s="197"/>
      <c r="W362" s="197"/>
      <c r="X362" s="567"/>
      <c r="Y362" s="24">
        <v>3</v>
      </c>
      <c r="Z362" s="159">
        <v>9.5127981382517977</v>
      </c>
      <c r="AA362" s="24">
        <v>20.219232000000002</v>
      </c>
      <c r="AB362" s="24">
        <v>64.113824175493747</v>
      </c>
      <c r="AC362" s="24">
        <v>37.068592000000002</v>
      </c>
      <c r="AD362" s="411">
        <v>117.54201098840512</v>
      </c>
      <c r="AE362" s="943"/>
      <c r="AF362" s="944"/>
      <c r="AG362" s="195">
        <v>107.46603200000001</v>
      </c>
      <c r="AH362" s="159">
        <v>681.53511275660537</v>
      </c>
      <c r="AI362" s="177">
        <f t="shared" si="10"/>
        <v>681.53511275660537</v>
      </c>
      <c r="AJ362" s="1003"/>
      <c r="AK362" s="1301"/>
      <c r="AL362" s="1006"/>
      <c r="AM362" s="151"/>
      <c r="AN362" s="90"/>
      <c r="AO362" s="128"/>
      <c r="AP362" s="106"/>
    </row>
    <row r="363" spans="1:42" s="69" customFormat="1">
      <c r="A363" s="1015"/>
      <c r="B363" s="573"/>
      <c r="C363" s="424"/>
      <c r="D363" s="223" t="s">
        <v>810</v>
      </c>
      <c r="E363" s="225" t="s">
        <v>64</v>
      </c>
      <c r="F363" s="569"/>
      <c r="G363" s="430">
        <f>41.039*150</f>
        <v>6155.85</v>
      </c>
      <c r="H363" s="244"/>
      <c r="I363" s="40"/>
      <c r="J363" s="1295"/>
      <c r="K363" s="1079"/>
      <c r="L363" s="7">
        <v>107.46603200000001</v>
      </c>
      <c r="M363" s="225" t="s">
        <v>64</v>
      </c>
      <c r="N363" s="188"/>
      <c r="O363" s="188"/>
      <c r="P363" s="188"/>
      <c r="Q363" s="188"/>
      <c r="R363" s="214"/>
      <c r="S363" s="8">
        <v>107.46603200000001</v>
      </c>
      <c r="T363" s="157">
        <v>340.76755637830269</v>
      </c>
      <c r="U363" s="207"/>
      <c r="V363" s="188"/>
      <c r="W363" s="188"/>
      <c r="X363" s="124"/>
      <c r="Y363" s="7">
        <v>3</v>
      </c>
      <c r="Z363" s="157">
        <v>9.5127981382517977</v>
      </c>
      <c r="AA363" s="7">
        <v>20.219232000000002</v>
      </c>
      <c r="AB363" s="7">
        <v>64.113824175493747</v>
      </c>
      <c r="AC363" s="7">
        <v>37.068592000000002</v>
      </c>
      <c r="AD363" s="270">
        <v>117.54201098840512</v>
      </c>
      <c r="AE363" s="943"/>
      <c r="AF363" s="944"/>
      <c r="AG363" s="192">
        <v>107.46603200000001</v>
      </c>
      <c r="AH363" s="157">
        <v>681.53511275660537</v>
      </c>
      <c r="AI363" s="177">
        <f t="shared" si="10"/>
        <v>681.53511275660537</v>
      </c>
      <c r="AJ363" s="1003"/>
      <c r="AK363" s="1301"/>
      <c r="AL363" s="1006"/>
      <c r="AM363" s="151"/>
      <c r="AN363" s="90"/>
      <c r="AO363" s="128"/>
      <c r="AP363" s="106"/>
    </row>
    <row r="364" spans="1:42" s="69" customFormat="1">
      <c r="A364" s="1015"/>
      <c r="B364" s="573"/>
      <c r="C364" s="424"/>
      <c r="D364" s="223" t="s">
        <v>811</v>
      </c>
      <c r="E364" s="225" t="s">
        <v>64</v>
      </c>
      <c r="F364" s="569"/>
      <c r="G364" s="426">
        <f>G363*3</f>
        <v>18467.550000000003</v>
      </c>
      <c r="H364" s="244"/>
      <c r="I364" s="40"/>
      <c r="J364" s="1295"/>
      <c r="K364" s="1079"/>
      <c r="L364" s="7">
        <v>229.59809600000003</v>
      </c>
      <c r="M364" s="225" t="s">
        <v>64</v>
      </c>
      <c r="N364" s="188"/>
      <c r="O364" s="188"/>
      <c r="P364" s="188"/>
      <c r="Q364" s="188"/>
      <c r="R364" s="214"/>
      <c r="S364" s="8">
        <v>229.59809600000003</v>
      </c>
      <c r="T364" s="157">
        <v>728.04011339165243</v>
      </c>
      <c r="U364" s="207"/>
      <c r="V364" s="188"/>
      <c r="W364" s="188"/>
      <c r="X364" s="124"/>
      <c r="Y364" s="7">
        <v>3</v>
      </c>
      <c r="Z364" s="157">
        <v>9.5127981382517977</v>
      </c>
      <c r="AA364" s="7">
        <v>43.857696000000004</v>
      </c>
      <c r="AB364" s="7">
        <v>139.06980295227106</v>
      </c>
      <c r="AC364" s="7">
        <v>80.405776000000017</v>
      </c>
      <c r="AD364" s="270">
        <v>254.96130541249696</v>
      </c>
      <c r="AE364" s="943"/>
      <c r="AF364" s="944"/>
      <c r="AG364" s="192">
        <v>229.59809600000003</v>
      </c>
      <c r="AH364" s="157">
        <v>1456.0802267833049</v>
      </c>
      <c r="AI364" s="177">
        <f t="shared" si="10"/>
        <v>1456.0802267833049</v>
      </c>
      <c r="AJ364" s="1003"/>
      <c r="AK364" s="1301"/>
      <c r="AL364" s="1006"/>
      <c r="AM364" s="151"/>
      <c r="AN364" s="90"/>
      <c r="AO364" s="128"/>
      <c r="AP364" s="106"/>
    </row>
    <row r="365" spans="1:42" s="69" customFormat="1">
      <c r="A365" s="1015"/>
      <c r="B365" s="573"/>
      <c r="C365" s="424"/>
      <c r="D365" s="223" t="s">
        <v>812</v>
      </c>
      <c r="E365" s="225" t="s">
        <v>64</v>
      </c>
      <c r="F365" s="569"/>
      <c r="G365" s="431">
        <f>G352*4</f>
        <v>24623.4</v>
      </c>
      <c r="H365" s="244"/>
      <c r="I365" s="40"/>
      <c r="J365" s="1295"/>
      <c r="K365" s="1079"/>
      <c r="L365" s="7">
        <v>290.66412800000001</v>
      </c>
      <c r="M365" s="225" t="s">
        <v>64</v>
      </c>
      <c r="N365" s="188"/>
      <c r="O365" s="188"/>
      <c r="P365" s="188"/>
      <c r="Q365" s="188"/>
      <c r="R365" s="214"/>
      <c r="S365" s="8">
        <v>290.66412800000001</v>
      </c>
      <c r="T365" s="157">
        <v>921.67639189832744</v>
      </c>
      <c r="U365" s="207"/>
      <c r="V365" s="188"/>
      <c r="W365" s="188"/>
      <c r="X365" s="124"/>
      <c r="Y365" s="7">
        <v>3</v>
      </c>
      <c r="Z365" s="157">
        <v>9.5127981382517977</v>
      </c>
      <c r="AA365" s="7">
        <v>55.676928000000004</v>
      </c>
      <c r="AB365" s="7">
        <v>176.54779234065973</v>
      </c>
      <c r="AC365" s="7">
        <v>102.07436800000001</v>
      </c>
      <c r="AD365" s="270">
        <v>323.67095262454291</v>
      </c>
      <c r="AE365" s="943"/>
      <c r="AF365" s="944"/>
      <c r="AG365" s="192">
        <v>290.66412800000001</v>
      </c>
      <c r="AH365" s="157">
        <v>1843.3527837966549</v>
      </c>
      <c r="AI365" s="177">
        <f t="shared" si="10"/>
        <v>1843.3527837966549</v>
      </c>
      <c r="AJ365" s="1003"/>
      <c r="AK365" s="1301"/>
      <c r="AL365" s="1006"/>
      <c r="AM365" s="151"/>
      <c r="AN365" s="90"/>
      <c r="AO365" s="128"/>
      <c r="AP365" s="106"/>
    </row>
    <row r="366" spans="1:42" s="69" customFormat="1">
      <c r="A366" s="1015"/>
      <c r="B366" s="573"/>
      <c r="C366" s="424"/>
      <c r="D366" s="223" t="s">
        <v>813</v>
      </c>
      <c r="E366" s="225" t="s">
        <v>64</v>
      </c>
      <c r="F366" s="569"/>
      <c r="G366" s="433">
        <v>2136</v>
      </c>
      <c r="H366" s="244"/>
      <c r="I366" s="40"/>
      <c r="J366" s="1295"/>
      <c r="K366" s="1079"/>
      <c r="L366" s="7">
        <v>67.589120000000008</v>
      </c>
      <c r="M366" s="225" t="s">
        <v>64</v>
      </c>
      <c r="N366" s="188"/>
      <c r="O366" s="188"/>
      <c r="P366" s="188"/>
      <c r="Q366" s="188"/>
      <c r="R366" s="214"/>
      <c r="S366" s="8">
        <v>67.589120000000008</v>
      </c>
      <c r="T366" s="157">
        <v>214.32055163402566</v>
      </c>
      <c r="U366" s="207"/>
      <c r="V366" s="188"/>
      <c r="W366" s="188"/>
      <c r="X366" s="124"/>
      <c r="Y366" s="7">
        <v>3</v>
      </c>
      <c r="Z366" s="157">
        <v>9.5127981382517977</v>
      </c>
      <c r="AA366" s="7">
        <v>12.50112</v>
      </c>
      <c r="AB366" s="7">
        <v>39.640210354020745</v>
      </c>
      <c r="AC366" s="7">
        <v>22.91872</v>
      </c>
      <c r="AD366" s="270">
        <v>72.673718982371383</v>
      </c>
      <c r="AE366" s="943"/>
      <c r="AF366" s="944"/>
      <c r="AG366" s="192">
        <v>67.589120000000008</v>
      </c>
      <c r="AH366" s="157">
        <v>428.64110326805132</v>
      </c>
      <c r="AI366" s="177">
        <f t="shared" si="10"/>
        <v>428.64110326805132</v>
      </c>
      <c r="AJ366" s="1003"/>
      <c r="AK366" s="1301"/>
      <c r="AL366" s="1006"/>
      <c r="AM366" s="151"/>
      <c r="AN366" s="90"/>
      <c r="AO366" s="128"/>
      <c r="AP366" s="106"/>
    </row>
    <row r="367" spans="1:42" s="69" customFormat="1">
      <c r="A367" s="1015"/>
      <c r="B367" s="573"/>
      <c r="C367" s="424"/>
      <c r="D367" s="223" t="s">
        <v>814</v>
      </c>
      <c r="E367" s="225" t="s">
        <v>64</v>
      </c>
      <c r="F367" s="569"/>
      <c r="G367" s="433">
        <f>G366*3</f>
        <v>6408</v>
      </c>
      <c r="H367" s="244"/>
      <c r="I367" s="40"/>
      <c r="J367" s="1295"/>
      <c r="K367" s="1079"/>
      <c r="L367" s="7">
        <v>109.96736000000001</v>
      </c>
      <c r="M367" s="225" t="s">
        <v>64</v>
      </c>
      <c r="N367" s="188"/>
      <c r="O367" s="188"/>
      <c r="P367" s="188"/>
      <c r="Q367" s="188"/>
      <c r="R367" s="214"/>
      <c r="S367" s="8">
        <v>109.96736000000001</v>
      </c>
      <c r="T367" s="157">
        <v>348.6990991588217</v>
      </c>
      <c r="U367" s="207"/>
      <c r="V367" s="188"/>
      <c r="W367" s="188"/>
      <c r="X367" s="124"/>
      <c r="Y367" s="7">
        <v>3</v>
      </c>
      <c r="Z367" s="157">
        <v>9.5127981382517977</v>
      </c>
      <c r="AA367" s="7">
        <v>20.70336</v>
      </c>
      <c r="AB367" s="7">
        <v>65.648961487852219</v>
      </c>
      <c r="AC367" s="7">
        <v>37.956160000000004</v>
      </c>
      <c r="AD367" s="270">
        <v>120.35642939439576</v>
      </c>
      <c r="AE367" s="943"/>
      <c r="AF367" s="944"/>
      <c r="AG367" s="192">
        <v>109.96736000000001</v>
      </c>
      <c r="AH367" s="157">
        <v>697.39819831764339</v>
      </c>
      <c r="AI367" s="177">
        <f t="shared" si="10"/>
        <v>697.39819831764339</v>
      </c>
      <c r="AJ367" s="1003"/>
      <c r="AK367" s="1301"/>
      <c r="AL367" s="1006"/>
      <c r="AM367" s="151"/>
      <c r="AN367" s="90"/>
      <c r="AO367" s="128"/>
      <c r="AP367" s="106"/>
    </row>
    <row r="368" spans="1:42" s="69" customFormat="1">
      <c r="A368" s="1015"/>
      <c r="B368" s="573"/>
      <c r="C368" s="424"/>
      <c r="D368" s="223" t="s">
        <v>815</v>
      </c>
      <c r="E368" s="225" t="s">
        <v>64</v>
      </c>
      <c r="F368" s="569"/>
      <c r="G368" s="433">
        <f>G366*10%</f>
        <v>213.60000000000002</v>
      </c>
      <c r="H368" s="244"/>
      <c r="I368" s="40"/>
      <c r="J368" s="1295"/>
      <c r="K368" s="1079"/>
      <c r="L368" s="7">
        <v>48.518911999999993</v>
      </c>
      <c r="M368" s="225" t="s">
        <v>64</v>
      </c>
      <c r="N368" s="188"/>
      <c r="O368" s="188"/>
      <c r="P368" s="188"/>
      <c r="Q368" s="188"/>
      <c r="R368" s="214"/>
      <c r="S368" s="8">
        <v>48.518911999999993</v>
      </c>
      <c r="T368" s="157">
        <v>153.85020524786745</v>
      </c>
      <c r="U368" s="207"/>
      <c r="V368" s="188"/>
      <c r="W368" s="188"/>
      <c r="X368" s="124"/>
      <c r="Y368" s="7">
        <v>3</v>
      </c>
      <c r="Z368" s="157">
        <v>9.5127981382517977</v>
      </c>
      <c r="AA368" s="7">
        <v>8.8101119999999984</v>
      </c>
      <c r="AB368" s="7">
        <v>27.93627234379661</v>
      </c>
      <c r="AC368" s="7">
        <v>16.151871999999997</v>
      </c>
      <c r="AD368" s="270">
        <v>51.216499296960414</v>
      </c>
      <c r="AE368" s="943"/>
      <c r="AF368" s="944"/>
      <c r="AG368" s="192">
        <v>48.518911999999993</v>
      </c>
      <c r="AH368" s="157">
        <v>307.7004104957349</v>
      </c>
      <c r="AI368" s="177">
        <f t="shared" si="10"/>
        <v>307.7004104957349</v>
      </c>
      <c r="AJ368" s="1003"/>
      <c r="AK368" s="1301"/>
      <c r="AL368" s="1006"/>
      <c r="AM368" s="151"/>
      <c r="AN368" s="90"/>
      <c r="AO368" s="128"/>
      <c r="AP368" s="106"/>
    </row>
    <row r="369" spans="1:42" s="69" customFormat="1">
      <c r="A369" s="1015"/>
      <c r="B369" s="573"/>
      <c r="C369" s="424"/>
      <c r="D369" s="223" t="s">
        <v>816</v>
      </c>
      <c r="E369" s="225" t="s">
        <v>64</v>
      </c>
      <c r="F369" s="569"/>
      <c r="G369" s="433">
        <f>G367*10%</f>
        <v>640.80000000000007</v>
      </c>
      <c r="H369" s="244"/>
      <c r="I369" s="40"/>
      <c r="J369" s="1295"/>
      <c r="K369" s="1079"/>
      <c r="L369" s="7">
        <v>52.756736000000004</v>
      </c>
      <c r="M369" s="225" t="s">
        <v>64</v>
      </c>
      <c r="N369" s="188"/>
      <c r="O369" s="188"/>
      <c r="P369" s="188"/>
      <c r="Q369" s="188"/>
      <c r="R369" s="214"/>
      <c r="S369" s="8">
        <v>52.756736000000004</v>
      </c>
      <c r="T369" s="157">
        <v>167.28806000034717</v>
      </c>
      <c r="U369" s="207"/>
      <c r="V369" s="188"/>
      <c r="W369" s="188"/>
      <c r="X369" s="124"/>
      <c r="Y369" s="7">
        <v>3</v>
      </c>
      <c r="Z369" s="157">
        <v>9.5127981382517977</v>
      </c>
      <c r="AA369" s="7">
        <v>9.6303359999999998</v>
      </c>
      <c r="AB369" s="7">
        <v>30.537147457179753</v>
      </c>
      <c r="AC369" s="7">
        <v>17.655616000000002</v>
      </c>
      <c r="AD369" s="270">
        <v>55.984770338162868</v>
      </c>
      <c r="AE369" s="943"/>
      <c r="AF369" s="944"/>
      <c r="AG369" s="192">
        <v>52.756736000000004</v>
      </c>
      <c r="AH369" s="157">
        <v>334.57612000069435</v>
      </c>
      <c r="AI369" s="177">
        <f t="shared" si="10"/>
        <v>334.57612000069435</v>
      </c>
      <c r="AJ369" s="1003"/>
      <c r="AK369" s="1301"/>
      <c r="AL369" s="1006"/>
      <c r="AM369" s="151"/>
      <c r="AN369" s="90"/>
      <c r="AO369" s="128"/>
      <c r="AP369" s="106"/>
    </row>
    <row r="370" spans="1:42" s="69" customFormat="1">
      <c r="A370" s="1015"/>
      <c r="B370" s="573"/>
      <c r="C370" s="424"/>
      <c r="D370" s="223" t="s">
        <v>820</v>
      </c>
      <c r="E370" s="225" t="s">
        <v>64</v>
      </c>
      <c r="F370" s="569"/>
      <c r="G370" s="433">
        <f>G368*4</f>
        <v>854.40000000000009</v>
      </c>
      <c r="H370" s="244"/>
      <c r="I370" s="40"/>
      <c r="J370" s="1295"/>
      <c r="K370" s="1079"/>
      <c r="L370" s="7">
        <v>54.875647999999998</v>
      </c>
      <c r="M370" s="225" t="s">
        <v>64</v>
      </c>
      <c r="N370" s="188"/>
      <c r="O370" s="188"/>
      <c r="P370" s="188"/>
      <c r="Q370" s="188"/>
      <c r="R370" s="214"/>
      <c r="S370" s="8">
        <v>54.875647999999998</v>
      </c>
      <c r="T370" s="157">
        <v>174.00698737658695</v>
      </c>
      <c r="U370" s="207"/>
      <c r="V370" s="188"/>
      <c r="W370" s="188"/>
      <c r="X370" s="124"/>
      <c r="Y370" s="7">
        <v>3</v>
      </c>
      <c r="Z370" s="157">
        <v>9.5127981382517977</v>
      </c>
      <c r="AA370" s="7">
        <v>10.040448</v>
      </c>
      <c r="AB370" s="7">
        <v>31.837585013871333</v>
      </c>
      <c r="AC370" s="7">
        <v>18.407488000000001</v>
      </c>
      <c r="AD370" s="270">
        <v>58.368905858764087</v>
      </c>
      <c r="AE370" s="943"/>
      <c r="AF370" s="944"/>
      <c r="AG370" s="192">
        <v>54.875647999999998</v>
      </c>
      <c r="AH370" s="157">
        <v>348.0139747531739</v>
      </c>
      <c r="AI370" s="177">
        <f t="shared" si="10"/>
        <v>348.0139747531739</v>
      </c>
      <c r="AJ370" s="1003"/>
      <c r="AK370" s="1301"/>
      <c r="AL370" s="1006"/>
      <c r="AM370" s="151"/>
      <c r="AN370" s="90"/>
      <c r="AO370" s="128"/>
      <c r="AP370" s="106"/>
    </row>
    <row r="371" spans="1:42" s="69" customFormat="1">
      <c r="A371" s="1015"/>
      <c r="B371" s="573"/>
      <c r="C371" s="424"/>
      <c r="D371" s="223" t="s">
        <v>821</v>
      </c>
      <c r="E371" s="225" t="s">
        <v>64</v>
      </c>
      <c r="F371" s="569"/>
      <c r="G371" s="433">
        <f>G343-G373</f>
        <v>2136</v>
      </c>
      <c r="H371" s="244"/>
      <c r="I371" s="40"/>
      <c r="J371" s="1295"/>
      <c r="K371" s="1079"/>
      <c r="L371" s="7">
        <v>67.589120000000008</v>
      </c>
      <c r="M371" s="225" t="s">
        <v>64</v>
      </c>
      <c r="N371" s="188"/>
      <c r="O371" s="188"/>
      <c r="P371" s="188"/>
      <c r="Q371" s="188"/>
      <c r="R371" s="214"/>
      <c r="S371" s="8">
        <v>67.589120000000008</v>
      </c>
      <c r="T371" s="157">
        <v>214.32055163402566</v>
      </c>
      <c r="U371" s="207"/>
      <c r="V371" s="188"/>
      <c r="W371" s="188"/>
      <c r="X371" s="124"/>
      <c r="Y371" s="7">
        <v>3</v>
      </c>
      <c r="Z371" s="157">
        <v>9.5127981382517977</v>
      </c>
      <c r="AA371" s="7">
        <v>12.50112</v>
      </c>
      <c r="AB371" s="7">
        <v>39.640210354020745</v>
      </c>
      <c r="AC371" s="7">
        <v>22.91872</v>
      </c>
      <c r="AD371" s="270">
        <v>72.673718982371383</v>
      </c>
      <c r="AE371" s="943"/>
      <c r="AF371" s="944"/>
      <c r="AG371" s="192">
        <v>67.589120000000008</v>
      </c>
      <c r="AH371" s="157">
        <v>428.64110326805132</v>
      </c>
      <c r="AI371" s="177">
        <f t="shared" si="10"/>
        <v>428.64110326805132</v>
      </c>
      <c r="AJ371" s="1003"/>
      <c r="AK371" s="1301"/>
      <c r="AL371" s="1006"/>
      <c r="AM371" s="151"/>
      <c r="AN371" s="90"/>
      <c r="AO371" s="128"/>
      <c r="AP371" s="106"/>
    </row>
    <row r="372" spans="1:42" s="69" customFormat="1">
      <c r="A372" s="1015"/>
      <c r="B372" s="573"/>
      <c r="C372" s="424"/>
      <c r="D372" s="223" t="s">
        <v>822</v>
      </c>
      <c r="E372" s="225" t="s">
        <v>64</v>
      </c>
      <c r="F372" s="569"/>
      <c r="G372" s="433">
        <f>G344+G344*40%</f>
        <v>29904</v>
      </c>
      <c r="H372" s="244"/>
      <c r="I372" s="565"/>
      <c r="J372" s="1294"/>
      <c r="K372" s="1079"/>
      <c r="L372" s="7">
        <v>343.04767999999996</v>
      </c>
      <c r="M372" s="225" t="s">
        <v>64</v>
      </c>
      <c r="N372" s="188"/>
      <c r="O372" s="188"/>
      <c r="P372" s="188"/>
      <c r="Q372" s="188"/>
      <c r="R372" s="214"/>
      <c r="S372" s="8">
        <v>343.04767999999996</v>
      </c>
      <c r="T372" s="157">
        <v>1087.781110545199</v>
      </c>
      <c r="U372" s="207"/>
      <c r="V372" s="188"/>
      <c r="W372" s="188"/>
      <c r="X372" s="124"/>
      <c r="Y372" s="7">
        <v>3</v>
      </c>
      <c r="Z372" s="157">
        <v>9.5127981382517977</v>
      </c>
      <c r="AA372" s="7">
        <v>65.815679999999986</v>
      </c>
      <c r="AB372" s="7">
        <v>208.69709272392524</v>
      </c>
      <c r="AC372" s="7">
        <v>120.66207999999999</v>
      </c>
      <c r="AD372" s="270">
        <v>382.61133666052984</v>
      </c>
      <c r="AE372" s="943"/>
      <c r="AF372" s="944"/>
      <c r="AG372" s="195">
        <v>343.04767999999996</v>
      </c>
      <c r="AH372" s="157">
        <v>2175.562221090398</v>
      </c>
      <c r="AI372" s="177">
        <f t="shared" si="10"/>
        <v>2175.562221090398</v>
      </c>
      <c r="AJ372" s="1003"/>
      <c r="AK372" s="1301"/>
      <c r="AL372" s="1006"/>
      <c r="AM372" s="151"/>
      <c r="AN372" s="90"/>
      <c r="AO372" s="128"/>
      <c r="AP372" s="106"/>
    </row>
    <row r="373" spans="1:42" s="69" customFormat="1" ht="13.5" thickBot="1">
      <c r="A373" s="1016"/>
      <c r="B373" s="574"/>
      <c r="C373" s="262"/>
      <c r="D373" s="224" t="s">
        <v>823</v>
      </c>
      <c r="E373" s="226" t="s">
        <v>64</v>
      </c>
      <c r="F373" s="263"/>
      <c r="G373" s="477">
        <f>G344+G372</f>
        <v>51264</v>
      </c>
      <c r="H373" s="409" t="s">
        <v>64</v>
      </c>
      <c r="I373" s="268"/>
      <c r="J373" s="1296"/>
      <c r="K373" s="1080"/>
      <c r="L373" s="46">
        <v>554.93888000000004</v>
      </c>
      <c r="M373" s="409" t="s">
        <v>64</v>
      </c>
      <c r="N373" s="189"/>
      <c r="O373" s="189"/>
      <c r="P373" s="189"/>
      <c r="Q373" s="189"/>
      <c r="R373" s="275"/>
      <c r="S373" s="190">
        <v>554.93888000000004</v>
      </c>
      <c r="T373" s="156">
        <v>1759.6738481691782</v>
      </c>
      <c r="U373" s="570"/>
      <c r="V373" s="570"/>
      <c r="W373" s="189"/>
      <c r="X373" s="216"/>
      <c r="Y373" s="46">
        <v>3</v>
      </c>
      <c r="Z373" s="156">
        <v>9.5127981382517977</v>
      </c>
      <c r="AA373" s="46">
        <v>106.82688</v>
      </c>
      <c r="AB373" s="46">
        <v>339</v>
      </c>
      <c r="AC373" s="46">
        <v>195.84928000000002</v>
      </c>
      <c r="AD373" s="271">
        <v>621.0248887206518</v>
      </c>
      <c r="AE373" s="945"/>
      <c r="AF373" s="946"/>
      <c r="AG373" s="193">
        <v>554.93888000000004</v>
      </c>
      <c r="AH373" s="156">
        <v>3519.3476963383564</v>
      </c>
      <c r="AI373" s="180">
        <f t="shared" si="10"/>
        <v>3519.3476963383564</v>
      </c>
      <c r="AJ373" s="1004"/>
      <c r="AK373" s="1302"/>
      <c r="AL373" s="1007"/>
      <c r="AM373" s="151"/>
      <c r="AN373" s="90"/>
      <c r="AO373" s="128"/>
      <c r="AP373" s="106"/>
    </row>
    <row r="374" spans="1:42" s="69" customFormat="1">
      <c r="A374" s="66"/>
      <c r="B374" s="66"/>
      <c r="C374" s="67"/>
      <c r="D374" s="128"/>
      <c r="E374" s="128"/>
      <c r="F374" s="128"/>
      <c r="G374" s="59"/>
      <c r="H374" s="59"/>
      <c r="I374" s="59"/>
      <c r="J374" s="128"/>
      <c r="K374" s="128"/>
      <c r="L374" s="61"/>
      <c r="M374" s="60"/>
      <c r="N374" s="61"/>
      <c r="O374" s="61"/>
      <c r="P374" s="61"/>
      <c r="Q374" s="61"/>
      <c r="R374" s="160"/>
      <c r="S374" s="61"/>
      <c r="T374" s="160"/>
      <c r="U374" s="61"/>
      <c r="V374" s="61"/>
      <c r="W374" s="61"/>
      <c r="X374" s="151"/>
      <c r="Y374" s="60"/>
      <c r="Z374" s="151"/>
      <c r="AA374" s="60"/>
      <c r="AB374" s="60"/>
      <c r="AC374" s="60"/>
      <c r="AD374" s="60"/>
      <c r="AE374" s="60"/>
      <c r="AF374" s="60"/>
      <c r="AG374" s="60"/>
      <c r="AH374" s="151"/>
      <c r="AI374" s="151"/>
      <c r="AJ374" s="60"/>
      <c r="AM374" s="850"/>
      <c r="AN374" s="128"/>
      <c r="AO374" s="106"/>
    </row>
    <row r="375" spans="1:42" s="69" customFormat="1" ht="13.5" thickBot="1">
      <c r="A375" s="66"/>
      <c r="B375" s="70"/>
      <c r="C375" s="71"/>
      <c r="D375" s="63"/>
      <c r="E375" s="63"/>
      <c r="F375" s="63"/>
      <c r="G375" s="59"/>
      <c r="H375" s="62"/>
      <c r="I375" s="59"/>
      <c r="J375" s="128"/>
      <c r="K375" s="128"/>
      <c r="L375" s="65"/>
      <c r="M375" s="64"/>
      <c r="N375" s="65"/>
      <c r="O375" s="65"/>
      <c r="P375" s="65"/>
      <c r="Q375" s="65"/>
      <c r="R375" s="168"/>
      <c r="S375" s="65"/>
      <c r="T375" s="168"/>
      <c r="U375" s="65"/>
      <c r="V375" s="65"/>
      <c r="W375" s="65"/>
      <c r="X375" s="152"/>
      <c r="Y375" s="64"/>
      <c r="Z375" s="152"/>
      <c r="AA375" s="64"/>
      <c r="AB375" s="64"/>
      <c r="AC375" s="64"/>
      <c r="AD375" s="64"/>
      <c r="AE375" s="64"/>
      <c r="AF375" s="64"/>
      <c r="AG375" s="64"/>
      <c r="AH375" s="152"/>
      <c r="AI375" s="152"/>
      <c r="AJ375" s="60"/>
      <c r="AM375" s="850"/>
      <c r="AN375" s="128"/>
      <c r="AO375" s="106"/>
    </row>
    <row r="376" spans="1:42" s="69" customFormat="1" ht="12.75" customHeight="1">
      <c r="A376" s="1026" t="s">
        <v>819</v>
      </c>
      <c r="B376" s="610">
        <v>9561</v>
      </c>
      <c r="C376" s="529">
        <v>33042</v>
      </c>
      <c r="D376" s="222" t="s">
        <v>483</v>
      </c>
      <c r="E376" s="222" t="s">
        <v>488</v>
      </c>
      <c r="F376" s="594" t="s">
        <v>151</v>
      </c>
      <c r="G376" s="49">
        <v>421.89288334556124</v>
      </c>
      <c r="H376" s="49">
        <v>421.89288334556124</v>
      </c>
      <c r="I376" s="710" t="s">
        <v>151</v>
      </c>
      <c r="J376" s="1214" t="s">
        <v>491</v>
      </c>
      <c r="K376" s="1214" t="s">
        <v>528</v>
      </c>
      <c r="L376" s="630">
        <v>103.68340425531916</v>
      </c>
      <c r="M376" s="598">
        <v>37.895818048422598</v>
      </c>
      <c r="N376" s="600"/>
      <c r="O376" s="600"/>
      <c r="P376" s="600"/>
      <c r="Q376" s="598">
        <v>65.787586206896563</v>
      </c>
      <c r="R376" s="603">
        <v>24417.424247362185</v>
      </c>
      <c r="S376" s="598">
        <v>65.787586206896563</v>
      </c>
      <c r="T376" s="603">
        <v>24417.424247362185</v>
      </c>
      <c r="U376" s="721" t="s">
        <v>151</v>
      </c>
      <c r="V376" s="598"/>
      <c r="W376" s="598">
        <v>5.4846074834922964</v>
      </c>
      <c r="X376" s="598">
        <v>2035.6422157444927</v>
      </c>
      <c r="Y376" s="598">
        <v>3.7666500366837861</v>
      </c>
      <c r="Z376" s="598">
        <v>1398.0128659502147</v>
      </c>
      <c r="AA376" s="600"/>
      <c r="AB376" s="600"/>
      <c r="AC376" s="598">
        <v>17.354870139398386</v>
      </c>
      <c r="AD376" s="599">
        <v>6441.3554499305319</v>
      </c>
      <c r="AE376" s="1115" t="s">
        <v>516</v>
      </c>
      <c r="AF376" s="1116"/>
      <c r="AG376" s="630">
        <v>65.787586206896563</v>
      </c>
      <c r="AH376" s="598">
        <v>48834.848494724371</v>
      </c>
      <c r="AI376" s="177">
        <f t="shared" ref="AI376:AI402" si="11">AH376</f>
        <v>48834.848494724371</v>
      </c>
      <c r="AJ376" s="975">
        <v>46192</v>
      </c>
      <c r="AK376" s="981">
        <f>SUM(AI376:AI388)</f>
        <v>1683170.3859466822</v>
      </c>
      <c r="AL376" s="1303">
        <f>AK376+AK389+AK402+AK428</f>
        <v>1991257.7355874602</v>
      </c>
      <c r="AM376" s="440"/>
      <c r="AN376" s="90"/>
      <c r="AO376" s="128"/>
    </row>
    <row r="377" spans="1:42" s="69" customFormat="1" ht="15" customHeight="1">
      <c r="A377" s="1027"/>
      <c r="B377" s="610"/>
      <c r="C377" s="525"/>
      <c r="D377" s="223" t="s">
        <v>809</v>
      </c>
      <c r="E377" s="320" t="s">
        <v>64</v>
      </c>
      <c r="F377" s="515" t="s">
        <v>151</v>
      </c>
      <c r="G377" s="120">
        <v>140.63096111518709</v>
      </c>
      <c r="H377" s="320" t="s">
        <v>64</v>
      </c>
      <c r="I377" s="711" t="s">
        <v>151</v>
      </c>
      <c r="J377" s="1215"/>
      <c r="K377" s="1215"/>
      <c r="L377" s="631">
        <v>40.645634629493763</v>
      </c>
      <c r="M377" s="225" t="s">
        <v>64</v>
      </c>
      <c r="N377" s="601"/>
      <c r="O377" s="601"/>
      <c r="P377" s="601"/>
      <c r="Q377" s="595">
        <v>40.645634629493763</v>
      </c>
      <c r="R377" s="604">
        <v>15085.850717039746</v>
      </c>
      <c r="S377" s="595">
        <v>40.645634629493763</v>
      </c>
      <c r="T377" s="604">
        <v>15085.850717039746</v>
      </c>
      <c r="U377" s="721" t="s">
        <v>151</v>
      </c>
      <c r="V377" s="595"/>
      <c r="W377" s="595">
        <v>0</v>
      </c>
      <c r="X377" s="595">
        <v>0</v>
      </c>
      <c r="Y377" s="595">
        <v>2.3888481291269259</v>
      </c>
      <c r="Z377" s="595">
        <v>886.63411434442901</v>
      </c>
      <c r="AA377" s="601"/>
      <c r="AB377" s="601"/>
      <c r="AC377" s="595">
        <v>11.753484959647835</v>
      </c>
      <c r="AD377" s="714">
        <v>4362.3705503064348</v>
      </c>
      <c r="AE377" s="1117"/>
      <c r="AF377" s="1118"/>
      <c r="AG377" s="631">
        <v>40.645634629493763</v>
      </c>
      <c r="AH377" s="595">
        <v>30171.701434079492</v>
      </c>
      <c r="AI377" s="177">
        <f t="shared" si="11"/>
        <v>30171.701434079492</v>
      </c>
      <c r="AJ377" s="976"/>
      <c r="AK377" s="982"/>
      <c r="AL377" s="1304"/>
      <c r="AM377" s="440"/>
      <c r="AN377" s="128"/>
      <c r="AO377" s="128"/>
    </row>
    <row r="378" spans="1:42" s="69" customFormat="1" ht="15" customHeight="1">
      <c r="A378" s="1027"/>
      <c r="B378" s="610"/>
      <c r="C378" s="525"/>
      <c r="D378" s="223" t="s">
        <v>810</v>
      </c>
      <c r="E378" s="320" t="s">
        <v>64</v>
      </c>
      <c r="F378" s="515" t="s">
        <v>151</v>
      </c>
      <c r="G378" s="120">
        <v>1956.4683785766695</v>
      </c>
      <c r="H378" s="320" t="s">
        <v>64</v>
      </c>
      <c r="I378" s="711" t="s">
        <v>151</v>
      </c>
      <c r="J378" s="1215"/>
      <c r="K378" s="1215"/>
      <c r="L378" s="631">
        <v>89.782338077769637</v>
      </c>
      <c r="M378" s="225" t="s">
        <v>64</v>
      </c>
      <c r="N378" s="601"/>
      <c r="O378" s="601"/>
      <c r="P378" s="601"/>
      <c r="Q378" s="595">
        <v>89.782338077769637</v>
      </c>
      <c r="R378" s="604">
        <v>33323.208300583392</v>
      </c>
      <c r="S378" s="595">
        <v>89.782338077769637</v>
      </c>
      <c r="T378" s="604">
        <v>33323.208300583392</v>
      </c>
      <c r="U378" s="721" t="s">
        <v>151</v>
      </c>
      <c r="V378" s="595"/>
      <c r="W378" s="595">
        <v>25.434088921496706</v>
      </c>
      <c r="X378" s="595">
        <v>9440.0019114276965</v>
      </c>
      <c r="Y378" s="595">
        <v>5.4600143360234767</v>
      </c>
      <c r="Z378" s="595">
        <v>2026.5143338757841</v>
      </c>
      <c r="AA378" s="601"/>
      <c r="AB378" s="601"/>
      <c r="AC378" s="595">
        <v>18.864269317681583</v>
      </c>
      <c r="AD378" s="714">
        <v>7001.5772519412112</v>
      </c>
      <c r="AE378" s="1117"/>
      <c r="AF378" s="1118"/>
      <c r="AG378" s="631">
        <v>89.782338077769637</v>
      </c>
      <c r="AH378" s="595">
        <v>66646.416601166784</v>
      </c>
      <c r="AI378" s="177">
        <f t="shared" si="11"/>
        <v>66646.416601166784</v>
      </c>
      <c r="AJ378" s="976"/>
      <c r="AK378" s="982"/>
      <c r="AL378" s="1304"/>
      <c r="AM378" s="440"/>
      <c r="AN378" s="90"/>
      <c r="AO378" s="128"/>
    </row>
    <row r="379" spans="1:42" s="69" customFormat="1" ht="15" customHeight="1">
      <c r="A379" s="1027"/>
      <c r="B379" s="610"/>
      <c r="C379" s="525"/>
      <c r="D379" s="223" t="s">
        <v>811</v>
      </c>
      <c r="E379" s="320" t="s">
        <v>64</v>
      </c>
      <c r="F379" s="515" t="s">
        <v>151</v>
      </c>
      <c r="G379" s="120">
        <v>44.020542920029349</v>
      </c>
      <c r="H379" s="320" t="s">
        <v>64</v>
      </c>
      <c r="I379" s="711" t="s">
        <v>151</v>
      </c>
      <c r="J379" s="1215"/>
      <c r="K379" s="1215"/>
      <c r="L379" s="631">
        <v>29.640498899486428</v>
      </c>
      <c r="M379" s="225" t="s">
        <v>64</v>
      </c>
      <c r="N379" s="601"/>
      <c r="O379" s="601"/>
      <c r="P379" s="601"/>
      <c r="Q379" s="595">
        <v>29.640498899486428</v>
      </c>
      <c r="R379" s="604">
        <v>11001.234096902623</v>
      </c>
      <c r="S379" s="595">
        <v>29.640498899486428</v>
      </c>
      <c r="T379" s="604">
        <v>11001.234096902623</v>
      </c>
      <c r="U379" s="721" t="s">
        <v>151</v>
      </c>
      <c r="V379" s="595"/>
      <c r="W379" s="595">
        <v>0</v>
      </c>
      <c r="X379" s="595">
        <v>0</v>
      </c>
      <c r="Y379" s="595">
        <v>2.3888481291269259</v>
      </c>
      <c r="Z379" s="595">
        <v>886.63411434442901</v>
      </c>
      <c r="AA379" s="601"/>
      <c r="AB379" s="601"/>
      <c r="AC379" s="595">
        <v>8.4519442406456342</v>
      </c>
      <c r="AD379" s="714">
        <v>3136.9855642653029</v>
      </c>
      <c r="AE379" s="1117"/>
      <c r="AF379" s="1118"/>
      <c r="AG379" s="631">
        <v>29.640498899486428</v>
      </c>
      <c r="AH379" s="595">
        <v>22002.468193805245</v>
      </c>
      <c r="AI379" s="177">
        <f t="shared" si="11"/>
        <v>22002.468193805245</v>
      </c>
      <c r="AJ379" s="976"/>
      <c r="AK379" s="982"/>
      <c r="AL379" s="1304"/>
      <c r="AM379" s="440"/>
      <c r="AN379" s="107" t="s">
        <v>77</v>
      </c>
      <c r="AO379" s="128"/>
    </row>
    <row r="380" spans="1:42" s="69" customFormat="1" ht="15" customHeight="1">
      <c r="A380" s="1027"/>
      <c r="B380" s="610"/>
      <c r="C380" s="525"/>
      <c r="D380" s="223" t="s">
        <v>812</v>
      </c>
      <c r="E380" s="320" t="s">
        <v>64</v>
      </c>
      <c r="F380" s="515" t="s">
        <v>151</v>
      </c>
      <c r="G380" s="24">
        <v>56933.235509904625</v>
      </c>
      <c r="H380" s="320" t="s">
        <v>64</v>
      </c>
      <c r="I380" s="711" t="s">
        <v>151</v>
      </c>
      <c r="J380" s="1215"/>
      <c r="K380" s="1215"/>
      <c r="L380" s="631">
        <v>1425.7079970652971</v>
      </c>
      <c r="M380" s="225" t="s">
        <v>64</v>
      </c>
      <c r="N380" s="601"/>
      <c r="O380" s="601"/>
      <c r="P380" s="601"/>
      <c r="Q380" s="595">
        <v>1425.7079970652971</v>
      </c>
      <c r="R380" s="604">
        <v>529159.36006101698</v>
      </c>
      <c r="S380" s="595">
        <v>1425.7079970652971</v>
      </c>
      <c r="T380" s="604">
        <v>529159.36006101698</v>
      </c>
      <c r="U380" s="721" t="s">
        <v>151</v>
      </c>
      <c r="V380" s="595"/>
      <c r="W380" s="595">
        <v>740.1320616287602</v>
      </c>
      <c r="X380" s="595">
        <v>274704.08309295506</v>
      </c>
      <c r="Y380" s="595">
        <v>100.2949376375642</v>
      </c>
      <c r="Z380" s="595">
        <v>37225.017413732319</v>
      </c>
      <c r="AA380" s="601"/>
      <c r="AB380" s="601"/>
      <c r="AC380" s="595">
        <v>205.23257520176082</v>
      </c>
      <c r="AD380" s="714">
        <v>76173.198425613125</v>
      </c>
      <c r="AE380" s="1117"/>
      <c r="AF380" s="1118"/>
      <c r="AG380" s="631">
        <v>1425.7079970652971</v>
      </c>
      <c r="AH380" s="595">
        <v>1058318.720122034</v>
      </c>
      <c r="AI380" s="177">
        <f t="shared" si="11"/>
        <v>1058318.720122034</v>
      </c>
      <c r="AJ380" s="976"/>
      <c r="AK380" s="982"/>
      <c r="AL380" s="1304"/>
      <c r="AM380" s="440"/>
      <c r="AN380" s="90"/>
      <c r="AO380" s="128"/>
    </row>
    <row r="381" spans="1:42" s="69" customFormat="1" ht="15" customHeight="1">
      <c r="A381" s="1027"/>
      <c r="B381" s="610"/>
      <c r="C381" s="525"/>
      <c r="D381" s="223" t="s">
        <v>813</v>
      </c>
      <c r="E381" s="320" t="s">
        <v>64</v>
      </c>
      <c r="F381" s="515" t="s">
        <v>151</v>
      </c>
      <c r="G381" s="7">
        <v>1760.8217168011738</v>
      </c>
      <c r="H381" s="320" t="s">
        <v>64</v>
      </c>
      <c r="I381" s="711" t="s">
        <v>151</v>
      </c>
      <c r="J381" s="1215"/>
      <c r="K381" s="1215"/>
      <c r="L381" s="631">
        <v>73.983859134262659</v>
      </c>
      <c r="M381" s="595">
        <v>24.680851063829788</v>
      </c>
      <c r="N381" s="601"/>
      <c r="O381" s="601"/>
      <c r="P381" s="601"/>
      <c r="Q381" s="595">
        <v>49.303008070432867</v>
      </c>
      <c r="R381" s="604">
        <v>18299.082458214285</v>
      </c>
      <c r="S381" s="595">
        <v>49.303008070432867</v>
      </c>
      <c r="T381" s="604">
        <v>18299.082458214285</v>
      </c>
      <c r="U381" s="721" t="s">
        <v>151</v>
      </c>
      <c r="V381" s="595"/>
      <c r="W381" s="595">
        <v>0</v>
      </c>
      <c r="X381" s="595">
        <v>0</v>
      </c>
      <c r="Y381" s="595">
        <v>3.3323550990462216</v>
      </c>
      <c r="Z381" s="595">
        <v>1236.8219125775179</v>
      </c>
      <c r="AA381" s="601"/>
      <c r="AB381" s="601"/>
      <c r="AC381" s="595">
        <v>14.350696991929567</v>
      </c>
      <c r="AD381" s="714">
        <v>5326.3400726587988</v>
      </c>
      <c r="AE381" s="1117"/>
      <c r="AF381" s="1118"/>
      <c r="AG381" s="631">
        <v>49.303008070432867</v>
      </c>
      <c r="AH381" s="595">
        <v>36598.16491642857</v>
      </c>
      <c r="AI381" s="177">
        <f t="shared" si="11"/>
        <v>36598.16491642857</v>
      </c>
      <c r="AJ381" s="976"/>
      <c r="AK381" s="982"/>
      <c r="AL381" s="1304"/>
      <c r="AM381" s="440"/>
      <c r="AN381" s="90"/>
      <c r="AO381" s="128"/>
    </row>
    <row r="382" spans="1:42" s="69" customFormat="1" ht="15" customHeight="1">
      <c r="A382" s="1027"/>
      <c r="B382" s="610"/>
      <c r="C382" s="525"/>
      <c r="D382" s="223" t="s">
        <v>814</v>
      </c>
      <c r="E382" s="320" t="s">
        <v>64</v>
      </c>
      <c r="F382" s="515" t="s">
        <v>151</v>
      </c>
      <c r="G382" s="119">
        <v>2934.70286133529</v>
      </c>
      <c r="H382" s="320" t="s">
        <v>64</v>
      </c>
      <c r="I382" s="711" t="s">
        <v>151</v>
      </c>
      <c r="J382" s="1215"/>
      <c r="K382" s="1215"/>
      <c r="L382" s="631">
        <v>61.364636830520908</v>
      </c>
      <c r="M382" s="225" t="s">
        <v>64</v>
      </c>
      <c r="N382" s="601"/>
      <c r="O382" s="601"/>
      <c r="P382" s="601"/>
      <c r="Q382" s="595">
        <v>61.364636830520908</v>
      </c>
      <c r="R382" s="604">
        <v>22775.822273884576</v>
      </c>
      <c r="S382" s="595">
        <v>61.364636830520908</v>
      </c>
      <c r="T382" s="604">
        <v>22775.822273884576</v>
      </c>
      <c r="U382" s="721" t="s">
        <v>151</v>
      </c>
      <c r="V382" s="595"/>
      <c r="W382" s="595">
        <v>0</v>
      </c>
      <c r="X382" s="595">
        <v>0</v>
      </c>
      <c r="Y382" s="595">
        <v>7.1474688187820981</v>
      </c>
      <c r="Z382" s="595">
        <v>2652.8223408917202</v>
      </c>
      <c r="AA382" s="601"/>
      <c r="AB382" s="601"/>
      <c r="AC382" s="595">
        <v>17.969185619955979</v>
      </c>
      <c r="AD382" s="714">
        <v>6669.3620173598829</v>
      </c>
      <c r="AE382" s="1117"/>
      <c r="AF382" s="1118"/>
      <c r="AG382" s="631">
        <v>61.364636830520908</v>
      </c>
      <c r="AH382" s="595">
        <v>45551.644547769152</v>
      </c>
      <c r="AI382" s="177">
        <f t="shared" si="11"/>
        <v>45551.644547769152</v>
      </c>
      <c r="AJ382" s="976"/>
      <c r="AK382" s="982"/>
      <c r="AL382" s="1304"/>
      <c r="AM382" s="440"/>
      <c r="AN382" s="90"/>
      <c r="AO382" s="128"/>
    </row>
    <row r="383" spans="1:42" s="69" customFormat="1" ht="15" customHeight="1">
      <c r="A383" s="1027"/>
      <c r="B383" s="610"/>
      <c r="C383" s="525"/>
      <c r="D383" s="223" t="s">
        <v>815</v>
      </c>
      <c r="E383" s="320" t="s">
        <v>64</v>
      </c>
      <c r="F383" s="515" t="s">
        <v>151</v>
      </c>
      <c r="G383" s="514">
        <v>652.15553925165079</v>
      </c>
      <c r="H383" s="320" t="s">
        <v>64</v>
      </c>
      <c r="I383" s="711" t="s">
        <v>151</v>
      </c>
      <c r="J383" s="1215"/>
      <c r="K383" s="1215"/>
      <c r="L383" s="631">
        <v>46.821537784299338</v>
      </c>
      <c r="M383" s="225" t="s">
        <v>64</v>
      </c>
      <c r="N383" s="601"/>
      <c r="O383" s="601"/>
      <c r="P383" s="601"/>
      <c r="Q383" s="595">
        <v>46.821537784299338</v>
      </c>
      <c r="R383" s="604">
        <v>17378.071121163674</v>
      </c>
      <c r="S383" s="595">
        <v>46.821537784299338</v>
      </c>
      <c r="T383" s="604">
        <v>17378.071121163674</v>
      </c>
      <c r="U383" s="721" t="s">
        <v>151</v>
      </c>
      <c r="V383" s="595"/>
      <c r="W383" s="595">
        <v>8.4780220102714612</v>
      </c>
      <c r="X383" s="595">
        <v>3146.664471808383</v>
      </c>
      <c r="Y383" s="595">
        <v>3.210074688187821</v>
      </c>
      <c r="Z383" s="595">
        <v>1191.436865926298</v>
      </c>
      <c r="AA383" s="601"/>
      <c r="AB383" s="601"/>
      <c r="AC383" s="595">
        <v>11.06284930300807</v>
      </c>
      <c r="AD383" s="714">
        <v>4106.0373300011024</v>
      </c>
      <c r="AE383" s="1117"/>
      <c r="AF383" s="1118"/>
      <c r="AG383" s="631">
        <v>46.821537784299338</v>
      </c>
      <c r="AH383" s="595">
        <v>34756.142242327347</v>
      </c>
      <c r="AI383" s="177">
        <f t="shared" si="11"/>
        <v>34756.142242327347</v>
      </c>
      <c r="AJ383" s="976"/>
      <c r="AK383" s="982"/>
      <c r="AL383" s="1304"/>
      <c r="AM383" s="440"/>
      <c r="AN383" s="90"/>
      <c r="AO383" s="128"/>
    </row>
    <row r="384" spans="1:42" s="69" customFormat="1" ht="15" customHeight="1">
      <c r="A384" s="1027"/>
      <c r="B384" s="610"/>
      <c r="C384" s="525"/>
      <c r="D384" s="223" t="s">
        <v>816</v>
      </c>
      <c r="E384" s="320" t="s">
        <v>64</v>
      </c>
      <c r="F384" s="515" t="s">
        <v>151</v>
      </c>
      <c r="G384" s="514">
        <v>9782.3418928833453</v>
      </c>
      <c r="H384" s="320" t="s">
        <v>64</v>
      </c>
      <c r="I384" s="711" t="s">
        <v>151</v>
      </c>
      <c r="J384" s="1215"/>
      <c r="K384" s="1215"/>
      <c r="L384" s="631">
        <v>270.51110344827589</v>
      </c>
      <c r="M384" s="225" t="s">
        <v>64</v>
      </c>
      <c r="N384" s="601"/>
      <c r="O384" s="601"/>
      <c r="P384" s="601"/>
      <c r="Q384" s="595">
        <v>270.51110344827589</v>
      </c>
      <c r="R384" s="604">
        <v>100401.68301274744</v>
      </c>
      <c r="S384" s="595">
        <v>270.51110344827589</v>
      </c>
      <c r="T384" s="604">
        <v>100401.68301274744</v>
      </c>
      <c r="U384" s="721" t="s">
        <v>151</v>
      </c>
      <c r="V384" s="595"/>
      <c r="W384" s="595">
        <v>127.1704446074835</v>
      </c>
      <c r="X384" s="595">
        <v>47200.009557138546</v>
      </c>
      <c r="Y384" s="595">
        <v>18.959646148202491</v>
      </c>
      <c r="Z384" s="595">
        <v>7036.976886864335</v>
      </c>
      <c r="AA384" s="601"/>
      <c r="AB384" s="601"/>
      <c r="AC384" s="595">
        <v>42.561992223037414</v>
      </c>
      <c r="AD384" s="714">
        <v>15797.117371877193</v>
      </c>
      <c r="AE384" s="1117"/>
      <c r="AF384" s="1118"/>
      <c r="AG384" s="631">
        <v>270.51110344827589</v>
      </c>
      <c r="AH384" s="595">
        <v>200803.36602549488</v>
      </c>
      <c r="AI384" s="177">
        <f t="shared" si="11"/>
        <v>200803.36602549488</v>
      </c>
      <c r="AJ384" s="976"/>
      <c r="AK384" s="982"/>
      <c r="AL384" s="1304"/>
      <c r="AM384" s="440"/>
      <c r="AN384" s="90"/>
      <c r="AO384" s="128"/>
    </row>
    <row r="385" spans="1:41" s="69" customFormat="1" ht="15" customHeight="1">
      <c r="A385" s="1027"/>
      <c r="B385" s="610"/>
      <c r="C385" s="525"/>
      <c r="D385" s="223" t="s">
        <v>820</v>
      </c>
      <c r="E385" s="320" t="s">
        <v>64</v>
      </c>
      <c r="F385" s="515" t="s">
        <v>151</v>
      </c>
      <c r="G385" s="514">
        <v>3912.9367571533389</v>
      </c>
      <c r="H385" s="320" t="s">
        <v>64</v>
      </c>
      <c r="I385" s="711" t="s">
        <v>151</v>
      </c>
      <c r="J385" s="1215"/>
      <c r="K385" s="1215"/>
      <c r="L385" s="631">
        <v>72.614326632428458</v>
      </c>
      <c r="M385" s="225" t="s">
        <v>64</v>
      </c>
      <c r="N385" s="601"/>
      <c r="O385" s="601"/>
      <c r="P385" s="601"/>
      <c r="Q385" s="595">
        <v>72.614326632428458</v>
      </c>
      <c r="R385" s="604">
        <v>26951.206482092603</v>
      </c>
      <c r="S385" s="595">
        <v>72.614326632428458</v>
      </c>
      <c r="T385" s="604">
        <v>26951.206482092603</v>
      </c>
      <c r="U385" s="721" t="s">
        <v>151</v>
      </c>
      <c r="V385" s="595"/>
      <c r="W385" s="595">
        <v>0</v>
      </c>
      <c r="X385" s="595">
        <v>0</v>
      </c>
      <c r="Y385" s="595">
        <v>8.8349222890682313</v>
      </c>
      <c r="Z385" s="595">
        <v>3279.1299721229238</v>
      </c>
      <c r="AA385" s="601"/>
      <c r="AB385" s="601"/>
      <c r="AC385" s="595">
        <v>21.344092560528242</v>
      </c>
      <c r="AD385" s="714">
        <v>7921.9772798222921</v>
      </c>
      <c r="AE385" s="1117"/>
      <c r="AF385" s="1118"/>
      <c r="AG385" s="631">
        <v>72.614326632428458</v>
      </c>
      <c r="AH385" s="595">
        <v>53902.412964185205</v>
      </c>
      <c r="AI385" s="177">
        <f t="shared" si="11"/>
        <v>53902.412964185205</v>
      </c>
      <c r="AJ385" s="976"/>
      <c r="AK385" s="982"/>
      <c r="AL385" s="1304"/>
      <c r="AM385" s="440"/>
      <c r="AN385" s="90"/>
      <c r="AO385" s="128"/>
    </row>
    <row r="386" spans="1:41" s="69" customFormat="1" ht="15" customHeight="1">
      <c r="A386" s="1027"/>
      <c r="B386" s="610"/>
      <c r="C386" s="525"/>
      <c r="D386" s="223" t="s">
        <v>821</v>
      </c>
      <c r="E386" s="320" t="s">
        <v>64</v>
      </c>
      <c r="F386" s="515" t="s">
        <v>151</v>
      </c>
      <c r="G386" s="514">
        <v>326.0777696258254</v>
      </c>
      <c r="H386" s="320" t="s">
        <v>64</v>
      </c>
      <c r="I386" s="711" t="s">
        <v>151</v>
      </c>
      <c r="J386" s="1215"/>
      <c r="K386" s="1215"/>
      <c r="L386" s="631">
        <v>38.832632428466624</v>
      </c>
      <c r="M386" s="225" t="s">
        <v>64</v>
      </c>
      <c r="N386" s="601"/>
      <c r="O386" s="601"/>
      <c r="P386" s="601"/>
      <c r="Q386" s="595">
        <v>38.832632428466624</v>
      </c>
      <c r="R386" s="604">
        <v>14412.944984267326</v>
      </c>
      <c r="S386" s="595">
        <v>38.832632428466624</v>
      </c>
      <c r="T386" s="604">
        <v>14412.944984267326</v>
      </c>
      <c r="U386" s="721" t="s">
        <v>151</v>
      </c>
      <c r="V386" s="595"/>
      <c r="W386" s="595">
        <v>4.2390110051357306</v>
      </c>
      <c r="X386" s="595">
        <v>1573.3322359041915</v>
      </c>
      <c r="Y386" s="595">
        <v>2.6475905355832721</v>
      </c>
      <c r="Z386" s="595">
        <v>982.66778077747142</v>
      </c>
      <c r="AA386" s="601"/>
      <c r="AB386" s="601"/>
      <c r="AC386" s="595">
        <v>9.9378809977989722</v>
      </c>
      <c r="AD386" s="714">
        <v>3688.4991597034532</v>
      </c>
      <c r="AE386" s="1117"/>
      <c r="AF386" s="1118"/>
      <c r="AG386" s="631">
        <v>38.832632428466624</v>
      </c>
      <c r="AH386" s="595">
        <v>28825.889968534651</v>
      </c>
      <c r="AI386" s="177">
        <f t="shared" si="11"/>
        <v>28825.889968534651</v>
      </c>
      <c r="AJ386" s="976"/>
      <c r="AK386" s="982"/>
      <c r="AL386" s="1304"/>
      <c r="AM386" s="440"/>
      <c r="AN386" s="90"/>
      <c r="AO386" s="128"/>
    </row>
    <row r="387" spans="1:41" s="69" customFormat="1" ht="15" customHeight="1">
      <c r="A387" s="1027"/>
      <c r="B387" s="610"/>
      <c r="C387" s="525"/>
      <c r="D387" s="223" t="s">
        <v>822</v>
      </c>
      <c r="E387" s="320" t="s">
        <v>64</v>
      </c>
      <c r="F387" s="515" t="s">
        <v>151</v>
      </c>
      <c r="G387" s="119">
        <v>146.73514306676449</v>
      </c>
      <c r="H387" s="320" t="s">
        <v>64</v>
      </c>
      <c r="I387" s="711" t="s">
        <v>151</v>
      </c>
      <c r="J387" s="1215"/>
      <c r="K387" s="1215"/>
      <c r="L387" s="631">
        <v>29.640498899486428</v>
      </c>
      <c r="M387" s="225" t="s">
        <v>64</v>
      </c>
      <c r="N387" s="601"/>
      <c r="O387" s="601"/>
      <c r="P387" s="601"/>
      <c r="Q387" s="595">
        <v>29.640498899486428</v>
      </c>
      <c r="R387" s="604">
        <v>11001.234096902623</v>
      </c>
      <c r="S387" s="595">
        <v>29.640498899486428</v>
      </c>
      <c r="T387" s="604">
        <v>11001.234096902623</v>
      </c>
      <c r="U387" s="721" t="s">
        <v>151</v>
      </c>
      <c r="V387" s="595"/>
      <c r="W387" s="595">
        <v>0</v>
      </c>
      <c r="X387" s="595">
        <v>0</v>
      </c>
      <c r="Y387" s="595">
        <v>2.3888481291269259</v>
      </c>
      <c r="Z387" s="595">
        <v>886.63411434442901</v>
      </c>
      <c r="AA387" s="601"/>
      <c r="AB387" s="601"/>
      <c r="AC387" s="595">
        <v>8.4519442406456342</v>
      </c>
      <c r="AD387" s="714">
        <v>3136.9855642653029</v>
      </c>
      <c r="AE387" s="1117"/>
      <c r="AF387" s="1118"/>
      <c r="AG387" s="631">
        <v>29.640498899486428</v>
      </c>
      <c r="AH387" s="595">
        <v>22002.468193805245</v>
      </c>
      <c r="AI387" s="177">
        <f t="shared" si="11"/>
        <v>22002.468193805245</v>
      </c>
      <c r="AJ387" s="976"/>
      <c r="AK387" s="982"/>
      <c r="AL387" s="1304"/>
      <c r="AM387" s="440"/>
      <c r="AN387" s="90"/>
      <c r="AO387" s="128"/>
    </row>
    <row r="388" spans="1:41" s="69" customFormat="1" ht="15" customHeight="1" thickBot="1">
      <c r="A388" s="1027"/>
      <c r="B388" s="667"/>
      <c r="C388" s="527"/>
      <c r="D388" s="224" t="s">
        <v>823</v>
      </c>
      <c r="E388" s="226" t="s">
        <v>64</v>
      </c>
      <c r="F388" s="516" t="s">
        <v>151</v>
      </c>
      <c r="G388" s="219">
        <v>652.15553925165079</v>
      </c>
      <c r="H388" s="226" t="s">
        <v>64</v>
      </c>
      <c r="I388" s="712" t="s">
        <v>151</v>
      </c>
      <c r="J388" s="1215"/>
      <c r="K388" s="1215"/>
      <c r="L388" s="632">
        <v>46.821537784299338</v>
      </c>
      <c r="M388" s="226" t="s">
        <v>64</v>
      </c>
      <c r="N388" s="602"/>
      <c r="O388" s="602"/>
      <c r="P388" s="602"/>
      <c r="Q388" s="596">
        <v>46.821537784299338</v>
      </c>
      <c r="R388" s="605">
        <v>17378.071121163674</v>
      </c>
      <c r="S388" s="596">
        <v>46.821537784299338</v>
      </c>
      <c r="T388" s="605">
        <v>17378.071121163674</v>
      </c>
      <c r="U388" s="722" t="s">
        <v>151</v>
      </c>
      <c r="V388" s="596"/>
      <c r="W388" s="596">
        <v>8.4780220102714612</v>
      </c>
      <c r="X388" s="596">
        <v>3146.664471808383</v>
      </c>
      <c r="Y388" s="596">
        <v>3.210074688187821</v>
      </c>
      <c r="Z388" s="596">
        <v>1191.436865926298</v>
      </c>
      <c r="AA388" s="602"/>
      <c r="AB388" s="602"/>
      <c r="AC388" s="596">
        <v>11.06284930300807</v>
      </c>
      <c r="AD388" s="715">
        <v>4106.0373300011024</v>
      </c>
      <c r="AE388" s="1117"/>
      <c r="AF388" s="1118"/>
      <c r="AG388" s="716">
        <v>46.821537784299338</v>
      </c>
      <c r="AH388" s="596">
        <v>34756.142242327347</v>
      </c>
      <c r="AI388" s="178">
        <f t="shared" si="11"/>
        <v>34756.142242327347</v>
      </c>
      <c r="AJ388" s="976"/>
      <c r="AK388" s="983"/>
      <c r="AL388" s="1304"/>
      <c r="AM388" s="440"/>
      <c r="AN388" s="90"/>
      <c r="AO388" s="128"/>
    </row>
    <row r="389" spans="1:41" s="69" customFormat="1" ht="15" customHeight="1">
      <c r="A389" s="1027"/>
      <c r="B389" s="669">
        <v>10888</v>
      </c>
      <c r="C389" s="525">
        <v>34045</v>
      </c>
      <c r="D389" s="222" t="s">
        <v>484</v>
      </c>
      <c r="E389" s="222" t="s">
        <v>489</v>
      </c>
      <c r="F389" s="594" t="s">
        <v>151</v>
      </c>
      <c r="G389" s="24">
        <v>1898.5179750550258</v>
      </c>
      <c r="H389" s="320" t="s">
        <v>221</v>
      </c>
      <c r="I389" s="710" t="s">
        <v>151</v>
      </c>
      <c r="J389" s="1215"/>
      <c r="K389" s="1215"/>
      <c r="L389" s="630">
        <v>85.765341159207637</v>
      </c>
      <c r="M389" s="598">
        <v>6.7</v>
      </c>
      <c r="N389" s="600"/>
      <c r="O389" s="600"/>
      <c r="P389" s="600"/>
      <c r="Q389" s="598">
        <v>79.068349229640503</v>
      </c>
      <c r="R389" s="603">
        <v>12053.479912863586</v>
      </c>
      <c r="S389" s="598">
        <v>79.068349229640503</v>
      </c>
      <c r="T389" s="603">
        <v>12053.479912863586</v>
      </c>
      <c r="U389" s="721" t="s">
        <v>151</v>
      </c>
      <c r="V389" s="598"/>
      <c r="W389" s="598">
        <v>24.680733675715338</v>
      </c>
      <c r="X389" s="598">
        <v>3762.4249208866872</v>
      </c>
      <c r="Y389" s="598">
        <v>3.5464035216434331</v>
      </c>
      <c r="Z389" s="598">
        <v>523.60992007223615</v>
      </c>
      <c r="AA389" s="600"/>
      <c r="AB389" s="600"/>
      <c r="AC389" s="598">
        <v>16.228243580337491</v>
      </c>
      <c r="AD389" s="599">
        <v>2473.8951795812618</v>
      </c>
      <c r="AE389" s="1117"/>
      <c r="AF389" s="1118"/>
      <c r="AG389" s="630">
        <v>79.068349229640503</v>
      </c>
      <c r="AH389" s="598">
        <v>24106.959825727172</v>
      </c>
      <c r="AI389" s="177">
        <f t="shared" si="11"/>
        <v>24106.959825727172</v>
      </c>
      <c r="AJ389" s="976"/>
      <c r="AK389" s="981">
        <f>SUM(AI389:AI401)</f>
        <v>201380.41941320978</v>
      </c>
      <c r="AL389" s="1304"/>
      <c r="AM389" s="440"/>
      <c r="AN389" s="90"/>
      <c r="AO389" s="128"/>
    </row>
    <row r="390" spans="1:41" s="69" customFormat="1" ht="15" customHeight="1">
      <c r="A390" s="1027"/>
      <c r="B390" s="669"/>
      <c r="C390" s="525"/>
      <c r="D390" s="223" t="s">
        <v>809</v>
      </c>
      <c r="E390" s="320" t="s">
        <v>64</v>
      </c>
      <c r="F390" s="515" t="s">
        <v>151</v>
      </c>
      <c r="G390" s="119">
        <v>632.83932501834192</v>
      </c>
      <c r="H390" s="320" t="s">
        <v>64</v>
      </c>
      <c r="I390" s="711" t="s">
        <v>151</v>
      </c>
      <c r="J390" s="1215"/>
      <c r="K390" s="1215"/>
      <c r="L390" s="631">
        <v>15.817637564196625</v>
      </c>
      <c r="M390" s="225" t="s">
        <v>64</v>
      </c>
      <c r="N390" s="601"/>
      <c r="O390" s="601"/>
      <c r="P390" s="601"/>
      <c r="Q390" s="595">
        <v>15.817637564196625</v>
      </c>
      <c r="R390" s="604">
        <v>2411.3008366377867</v>
      </c>
      <c r="S390" s="595">
        <v>15.817637564196625</v>
      </c>
      <c r="T390" s="604">
        <v>2411.3008366377867</v>
      </c>
      <c r="U390" s="721" t="s">
        <v>151</v>
      </c>
      <c r="V390" s="595"/>
      <c r="W390" s="595">
        <v>0</v>
      </c>
      <c r="X390" s="595">
        <v>0</v>
      </c>
      <c r="Y390" s="595">
        <v>3.1767542186353626</v>
      </c>
      <c r="Z390" s="595">
        <v>469.03292655709197</v>
      </c>
      <c r="AA390" s="601"/>
      <c r="AB390" s="601"/>
      <c r="AC390" s="595">
        <v>4.3050858400586938</v>
      </c>
      <c r="AD390" s="714">
        <v>656.28366093228635</v>
      </c>
      <c r="AE390" s="1117"/>
      <c r="AF390" s="1118"/>
      <c r="AG390" s="631">
        <v>15.817637564196625</v>
      </c>
      <c r="AH390" s="595">
        <v>4822.6016732755734</v>
      </c>
      <c r="AI390" s="177">
        <f t="shared" si="11"/>
        <v>4822.6016732755734</v>
      </c>
      <c r="AJ390" s="976"/>
      <c r="AK390" s="982"/>
      <c r="AL390" s="1304"/>
      <c r="AM390" s="440"/>
      <c r="AN390" s="90"/>
      <c r="AO390" s="128"/>
    </row>
    <row r="391" spans="1:41" s="69" customFormat="1" ht="15" customHeight="1">
      <c r="A391" s="1027"/>
      <c r="B391" s="669"/>
      <c r="C391" s="525"/>
      <c r="D391" s="223" t="s">
        <v>810</v>
      </c>
      <c r="E391" s="320" t="s">
        <v>64</v>
      </c>
      <c r="F391" s="515" t="s">
        <v>151</v>
      </c>
      <c r="G391" s="119">
        <v>281.26192223037418</v>
      </c>
      <c r="H391" s="320" t="s">
        <v>64</v>
      </c>
      <c r="I391" s="711" t="s">
        <v>151</v>
      </c>
      <c r="J391" s="1215"/>
      <c r="K391" s="1215"/>
      <c r="L391" s="631">
        <v>11.774497432134996</v>
      </c>
      <c r="M391" s="225" t="s">
        <v>64</v>
      </c>
      <c r="N391" s="601"/>
      <c r="O391" s="601"/>
      <c r="P391" s="601"/>
      <c r="Q391" s="595">
        <v>11.774497432134996</v>
      </c>
      <c r="R391" s="604">
        <v>1794.9491758087688</v>
      </c>
      <c r="S391" s="595">
        <v>11.774497432134996</v>
      </c>
      <c r="T391" s="604">
        <v>1794.9491758087688</v>
      </c>
      <c r="U391" s="721" t="s">
        <v>151</v>
      </c>
      <c r="V391" s="595"/>
      <c r="W391" s="595">
        <v>0</v>
      </c>
      <c r="X391" s="595">
        <v>0</v>
      </c>
      <c r="Y391" s="595">
        <v>2.570283198826119</v>
      </c>
      <c r="Z391" s="595">
        <v>379.49031239307101</v>
      </c>
      <c r="AA391" s="601"/>
      <c r="AB391" s="601"/>
      <c r="AC391" s="595">
        <v>3.0921438004402053</v>
      </c>
      <c r="AD391" s="714">
        <v>471.37816268358148</v>
      </c>
      <c r="AE391" s="1117"/>
      <c r="AF391" s="1118"/>
      <c r="AG391" s="631">
        <v>11.774497432134996</v>
      </c>
      <c r="AH391" s="595">
        <v>3589.8983516175376</v>
      </c>
      <c r="AI391" s="177">
        <f t="shared" si="11"/>
        <v>3589.8983516175376</v>
      </c>
      <c r="AJ391" s="976"/>
      <c r="AK391" s="982"/>
      <c r="AL391" s="1304"/>
      <c r="AM391" s="440"/>
      <c r="AN391" s="90"/>
      <c r="AO391" s="128"/>
    </row>
    <row r="392" spans="1:41" s="69" customFormat="1" ht="15" customHeight="1">
      <c r="A392" s="1027"/>
      <c r="B392" s="669"/>
      <c r="C392" s="525"/>
      <c r="D392" s="223" t="s">
        <v>811</v>
      </c>
      <c r="E392" s="320" t="s">
        <v>64</v>
      </c>
      <c r="F392" s="515" t="s">
        <v>151</v>
      </c>
      <c r="G392" s="119">
        <v>421.89288334556124</v>
      </c>
      <c r="H392" s="320" t="s">
        <v>64</v>
      </c>
      <c r="I392" s="711" t="s">
        <v>151</v>
      </c>
      <c r="J392" s="1215"/>
      <c r="K392" s="1215"/>
      <c r="L392" s="631">
        <v>11.630931768158474</v>
      </c>
      <c r="M392" s="225" t="s">
        <v>64</v>
      </c>
      <c r="N392" s="601"/>
      <c r="O392" s="601"/>
      <c r="P392" s="601"/>
      <c r="Q392" s="595">
        <v>11.630931768158474</v>
      </c>
      <c r="R392" s="604">
        <v>1773.0634799041779</v>
      </c>
      <c r="S392" s="595">
        <v>11.630931768158474</v>
      </c>
      <c r="T392" s="604">
        <v>1773.0634799041779</v>
      </c>
      <c r="U392" s="721" t="s">
        <v>151</v>
      </c>
      <c r="V392" s="595"/>
      <c r="W392" s="595">
        <v>0</v>
      </c>
      <c r="X392" s="595">
        <v>0</v>
      </c>
      <c r="Y392" s="595">
        <v>2.812871606749817</v>
      </c>
      <c r="Z392" s="595">
        <v>415.30735805867988</v>
      </c>
      <c r="AA392" s="601"/>
      <c r="AB392" s="601"/>
      <c r="AC392" s="595">
        <v>3.0490741012472489</v>
      </c>
      <c r="AD392" s="714">
        <v>464.81245391220483</v>
      </c>
      <c r="AE392" s="1117"/>
      <c r="AF392" s="1118"/>
      <c r="AG392" s="631">
        <v>11.630931768158474</v>
      </c>
      <c r="AH392" s="595">
        <v>3546.1269598083559</v>
      </c>
      <c r="AI392" s="177">
        <f t="shared" si="11"/>
        <v>3546.1269598083559</v>
      </c>
      <c r="AJ392" s="976"/>
      <c r="AK392" s="982"/>
      <c r="AL392" s="1304"/>
      <c r="AM392" s="440"/>
      <c r="AN392" s="740" t="s">
        <v>510</v>
      </c>
      <c r="AO392" s="128"/>
    </row>
    <row r="393" spans="1:41" s="69" customFormat="1" ht="15" customHeight="1">
      <c r="A393" s="1027"/>
      <c r="B393" s="669"/>
      <c r="C393" s="525"/>
      <c r="D393" s="223" t="s">
        <v>812</v>
      </c>
      <c r="E393" s="320" t="s">
        <v>64</v>
      </c>
      <c r="F393" s="515" t="s">
        <v>151</v>
      </c>
      <c r="G393" s="119">
        <v>1956.4683785766695</v>
      </c>
      <c r="H393" s="320" t="s">
        <v>64</v>
      </c>
      <c r="I393" s="711" t="s">
        <v>151</v>
      </c>
      <c r="J393" s="1215"/>
      <c r="K393" s="1215"/>
      <c r="L393" s="631">
        <v>57.940812032281748</v>
      </c>
      <c r="M393" s="225" t="s">
        <v>64</v>
      </c>
      <c r="N393" s="601"/>
      <c r="O393" s="601"/>
      <c r="P393" s="601"/>
      <c r="Q393" s="595">
        <v>57.940812032281748</v>
      </c>
      <c r="R393" s="604">
        <v>8832.7177786115699</v>
      </c>
      <c r="S393" s="595">
        <v>57.940812032281748</v>
      </c>
      <c r="T393" s="604">
        <v>8832.7177786115699</v>
      </c>
      <c r="U393" s="721" t="s">
        <v>151</v>
      </c>
      <c r="V393" s="595"/>
      <c r="W393" s="595">
        <v>25.434088921496706</v>
      </c>
      <c r="X393" s="595">
        <v>3877.2692601292142</v>
      </c>
      <c r="Y393" s="595">
        <v>5.4600143360234767</v>
      </c>
      <c r="Z393" s="595">
        <v>806.14562122746361</v>
      </c>
      <c r="AA393" s="601"/>
      <c r="AB393" s="601"/>
      <c r="AC393" s="595">
        <v>9.3118115040352158</v>
      </c>
      <c r="AD393" s="714">
        <v>1419.527965485649</v>
      </c>
      <c r="AE393" s="1117"/>
      <c r="AF393" s="1118"/>
      <c r="AG393" s="631">
        <v>57.940812032281748</v>
      </c>
      <c r="AH393" s="595">
        <v>17665.43555722314</v>
      </c>
      <c r="AI393" s="177">
        <f t="shared" si="11"/>
        <v>17665.43555722314</v>
      </c>
      <c r="AJ393" s="976"/>
      <c r="AK393" s="982"/>
      <c r="AL393" s="1304"/>
      <c r="AM393" s="440"/>
      <c r="AN393" s="90"/>
      <c r="AO393" s="128"/>
    </row>
    <row r="394" spans="1:41" s="69" customFormat="1" ht="15" customHeight="1">
      <c r="A394" s="1027"/>
      <c r="B394" s="669"/>
      <c r="C394" s="525"/>
      <c r="D394" s="223" t="s">
        <v>813</v>
      </c>
      <c r="E394" s="320" t="s">
        <v>64</v>
      </c>
      <c r="F394" s="515" t="s">
        <v>151</v>
      </c>
      <c r="G394" s="119">
        <v>3912.9367571533389</v>
      </c>
      <c r="H394" s="320" t="s">
        <v>64</v>
      </c>
      <c r="I394" s="711" t="s">
        <v>151</v>
      </c>
      <c r="J394" s="1215"/>
      <c r="K394" s="1215"/>
      <c r="L394" s="631">
        <v>105.87428730741014</v>
      </c>
      <c r="M394" s="225" t="s">
        <v>64</v>
      </c>
      <c r="N394" s="601"/>
      <c r="O394" s="601"/>
      <c r="P394" s="601"/>
      <c r="Q394" s="595">
        <v>105.87428730741014</v>
      </c>
      <c r="R394" s="604">
        <v>16139.879076547424</v>
      </c>
      <c r="S394" s="595">
        <v>105.87428730741014</v>
      </c>
      <c r="T394" s="604">
        <v>16139.879076547424</v>
      </c>
      <c r="U394" s="721" t="s">
        <v>151</v>
      </c>
      <c r="V394" s="595"/>
      <c r="W394" s="595">
        <v>50.868177842993411</v>
      </c>
      <c r="X394" s="595">
        <v>7754.5385202584284</v>
      </c>
      <c r="Y394" s="595">
        <v>8.8349222890682313</v>
      </c>
      <c r="Z394" s="595">
        <v>1304.4350213930743</v>
      </c>
      <c r="AA394" s="601"/>
      <c r="AB394" s="601"/>
      <c r="AC394" s="595">
        <v>16.061627410124725</v>
      </c>
      <c r="AD394" s="714">
        <v>2448.4955768276359</v>
      </c>
      <c r="AE394" s="1117"/>
      <c r="AF394" s="1118"/>
      <c r="AG394" s="631">
        <v>105.87428730741014</v>
      </c>
      <c r="AH394" s="595">
        <v>32279.758153094848</v>
      </c>
      <c r="AI394" s="177">
        <f t="shared" si="11"/>
        <v>32279.758153094848</v>
      </c>
      <c r="AJ394" s="976"/>
      <c r="AK394" s="982"/>
      <c r="AL394" s="1304"/>
      <c r="AM394" s="440"/>
      <c r="AN394" s="90"/>
      <c r="AO394" s="128"/>
    </row>
    <row r="395" spans="1:41" s="69" customFormat="1" ht="15" customHeight="1">
      <c r="A395" s="1027"/>
      <c r="B395" s="669"/>
      <c r="C395" s="525"/>
      <c r="D395" s="223" t="s">
        <v>814</v>
      </c>
      <c r="E395" s="320" t="s">
        <v>64</v>
      </c>
      <c r="F395" s="515" t="s">
        <v>151</v>
      </c>
      <c r="G395" s="119">
        <v>44.020542920029349</v>
      </c>
      <c r="H395" s="320" t="s">
        <v>64</v>
      </c>
      <c r="I395" s="711" t="s">
        <v>151</v>
      </c>
      <c r="J395" s="1215"/>
      <c r="K395" s="1215"/>
      <c r="L395" s="631">
        <v>8.8041085840058688</v>
      </c>
      <c r="M395" s="225" t="s">
        <v>64</v>
      </c>
      <c r="N395" s="601"/>
      <c r="O395" s="601"/>
      <c r="P395" s="601"/>
      <c r="Q395" s="595">
        <v>8.8041085840058688</v>
      </c>
      <c r="R395" s="604">
        <v>1342.1318011809867</v>
      </c>
      <c r="S395" s="595">
        <v>8.8041085840058688</v>
      </c>
      <c r="T395" s="604">
        <v>1342.1318011809867</v>
      </c>
      <c r="U395" s="721" t="s">
        <v>151</v>
      </c>
      <c r="V395" s="595"/>
      <c r="W395" s="595">
        <v>0</v>
      </c>
      <c r="X395" s="595">
        <v>0</v>
      </c>
      <c r="Y395" s="595">
        <v>2.3888481291269259</v>
      </c>
      <c r="Z395" s="595">
        <v>352.70227156136332</v>
      </c>
      <c r="AA395" s="601"/>
      <c r="AB395" s="601"/>
      <c r="AC395" s="595">
        <v>2.2010271460014672</v>
      </c>
      <c r="AD395" s="714">
        <v>335.53295029524668</v>
      </c>
      <c r="AE395" s="1117"/>
      <c r="AF395" s="1118"/>
      <c r="AG395" s="631">
        <v>8.8041085840058688</v>
      </c>
      <c r="AH395" s="595">
        <v>2684.2636023619734</v>
      </c>
      <c r="AI395" s="177">
        <f t="shared" si="11"/>
        <v>2684.2636023619734</v>
      </c>
      <c r="AJ395" s="976"/>
      <c r="AK395" s="982"/>
      <c r="AL395" s="1304"/>
      <c r="AM395" s="440"/>
      <c r="AN395" s="90"/>
      <c r="AO395" s="128"/>
    </row>
    <row r="396" spans="1:41" s="69" customFormat="1" ht="15" customHeight="1">
      <c r="A396" s="1027"/>
      <c r="B396" s="669"/>
      <c r="C396" s="525"/>
      <c r="D396" s="223" t="s">
        <v>815</v>
      </c>
      <c r="E396" s="320" t="s">
        <v>64</v>
      </c>
      <c r="F396" s="515" t="s">
        <v>151</v>
      </c>
      <c r="G396" s="119">
        <v>88.041085840058699</v>
      </c>
      <c r="H396" s="320" t="s">
        <v>64</v>
      </c>
      <c r="I396" s="711" t="s">
        <v>151</v>
      </c>
      <c r="J396" s="1215"/>
      <c r="K396" s="1215"/>
      <c r="L396" s="631">
        <v>8.8041085840058688</v>
      </c>
      <c r="M396" s="225" t="s">
        <v>64</v>
      </c>
      <c r="N396" s="601"/>
      <c r="O396" s="601"/>
      <c r="P396" s="601"/>
      <c r="Q396" s="595">
        <v>8.8041085840058688</v>
      </c>
      <c r="R396" s="604">
        <v>1342.1318011809867</v>
      </c>
      <c r="S396" s="595">
        <v>8.8041085840058688</v>
      </c>
      <c r="T396" s="604">
        <v>1342.1318011809867</v>
      </c>
      <c r="U396" s="721" t="s">
        <v>151</v>
      </c>
      <c r="V396" s="595"/>
      <c r="W396" s="595">
        <v>0</v>
      </c>
      <c r="X396" s="595">
        <v>0</v>
      </c>
      <c r="Y396" s="595">
        <v>2.3888481291269259</v>
      </c>
      <c r="Z396" s="595">
        <v>352.70227156136332</v>
      </c>
      <c r="AA396" s="601"/>
      <c r="AB396" s="601"/>
      <c r="AC396" s="595">
        <v>2.2010271460014672</v>
      </c>
      <c r="AD396" s="714">
        <v>335.53295029524668</v>
      </c>
      <c r="AE396" s="1117"/>
      <c r="AF396" s="1118"/>
      <c r="AG396" s="631">
        <v>8.8041085840058688</v>
      </c>
      <c r="AH396" s="595">
        <v>2684.2636023619734</v>
      </c>
      <c r="AI396" s="177">
        <f t="shared" si="11"/>
        <v>2684.2636023619734</v>
      </c>
      <c r="AJ396" s="976"/>
      <c r="AK396" s="982"/>
      <c r="AL396" s="1304"/>
      <c r="AM396" s="440"/>
      <c r="AN396" s="90"/>
      <c r="AO396" s="128"/>
    </row>
    <row r="397" spans="1:41" s="69" customFormat="1" ht="15" customHeight="1">
      <c r="A397" s="1027"/>
      <c r="B397" s="669"/>
      <c r="C397" s="525"/>
      <c r="D397" s="223" t="s">
        <v>816</v>
      </c>
      <c r="E397" s="320" t="s">
        <v>64</v>
      </c>
      <c r="F397" s="515" t="s">
        <v>151</v>
      </c>
      <c r="G397" s="119">
        <v>132.06162876008804</v>
      </c>
      <c r="H397" s="320" t="s">
        <v>64</v>
      </c>
      <c r="I397" s="711" t="s">
        <v>151</v>
      </c>
      <c r="J397" s="1215"/>
      <c r="K397" s="1215"/>
      <c r="L397" s="631">
        <v>8.8041085840058688</v>
      </c>
      <c r="M397" s="225" t="s">
        <v>64</v>
      </c>
      <c r="N397" s="601"/>
      <c r="O397" s="601"/>
      <c r="P397" s="601"/>
      <c r="Q397" s="595">
        <v>8.8041085840058688</v>
      </c>
      <c r="R397" s="604">
        <v>1342.1318011809867</v>
      </c>
      <c r="S397" s="595">
        <v>8.8041085840058688</v>
      </c>
      <c r="T397" s="604">
        <v>1342.1318011809867</v>
      </c>
      <c r="U397" s="721" t="s">
        <v>151</v>
      </c>
      <c r="V397" s="595"/>
      <c r="W397" s="595">
        <v>0</v>
      </c>
      <c r="X397" s="595">
        <v>0</v>
      </c>
      <c r="Y397" s="595">
        <v>2.3888481291269259</v>
      </c>
      <c r="Z397" s="595">
        <v>352.70227156136332</v>
      </c>
      <c r="AA397" s="601"/>
      <c r="AB397" s="601"/>
      <c r="AC397" s="595">
        <v>2.2010271460014672</v>
      </c>
      <c r="AD397" s="714">
        <v>335.53295029524668</v>
      </c>
      <c r="AE397" s="1117"/>
      <c r="AF397" s="1118"/>
      <c r="AG397" s="631">
        <v>8.8041085840058688</v>
      </c>
      <c r="AH397" s="595">
        <v>2684.2636023619734</v>
      </c>
      <c r="AI397" s="177">
        <f t="shared" si="11"/>
        <v>2684.2636023619734</v>
      </c>
      <c r="AJ397" s="976"/>
      <c r="AK397" s="982"/>
      <c r="AL397" s="1304"/>
      <c r="AM397" s="440"/>
      <c r="AN397" s="90"/>
      <c r="AO397" s="128"/>
    </row>
    <row r="398" spans="1:41" s="69" customFormat="1" ht="15" customHeight="1">
      <c r="A398" s="1027"/>
      <c r="B398" s="669"/>
      <c r="C398" s="525"/>
      <c r="D398" s="223" t="s">
        <v>820</v>
      </c>
      <c r="E398" s="320" t="s">
        <v>64</v>
      </c>
      <c r="F398" s="515" t="s">
        <v>151</v>
      </c>
      <c r="G398" s="119">
        <v>2934.70286133529</v>
      </c>
      <c r="H398" s="320" t="s">
        <v>64</v>
      </c>
      <c r="I398" s="711" t="s">
        <v>151</v>
      </c>
      <c r="J398" s="1215"/>
      <c r="K398" s="1215"/>
      <c r="L398" s="631">
        <v>40.528246515040351</v>
      </c>
      <c r="M398" s="225" t="s">
        <v>64</v>
      </c>
      <c r="N398" s="601"/>
      <c r="O398" s="601"/>
      <c r="P398" s="601"/>
      <c r="Q398" s="595">
        <v>40.528246515040351</v>
      </c>
      <c r="R398" s="604">
        <v>6178.2800581031452</v>
      </c>
      <c r="S398" s="595">
        <v>40.528246515040351</v>
      </c>
      <c r="T398" s="604">
        <v>6178.2800581031452</v>
      </c>
      <c r="U398" s="721" t="s">
        <v>151</v>
      </c>
      <c r="V398" s="595"/>
      <c r="W398" s="595">
        <v>0</v>
      </c>
      <c r="X398" s="595">
        <v>0</v>
      </c>
      <c r="Y398" s="595">
        <v>7.1474688187820981</v>
      </c>
      <c r="Z398" s="595">
        <v>1055.2903960536871</v>
      </c>
      <c r="AA398" s="601"/>
      <c r="AB398" s="601"/>
      <c r="AC398" s="595">
        <v>11.718268525311812</v>
      </c>
      <c r="AD398" s="714">
        <v>1786.3774273718909</v>
      </c>
      <c r="AE398" s="1117"/>
      <c r="AF398" s="1118"/>
      <c r="AG398" s="631">
        <v>40.528246515040351</v>
      </c>
      <c r="AH398" s="595">
        <v>12356.56011620629</v>
      </c>
      <c r="AI398" s="177">
        <f t="shared" si="11"/>
        <v>12356.56011620629</v>
      </c>
      <c r="AJ398" s="976"/>
      <c r="AK398" s="982"/>
      <c r="AL398" s="1304"/>
      <c r="AM398" s="440"/>
      <c r="AN398" s="90"/>
      <c r="AO398" s="128"/>
    </row>
    <row r="399" spans="1:41" s="69" customFormat="1" ht="15" customHeight="1">
      <c r="A399" s="1027"/>
      <c r="B399" s="669"/>
      <c r="C399" s="525"/>
      <c r="D399" s="223" t="s">
        <v>821</v>
      </c>
      <c r="E399" s="320" t="s">
        <v>64</v>
      </c>
      <c r="F399" s="515" t="s">
        <v>151</v>
      </c>
      <c r="G399" s="514">
        <v>3912.9361702127658</v>
      </c>
      <c r="H399" s="320" t="s">
        <v>64</v>
      </c>
      <c r="I399" s="711" t="s">
        <v>151</v>
      </c>
      <c r="J399" s="1215"/>
      <c r="K399" s="1215"/>
      <c r="L399" s="631">
        <v>51.777929567131331</v>
      </c>
      <c r="M399" s="225" t="s">
        <v>64</v>
      </c>
      <c r="N399" s="601"/>
      <c r="O399" s="601"/>
      <c r="P399" s="601"/>
      <c r="Q399" s="595">
        <v>51.777929567131331</v>
      </c>
      <c r="R399" s="604">
        <v>7893.224533554876</v>
      </c>
      <c r="S399" s="595">
        <v>51.777929567131331</v>
      </c>
      <c r="T399" s="604">
        <v>7893.224533554876</v>
      </c>
      <c r="U399" s="721" t="s">
        <v>151</v>
      </c>
      <c r="V399" s="595"/>
      <c r="W399" s="595">
        <v>0</v>
      </c>
      <c r="X399" s="595">
        <v>0</v>
      </c>
      <c r="Y399" s="595">
        <v>70.522669904622148</v>
      </c>
      <c r="Z399" s="595">
        <v>10412.342906463115</v>
      </c>
      <c r="AA399" s="601"/>
      <c r="AB399" s="601"/>
      <c r="AC399" s="595">
        <v>15.093173440939104</v>
      </c>
      <c r="AD399" s="714">
        <v>2300.8607700074162</v>
      </c>
      <c r="AE399" s="1117"/>
      <c r="AF399" s="1118"/>
      <c r="AG399" s="631">
        <v>51.777929567131331</v>
      </c>
      <c r="AH399" s="595">
        <v>15786.449067109752</v>
      </c>
      <c r="AI399" s="177">
        <f t="shared" si="11"/>
        <v>15786.449067109752</v>
      </c>
      <c r="AJ399" s="976"/>
      <c r="AK399" s="982"/>
      <c r="AL399" s="1304"/>
      <c r="AM399" s="440"/>
      <c r="AN399" s="90"/>
      <c r="AO399" s="128"/>
    </row>
    <row r="400" spans="1:41" s="69" customFormat="1" ht="15" customHeight="1">
      <c r="A400" s="1027"/>
      <c r="B400" s="669"/>
      <c r="C400" s="525"/>
      <c r="D400" s="223" t="s">
        <v>822</v>
      </c>
      <c r="E400" s="320" t="s">
        <v>64</v>
      </c>
      <c r="F400" s="515" t="s">
        <v>151</v>
      </c>
      <c r="G400" s="514">
        <v>6521.5612619222302</v>
      </c>
      <c r="H400" s="320" t="s">
        <v>64</v>
      </c>
      <c r="I400" s="711" t="s">
        <v>151</v>
      </c>
      <c r="J400" s="1215"/>
      <c r="K400" s="1215"/>
      <c r="L400" s="631">
        <v>169.78558767424798</v>
      </c>
      <c r="M400" s="225" t="s">
        <v>64</v>
      </c>
      <c r="N400" s="601"/>
      <c r="O400" s="601"/>
      <c r="P400" s="601"/>
      <c r="Q400" s="595">
        <v>169.78558767424798</v>
      </c>
      <c r="R400" s="604">
        <v>25882.760807128467</v>
      </c>
      <c r="S400" s="595">
        <v>169.78558767424798</v>
      </c>
      <c r="T400" s="604">
        <v>25882.760807128467</v>
      </c>
      <c r="U400" s="721" t="s">
        <v>151</v>
      </c>
      <c r="V400" s="595"/>
      <c r="W400" s="595">
        <v>84.780296404989002</v>
      </c>
      <c r="X400" s="595">
        <v>12924.230867097402</v>
      </c>
      <c r="Y400" s="595">
        <v>13.33479955979457</v>
      </c>
      <c r="Z400" s="595">
        <v>1968.8208882805516</v>
      </c>
      <c r="AA400" s="601"/>
      <c r="AB400" s="601"/>
      <c r="AC400" s="595">
        <v>25.061381951577403</v>
      </c>
      <c r="AD400" s="714">
        <v>3820.4523919502872</v>
      </c>
      <c r="AE400" s="1117"/>
      <c r="AF400" s="1118"/>
      <c r="AG400" s="631">
        <v>169.78558767424798</v>
      </c>
      <c r="AH400" s="595">
        <v>51765.521614256933</v>
      </c>
      <c r="AI400" s="177">
        <f t="shared" si="11"/>
        <v>51765.521614256933</v>
      </c>
      <c r="AJ400" s="976"/>
      <c r="AK400" s="982"/>
      <c r="AL400" s="1304"/>
      <c r="AM400" s="440"/>
      <c r="AN400" s="90"/>
      <c r="AO400" s="128"/>
    </row>
    <row r="401" spans="1:42" s="69" customFormat="1" ht="15" customHeight="1" thickBot="1">
      <c r="A401" s="1027"/>
      <c r="B401" s="670"/>
      <c r="C401" s="527"/>
      <c r="D401" s="224" t="s">
        <v>823</v>
      </c>
      <c r="E401" s="226" t="s">
        <v>64</v>
      </c>
      <c r="F401" s="516" t="s">
        <v>151</v>
      </c>
      <c r="G401" s="219">
        <v>3260.7806309611151</v>
      </c>
      <c r="H401" s="226" t="s">
        <v>64</v>
      </c>
      <c r="I401" s="712" t="s">
        <v>151</v>
      </c>
      <c r="J401" s="1216"/>
      <c r="K401" s="1215"/>
      <c r="L401" s="632">
        <v>89.896462215700652</v>
      </c>
      <c r="M401" s="226" t="s">
        <v>64</v>
      </c>
      <c r="N401" s="602"/>
      <c r="O401" s="602"/>
      <c r="P401" s="602"/>
      <c r="Q401" s="596">
        <v>89.896462215700652</v>
      </c>
      <c r="R401" s="605">
        <v>13704.158643902127</v>
      </c>
      <c r="S401" s="596">
        <v>89.896462215700652</v>
      </c>
      <c r="T401" s="605">
        <v>13704.158643902127</v>
      </c>
      <c r="U401" s="722" t="s">
        <v>151</v>
      </c>
      <c r="V401" s="596"/>
      <c r="W401" s="596">
        <v>42.390148202494501</v>
      </c>
      <c r="X401" s="596">
        <v>6462.1154335487008</v>
      </c>
      <c r="Y401" s="596">
        <v>7.709952971386647</v>
      </c>
      <c r="Z401" s="596">
        <v>463.35865666638665</v>
      </c>
      <c r="AA401" s="602"/>
      <c r="AB401" s="602"/>
      <c r="AC401" s="596">
        <v>13.811688774761555</v>
      </c>
      <c r="AD401" s="715">
        <v>2105.5063730469737</v>
      </c>
      <c r="AE401" s="1117"/>
      <c r="AF401" s="1118"/>
      <c r="AG401" s="716">
        <v>89.896462215700652</v>
      </c>
      <c r="AH401" s="596">
        <v>27408.317287804253</v>
      </c>
      <c r="AI401" s="178">
        <f t="shared" si="11"/>
        <v>27408.317287804253</v>
      </c>
      <c r="AJ401" s="976"/>
      <c r="AK401" s="983"/>
      <c r="AL401" s="1304"/>
      <c r="AM401" s="440"/>
      <c r="AN401" s="90"/>
      <c r="AO401" s="128"/>
    </row>
    <row r="402" spans="1:42" s="69" customFormat="1" ht="15.75" customHeight="1">
      <c r="A402" s="1027"/>
      <c r="B402" s="700">
        <v>12582</v>
      </c>
      <c r="C402" s="698">
        <v>35060</v>
      </c>
      <c r="D402" s="222" t="s">
        <v>485</v>
      </c>
      <c r="E402" s="222" t="s">
        <v>490</v>
      </c>
      <c r="F402" s="222" t="s">
        <v>490</v>
      </c>
      <c r="G402" s="23">
        <v>0</v>
      </c>
      <c r="H402" s="320" t="s">
        <v>221</v>
      </c>
      <c r="I402" s="713" t="s">
        <v>221</v>
      </c>
      <c r="J402" s="989" t="s">
        <v>492</v>
      </c>
      <c r="K402" s="1215"/>
      <c r="L402" s="630">
        <v>97.813646368305214</v>
      </c>
      <c r="M402" s="12">
        <v>30.52</v>
      </c>
      <c r="N402" s="598">
        <v>768.26</v>
      </c>
      <c r="O402" s="598" t="s">
        <v>514</v>
      </c>
      <c r="P402" s="598">
        <v>1667.75</v>
      </c>
      <c r="Q402" s="598">
        <v>67.290000000000006</v>
      </c>
      <c r="R402" s="603">
        <v>35654</v>
      </c>
      <c r="S402" s="598">
        <v>67.292736610418189</v>
      </c>
      <c r="T402" s="603">
        <v>4044.210406331501</v>
      </c>
      <c r="U402" s="228" t="s">
        <v>64</v>
      </c>
      <c r="V402" s="598"/>
      <c r="W402" s="598">
        <v>0</v>
      </c>
      <c r="X402" s="598">
        <v>0</v>
      </c>
      <c r="Y402" s="598">
        <v>0.71606749816581072</v>
      </c>
      <c r="Z402" s="598">
        <v>43.0347727494499</v>
      </c>
      <c r="AA402" s="600"/>
      <c r="AB402" s="600"/>
      <c r="AC402" s="598">
        <v>19.307410124724871</v>
      </c>
      <c r="AD402" s="599">
        <v>1160.3515160599625</v>
      </c>
      <c r="AE402" s="1117"/>
      <c r="AF402" s="1118"/>
      <c r="AG402" s="630">
        <v>67.292736610418189</v>
      </c>
      <c r="AH402" s="598">
        <v>43743</v>
      </c>
      <c r="AI402" s="177">
        <f t="shared" si="11"/>
        <v>43743</v>
      </c>
      <c r="AJ402" s="976"/>
      <c r="AK402" s="981">
        <f>SUM(AI402:AI426)</f>
        <v>75502.07770756293</v>
      </c>
      <c r="AL402" s="1304"/>
      <c r="AM402" s="440"/>
      <c r="AN402" s="200"/>
      <c r="AO402" s="200"/>
    </row>
    <row r="403" spans="1:42" s="10" customFormat="1" ht="12.75" customHeight="1">
      <c r="A403" s="1027"/>
      <c r="B403" s="701"/>
      <c r="C403" s="540"/>
      <c r="D403" s="223" t="s">
        <v>486</v>
      </c>
      <c r="E403" s="320" t="s">
        <v>64</v>
      </c>
      <c r="F403" s="228" t="s">
        <v>64</v>
      </c>
      <c r="G403" s="6">
        <v>0</v>
      </c>
      <c r="H403" s="6">
        <v>0</v>
      </c>
      <c r="I403" s="639" t="s">
        <v>64</v>
      </c>
      <c r="J403" s="990"/>
      <c r="K403" s="1215"/>
      <c r="L403" s="947" t="s">
        <v>507</v>
      </c>
      <c r="M403" s="948"/>
      <c r="N403" s="949"/>
      <c r="O403" s="739"/>
      <c r="P403" s="739"/>
      <c r="Q403" s="739"/>
      <c r="R403" s="947" t="s">
        <v>507</v>
      </c>
      <c r="S403" s="948"/>
      <c r="T403" s="949"/>
      <c r="U403" s="947" t="s">
        <v>507</v>
      </c>
      <c r="V403" s="948"/>
      <c r="W403" s="949"/>
      <c r="X403" s="947" t="s">
        <v>507</v>
      </c>
      <c r="Y403" s="948"/>
      <c r="Z403" s="949"/>
      <c r="AA403" s="947" t="s">
        <v>507</v>
      </c>
      <c r="AB403" s="948"/>
      <c r="AC403" s="948"/>
      <c r="AD403" s="967"/>
      <c r="AE403" s="1117"/>
      <c r="AF403" s="1118"/>
      <c r="AG403" s="947" t="s">
        <v>507</v>
      </c>
      <c r="AH403" s="948"/>
      <c r="AI403" s="949"/>
      <c r="AJ403" s="976"/>
      <c r="AK403" s="982"/>
      <c r="AL403" s="1304"/>
      <c r="AM403" s="850"/>
      <c r="AN403" s="86"/>
      <c r="AO403" s="104"/>
    </row>
    <row r="404" spans="1:42" s="10" customFormat="1" ht="15" customHeight="1">
      <c r="A404" s="1027"/>
      <c r="B404" s="701"/>
      <c r="C404" s="540"/>
      <c r="D404" s="223" t="s">
        <v>810</v>
      </c>
      <c r="E404" s="320" t="s">
        <v>64</v>
      </c>
      <c r="F404" s="228" t="s">
        <v>64</v>
      </c>
      <c r="G404" s="11">
        <v>0</v>
      </c>
      <c r="H404" s="11">
        <v>0</v>
      </c>
      <c r="I404" s="639" t="s">
        <v>64</v>
      </c>
      <c r="J404" s="990"/>
      <c r="K404" s="1215"/>
      <c r="L404" s="950"/>
      <c r="M404" s="951"/>
      <c r="N404" s="952"/>
      <c r="O404" s="737"/>
      <c r="P404" s="737"/>
      <c r="Q404" s="737"/>
      <c r="R404" s="950"/>
      <c r="S404" s="951"/>
      <c r="T404" s="952"/>
      <c r="U404" s="950"/>
      <c r="V404" s="951"/>
      <c r="W404" s="952"/>
      <c r="X404" s="950"/>
      <c r="Y404" s="951"/>
      <c r="Z404" s="952"/>
      <c r="AA404" s="950"/>
      <c r="AB404" s="951"/>
      <c r="AC404" s="951"/>
      <c r="AD404" s="963"/>
      <c r="AE404" s="1117"/>
      <c r="AF404" s="1118"/>
      <c r="AG404" s="950"/>
      <c r="AH404" s="951"/>
      <c r="AI404" s="952"/>
      <c r="AJ404" s="976"/>
      <c r="AK404" s="982"/>
      <c r="AL404" s="1304"/>
      <c r="AM404" s="850"/>
      <c r="AN404" s="86"/>
      <c r="AO404" s="104"/>
    </row>
    <row r="405" spans="1:42" s="10" customFormat="1" ht="15" customHeight="1">
      <c r="A405" s="1027"/>
      <c r="B405" s="701"/>
      <c r="C405" s="540"/>
      <c r="D405" s="223" t="s">
        <v>811</v>
      </c>
      <c r="E405" s="320" t="s">
        <v>64</v>
      </c>
      <c r="F405" s="228" t="s">
        <v>64</v>
      </c>
      <c r="G405" s="11">
        <v>86269.212619222308</v>
      </c>
      <c r="H405" s="225" t="s">
        <v>64</v>
      </c>
      <c r="I405" s="639" t="s">
        <v>64</v>
      </c>
      <c r="J405" s="990"/>
      <c r="K405" s="1215"/>
      <c r="L405" s="950"/>
      <c r="M405" s="951"/>
      <c r="N405" s="952"/>
      <c r="O405" s="737"/>
      <c r="P405" s="737"/>
      <c r="Q405" s="737"/>
      <c r="R405" s="950"/>
      <c r="S405" s="951"/>
      <c r="T405" s="952"/>
      <c r="U405" s="950"/>
      <c r="V405" s="951"/>
      <c r="W405" s="952"/>
      <c r="X405" s="950"/>
      <c r="Y405" s="951"/>
      <c r="Z405" s="952"/>
      <c r="AA405" s="950"/>
      <c r="AB405" s="951"/>
      <c r="AC405" s="951"/>
      <c r="AD405" s="963"/>
      <c r="AE405" s="1117"/>
      <c r="AF405" s="1118"/>
      <c r="AG405" s="950"/>
      <c r="AH405" s="951"/>
      <c r="AI405" s="952"/>
      <c r="AJ405" s="976"/>
      <c r="AK405" s="982"/>
      <c r="AL405" s="1304"/>
      <c r="AM405" s="850"/>
      <c r="AN405" s="86"/>
      <c r="AO405" s="104"/>
    </row>
    <row r="406" spans="1:42" s="10" customFormat="1" ht="15" customHeight="1">
      <c r="A406" s="1027"/>
      <c r="B406" s="701"/>
      <c r="C406" s="540"/>
      <c r="D406" s="223" t="s">
        <v>812</v>
      </c>
      <c r="E406" s="320" t="s">
        <v>64</v>
      </c>
      <c r="F406" s="228" t="s">
        <v>64</v>
      </c>
      <c r="G406" s="11">
        <v>5266.656493030081</v>
      </c>
      <c r="H406" s="225" t="s">
        <v>64</v>
      </c>
      <c r="I406" s="639" t="s">
        <v>64</v>
      </c>
      <c r="J406" s="990"/>
      <c r="K406" s="1215"/>
      <c r="L406" s="950"/>
      <c r="M406" s="951"/>
      <c r="N406" s="952"/>
      <c r="O406" s="737"/>
      <c r="P406" s="737"/>
      <c r="Q406" s="737"/>
      <c r="R406" s="950"/>
      <c r="S406" s="951"/>
      <c r="T406" s="952"/>
      <c r="U406" s="950"/>
      <c r="V406" s="951"/>
      <c r="W406" s="952"/>
      <c r="X406" s="950"/>
      <c r="Y406" s="951"/>
      <c r="Z406" s="952"/>
      <c r="AA406" s="950"/>
      <c r="AB406" s="951"/>
      <c r="AC406" s="951"/>
      <c r="AD406" s="963"/>
      <c r="AE406" s="1117"/>
      <c r="AF406" s="1118"/>
      <c r="AG406" s="950"/>
      <c r="AH406" s="951"/>
      <c r="AI406" s="952"/>
      <c r="AJ406" s="976"/>
      <c r="AK406" s="982"/>
      <c r="AL406" s="1304"/>
      <c r="AM406" s="850"/>
      <c r="AN406" s="86"/>
      <c r="AO406" s="104"/>
    </row>
    <row r="407" spans="1:42" s="10" customFormat="1" ht="15" customHeight="1">
      <c r="A407" s="1027"/>
      <c r="B407" s="701"/>
      <c r="C407" s="540"/>
      <c r="D407" s="223" t="s">
        <v>813</v>
      </c>
      <c r="E407" s="320" t="s">
        <v>64</v>
      </c>
      <c r="F407" s="228" t="s">
        <v>64</v>
      </c>
      <c r="G407" s="11">
        <v>2320.4108584005871</v>
      </c>
      <c r="H407" s="225" t="s">
        <v>64</v>
      </c>
      <c r="I407" s="639" t="s">
        <v>64</v>
      </c>
      <c r="J407" s="990"/>
      <c r="K407" s="1215"/>
      <c r="L407" s="953"/>
      <c r="M407" s="954"/>
      <c r="N407" s="955"/>
      <c r="O407" s="731"/>
      <c r="P407" s="731"/>
      <c r="Q407" s="731"/>
      <c r="R407" s="953"/>
      <c r="S407" s="954"/>
      <c r="T407" s="955"/>
      <c r="U407" s="953"/>
      <c r="V407" s="954"/>
      <c r="W407" s="955"/>
      <c r="X407" s="953"/>
      <c r="Y407" s="954"/>
      <c r="Z407" s="955"/>
      <c r="AA407" s="953"/>
      <c r="AB407" s="954"/>
      <c r="AC407" s="954"/>
      <c r="AD407" s="964"/>
      <c r="AE407" s="1117"/>
      <c r="AF407" s="1118"/>
      <c r="AG407" s="953"/>
      <c r="AH407" s="954"/>
      <c r="AI407" s="955"/>
      <c r="AJ407" s="976"/>
      <c r="AK407" s="982"/>
      <c r="AL407" s="1304"/>
      <c r="AM407" s="850"/>
      <c r="AN407" s="86"/>
      <c r="AO407" s="104"/>
    </row>
    <row r="408" spans="1:42" s="10" customFormat="1" ht="15" customHeight="1" thickBot="1">
      <c r="A408" s="1027"/>
      <c r="B408" s="701"/>
      <c r="C408" s="540"/>
      <c r="D408" s="223" t="s">
        <v>814</v>
      </c>
      <c r="E408" s="320" t="s">
        <v>64</v>
      </c>
      <c r="F408" s="228" t="s">
        <v>64</v>
      </c>
      <c r="G408" s="6">
        <v>632.83932501834192</v>
      </c>
      <c r="H408" s="225" t="s">
        <v>64</v>
      </c>
      <c r="I408" s="639" t="s">
        <v>64</v>
      </c>
      <c r="J408" s="991"/>
      <c r="K408" s="1215"/>
      <c r="L408" s="209">
        <v>41.225766691122523</v>
      </c>
      <c r="M408" s="225" t="s">
        <v>64</v>
      </c>
      <c r="N408" s="115"/>
      <c r="O408" s="115"/>
      <c r="P408" s="115"/>
      <c r="Q408" s="115"/>
      <c r="R408" s="174"/>
      <c r="S408" s="120">
        <v>41.225766691122523</v>
      </c>
      <c r="T408" s="117">
        <v>2477.6176903975106</v>
      </c>
      <c r="U408" s="607" t="s">
        <v>64</v>
      </c>
      <c r="V408" s="120"/>
      <c r="W408" s="120">
        <v>0</v>
      </c>
      <c r="X408" s="117">
        <v>0</v>
      </c>
      <c r="Y408" s="120">
        <v>5.2829112252384451</v>
      </c>
      <c r="Z408" s="117">
        <v>317.4964435838844</v>
      </c>
      <c r="AA408" s="115"/>
      <c r="AB408" s="174"/>
      <c r="AC408" s="120">
        <v>11.487319148936171</v>
      </c>
      <c r="AD408" s="177">
        <v>690.37370127976567</v>
      </c>
      <c r="AE408" s="1117"/>
      <c r="AF408" s="1118"/>
      <c r="AG408" s="209">
        <v>41.225766691122523</v>
      </c>
      <c r="AH408" s="177">
        <v>4955.2353807950212</v>
      </c>
      <c r="AI408" s="177">
        <f t="shared" ref="AI408:AI433" si="12">AH408</f>
        <v>4955.2353807950212</v>
      </c>
      <c r="AJ408" s="976"/>
      <c r="AK408" s="982"/>
      <c r="AL408" s="1304"/>
      <c r="AM408" s="440"/>
      <c r="AN408" s="90"/>
      <c r="AO408" s="86"/>
      <c r="AP408" s="104"/>
    </row>
    <row r="409" spans="1:42" s="10" customFormat="1" ht="15" customHeight="1">
      <c r="A409" s="1027"/>
      <c r="B409" s="701"/>
      <c r="C409" s="540"/>
      <c r="D409" s="223" t="s">
        <v>815</v>
      </c>
      <c r="E409" s="320" t="s">
        <v>64</v>
      </c>
      <c r="F409" s="228" t="s">
        <v>64</v>
      </c>
      <c r="G409" s="11">
        <v>632.83932501834192</v>
      </c>
      <c r="H409" s="225" t="s">
        <v>64</v>
      </c>
      <c r="I409" s="639" t="s">
        <v>64</v>
      </c>
      <c r="J409" s="989" t="s">
        <v>491</v>
      </c>
      <c r="K409" s="1215"/>
      <c r="L409" s="947" t="s">
        <v>508</v>
      </c>
      <c r="M409" s="948"/>
      <c r="N409" s="948"/>
      <c r="O409" s="948"/>
      <c r="P409" s="948"/>
      <c r="Q409" s="948"/>
      <c r="R409" s="948"/>
      <c r="S409" s="948"/>
      <c r="T409" s="949"/>
      <c r="U409" s="947" t="s">
        <v>508</v>
      </c>
      <c r="V409" s="948"/>
      <c r="W409" s="948"/>
      <c r="X409" s="948"/>
      <c r="Y409" s="948"/>
      <c r="Z409" s="948"/>
      <c r="AA409" s="948"/>
      <c r="AB409" s="948"/>
      <c r="AC409" s="948"/>
      <c r="AD409" s="967"/>
      <c r="AE409" s="1117"/>
      <c r="AF409" s="1118"/>
      <c r="AG409" s="947" t="s">
        <v>508</v>
      </c>
      <c r="AH409" s="948"/>
      <c r="AI409" s="967"/>
      <c r="AJ409" s="976"/>
      <c r="AK409" s="982"/>
      <c r="AL409" s="1304"/>
      <c r="AM409" s="440"/>
      <c r="AN409" s="90"/>
      <c r="AO409" s="86"/>
      <c r="AP409" s="104"/>
    </row>
    <row r="410" spans="1:42" s="10" customFormat="1" ht="15.75" customHeight="1" thickBot="1">
      <c r="A410" s="1027"/>
      <c r="B410" s="701"/>
      <c r="C410" s="540"/>
      <c r="D410" s="223" t="s">
        <v>816</v>
      </c>
      <c r="E410" s="320" t="s">
        <v>64</v>
      </c>
      <c r="F410" s="228" t="s">
        <v>64</v>
      </c>
      <c r="G410" s="6">
        <v>1265.6786500366838</v>
      </c>
      <c r="H410" s="225" t="s">
        <v>64</v>
      </c>
      <c r="I410" s="639" t="s">
        <v>64</v>
      </c>
      <c r="J410" s="991"/>
      <c r="K410" s="1215"/>
      <c r="L410" s="953"/>
      <c r="M410" s="954"/>
      <c r="N410" s="954"/>
      <c r="O410" s="954"/>
      <c r="P410" s="954"/>
      <c r="Q410" s="954"/>
      <c r="R410" s="954"/>
      <c r="S410" s="954"/>
      <c r="T410" s="955"/>
      <c r="U410" s="953"/>
      <c r="V410" s="954"/>
      <c r="W410" s="954"/>
      <c r="X410" s="954"/>
      <c r="Y410" s="954"/>
      <c r="Z410" s="954"/>
      <c r="AA410" s="954"/>
      <c r="AB410" s="954"/>
      <c r="AC410" s="954"/>
      <c r="AD410" s="964"/>
      <c r="AE410" s="1117"/>
      <c r="AF410" s="1118"/>
      <c r="AG410" s="953" t="s">
        <v>508</v>
      </c>
      <c r="AH410" s="954"/>
      <c r="AI410" s="964"/>
      <c r="AJ410" s="976"/>
      <c r="AK410" s="982"/>
      <c r="AL410" s="1304"/>
      <c r="AM410" s="440"/>
      <c r="AN410" s="90"/>
      <c r="AO410" s="86"/>
      <c r="AP410" s="104"/>
    </row>
    <row r="411" spans="1:42" s="10" customFormat="1" ht="15" customHeight="1">
      <c r="A411" s="1027"/>
      <c r="B411" s="701"/>
      <c r="C411" s="540"/>
      <c r="D411" s="223" t="s">
        <v>820</v>
      </c>
      <c r="E411" s="320" t="s">
        <v>64</v>
      </c>
      <c r="F411" s="228" t="s">
        <v>64</v>
      </c>
      <c r="G411" s="6">
        <v>3912.9367571533389</v>
      </c>
      <c r="H411" s="225" t="s">
        <v>64</v>
      </c>
      <c r="I411" s="639" t="s">
        <v>64</v>
      </c>
      <c r="J411" s="989" t="s">
        <v>492</v>
      </c>
      <c r="K411" s="1215"/>
      <c r="L411" s="938" t="s">
        <v>507</v>
      </c>
      <c r="M411" s="939"/>
      <c r="N411" s="939"/>
      <c r="O411" s="939"/>
      <c r="P411" s="939"/>
      <c r="Q411" s="939"/>
      <c r="R411" s="939"/>
      <c r="S411" s="939"/>
      <c r="T411" s="956"/>
      <c r="U411" s="938" t="s">
        <v>507</v>
      </c>
      <c r="V411" s="939"/>
      <c r="W411" s="939"/>
      <c r="X411" s="939"/>
      <c r="Y411" s="939"/>
      <c r="Z411" s="939"/>
      <c r="AA411" s="939"/>
      <c r="AB411" s="939"/>
      <c r="AC411" s="939"/>
      <c r="AD411" s="940"/>
      <c r="AE411" s="1117"/>
      <c r="AF411" s="1118"/>
      <c r="AG411" s="938" t="s">
        <v>507</v>
      </c>
      <c r="AH411" s="939"/>
      <c r="AI411" s="940"/>
      <c r="AJ411" s="976"/>
      <c r="AK411" s="982"/>
      <c r="AL411" s="1304"/>
      <c r="AM411" s="440">
        <v>1991258</v>
      </c>
      <c r="AN411" s="107" t="s">
        <v>77</v>
      </c>
      <c r="AO411" s="86"/>
      <c r="AP411" s="104"/>
    </row>
    <row r="412" spans="1:42" s="10" customFormat="1" ht="15" customHeight="1" thickBot="1">
      <c r="A412" s="1027"/>
      <c r="B412" s="701"/>
      <c r="C412" s="540"/>
      <c r="D412" s="223" t="s">
        <v>821</v>
      </c>
      <c r="E412" s="320" t="s">
        <v>64</v>
      </c>
      <c r="F412" s="228" t="s">
        <v>64</v>
      </c>
      <c r="G412" s="6">
        <v>1956.4683785766695</v>
      </c>
      <c r="H412" s="225" t="s">
        <v>64</v>
      </c>
      <c r="I412" s="639" t="s">
        <v>64</v>
      </c>
      <c r="J412" s="991"/>
      <c r="K412" s="1215"/>
      <c r="L412" s="211">
        <v>85.771577402787983</v>
      </c>
      <c r="M412" s="225" t="s">
        <v>64</v>
      </c>
      <c r="N412" s="188"/>
      <c r="O412" s="188"/>
      <c r="P412" s="188"/>
      <c r="Q412" s="188"/>
      <c r="R412" s="214"/>
      <c r="S412" s="7">
        <v>85.771577402787983</v>
      </c>
      <c r="T412" s="157">
        <v>5154.7659282758168</v>
      </c>
      <c r="U412" s="607" t="s">
        <v>64</v>
      </c>
      <c r="V412" s="7"/>
      <c r="W412" s="7">
        <v>25.434088921496706</v>
      </c>
      <c r="X412" s="157">
        <v>1528.5573491738894</v>
      </c>
      <c r="Y412" s="7">
        <v>7.6654435216434349</v>
      </c>
      <c r="Z412" s="157">
        <v>460.68369367782981</v>
      </c>
      <c r="AA412" s="188"/>
      <c r="AB412" s="214"/>
      <c r="AC412" s="7">
        <v>17.220835685986795</v>
      </c>
      <c r="AD412" s="176">
        <v>1034.9509678910908</v>
      </c>
      <c r="AE412" s="1117"/>
      <c r="AF412" s="1118"/>
      <c r="AG412" s="211">
        <v>85.771577402787983</v>
      </c>
      <c r="AH412" s="157">
        <v>10309.531856551634</v>
      </c>
      <c r="AI412" s="176">
        <f t="shared" si="12"/>
        <v>10309.531856551634</v>
      </c>
      <c r="AJ412" s="976"/>
      <c r="AK412" s="982"/>
      <c r="AL412" s="1304"/>
      <c r="AM412" s="440"/>
      <c r="AN412" s="107"/>
      <c r="AO412" s="86"/>
      <c r="AP412" s="104"/>
    </row>
    <row r="413" spans="1:42" s="10" customFormat="1" ht="15" customHeight="1">
      <c r="A413" s="1027"/>
      <c r="B413" s="701"/>
      <c r="C413" s="540"/>
      <c r="D413" s="223" t="s">
        <v>822</v>
      </c>
      <c r="E413" s="320" t="s">
        <v>64</v>
      </c>
      <c r="F413" s="228" t="s">
        <v>64</v>
      </c>
      <c r="G413" s="6">
        <v>1956.4683785766695</v>
      </c>
      <c r="H413" s="225" t="s">
        <v>64</v>
      </c>
      <c r="I413" s="639" t="s">
        <v>64</v>
      </c>
      <c r="J413" s="727" t="s">
        <v>491</v>
      </c>
      <c r="K413" s="1215"/>
      <c r="L413" s="938" t="s">
        <v>508</v>
      </c>
      <c r="M413" s="939"/>
      <c r="N413" s="939"/>
      <c r="O413" s="939"/>
      <c r="P413" s="939"/>
      <c r="Q413" s="939"/>
      <c r="R413" s="939"/>
      <c r="S413" s="939"/>
      <c r="T413" s="956"/>
      <c r="U413" s="938" t="s">
        <v>508</v>
      </c>
      <c r="V413" s="939"/>
      <c r="W413" s="939"/>
      <c r="X413" s="939"/>
      <c r="Y413" s="939"/>
      <c r="Z413" s="939"/>
      <c r="AA413" s="939"/>
      <c r="AB413" s="939"/>
      <c r="AC413" s="939"/>
      <c r="AD413" s="940"/>
      <c r="AE413" s="1117"/>
      <c r="AF413" s="1118"/>
      <c r="AG413" s="1297" t="s">
        <v>508</v>
      </c>
      <c r="AH413" s="1298"/>
      <c r="AI413" s="1299"/>
      <c r="AJ413" s="976"/>
      <c r="AK413" s="982"/>
      <c r="AL413" s="1304"/>
      <c r="AM413" s="440"/>
      <c r="AN413" s="107"/>
      <c r="AO413" s="86"/>
      <c r="AP413" s="104"/>
    </row>
    <row r="414" spans="1:42" s="10" customFormat="1" ht="15" customHeight="1" thickBot="1">
      <c r="A414" s="1027"/>
      <c r="B414" s="701"/>
      <c r="C414" s="540"/>
      <c r="D414" s="223" t="s">
        <v>823</v>
      </c>
      <c r="E414" s="320" t="s">
        <v>64</v>
      </c>
      <c r="F414" s="228" t="s">
        <v>64</v>
      </c>
      <c r="G414" s="6">
        <v>195.64683785766695</v>
      </c>
      <c r="H414" s="225" t="s">
        <v>64</v>
      </c>
      <c r="I414" s="639" t="s">
        <v>64</v>
      </c>
      <c r="J414" s="728" t="s">
        <v>492</v>
      </c>
      <c r="K414" s="1215"/>
      <c r="L414" s="211">
        <v>37.857666911225238</v>
      </c>
      <c r="M414" s="225" t="s">
        <v>64</v>
      </c>
      <c r="N414" s="188"/>
      <c r="O414" s="188"/>
      <c r="P414" s="188"/>
      <c r="Q414" s="188"/>
      <c r="R414" s="214"/>
      <c r="S414" s="7">
        <v>37.857666911225238</v>
      </c>
      <c r="T414" s="157">
        <v>2275.1990510979635</v>
      </c>
      <c r="U414" s="607" t="s">
        <v>64</v>
      </c>
      <c r="V414" s="7"/>
      <c r="W414" s="7">
        <v>0</v>
      </c>
      <c r="X414" s="157">
        <v>0</v>
      </c>
      <c r="Y414" s="7">
        <v>4.7776962582538518</v>
      </c>
      <c r="Z414" s="157">
        <v>287.13364768895281</v>
      </c>
      <c r="AA414" s="188"/>
      <c r="AB414" s="214"/>
      <c r="AC414" s="7">
        <v>10.476889214966985</v>
      </c>
      <c r="AD414" s="176">
        <v>629.64810948990248</v>
      </c>
      <c r="AE414" s="1117"/>
      <c r="AF414" s="1118"/>
      <c r="AG414" s="211">
        <v>37.857666911225238</v>
      </c>
      <c r="AH414" s="157">
        <v>4550.3981021959271</v>
      </c>
      <c r="AI414" s="176">
        <f t="shared" si="12"/>
        <v>4550.3981021959271</v>
      </c>
      <c r="AJ414" s="976"/>
      <c r="AK414" s="982"/>
      <c r="AL414" s="1304"/>
      <c r="AM414" s="440"/>
      <c r="AN414" s="107"/>
      <c r="AO414" s="86"/>
      <c r="AP414" s="104"/>
    </row>
    <row r="415" spans="1:42" s="10" customFormat="1" ht="15" customHeight="1">
      <c r="A415" s="1027"/>
      <c r="B415" s="701"/>
      <c r="C415" s="540"/>
      <c r="D415" s="223" t="s">
        <v>825</v>
      </c>
      <c r="E415" s="320" t="s">
        <v>64</v>
      </c>
      <c r="F415" s="228" t="s">
        <v>64</v>
      </c>
      <c r="G415" s="6">
        <v>195.64683785766695</v>
      </c>
      <c r="H415" s="225" t="s">
        <v>64</v>
      </c>
      <c r="I415" s="639" t="s">
        <v>64</v>
      </c>
      <c r="J415" s="989" t="s">
        <v>491</v>
      </c>
      <c r="K415" s="1215"/>
      <c r="L415" s="947" t="s">
        <v>508</v>
      </c>
      <c r="M415" s="948"/>
      <c r="N415" s="948"/>
      <c r="O415" s="948"/>
      <c r="P415" s="948"/>
      <c r="Q415" s="948"/>
      <c r="R415" s="948"/>
      <c r="S415" s="948"/>
      <c r="T415" s="949"/>
      <c r="U415" s="947" t="s">
        <v>508</v>
      </c>
      <c r="V415" s="948"/>
      <c r="W415" s="948"/>
      <c r="X415" s="948"/>
      <c r="Y415" s="948"/>
      <c r="Z415" s="948"/>
      <c r="AA415" s="948"/>
      <c r="AB415" s="948"/>
      <c r="AC415" s="948"/>
      <c r="AD415" s="967"/>
      <c r="AE415" s="1117"/>
      <c r="AF415" s="1118"/>
      <c r="AG415" s="947" t="s">
        <v>508</v>
      </c>
      <c r="AH415" s="948"/>
      <c r="AI415" s="967"/>
      <c r="AJ415" s="976"/>
      <c r="AK415" s="982"/>
      <c r="AL415" s="1304"/>
      <c r="AM415" s="440"/>
      <c r="AN415" s="107"/>
      <c r="AO415" s="86"/>
      <c r="AP415" s="104"/>
    </row>
    <row r="416" spans="1:42" s="10" customFormat="1" ht="15" customHeight="1" thickBot="1">
      <c r="A416" s="1027"/>
      <c r="B416" s="701"/>
      <c r="C416" s="540"/>
      <c r="D416" s="223" t="s">
        <v>826</v>
      </c>
      <c r="E416" s="320" t="s">
        <v>64</v>
      </c>
      <c r="F416" s="228" t="s">
        <v>64</v>
      </c>
      <c r="G416" s="6">
        <v>88.041085840058699</v>
      </c>
      <c r="H416" s="225" t="s">
        <v>64</v>
      </c>
      <c r="I416" s="639" t="s">
        <v>64</v>
      </c>
      <c r="J416" s="991"/>
      <c r="K416" s="1215"/>
      <c r="L416" s="953"/>
      <c r="M416" s="954"/>
      <c r="N416" s="954"/>
      <c r="O416" s="954"/>
      <c r="P416" s="954"/>
      <c r="Q416" s="954"/>
      <c r="R416" s="954"/>
      <c r="S416" s="954"/>
      <c r="T416" s="955"/>
      <c r="U416" s="953"/>
      <c r="V416" s="954"/>
      <c r="W416" s="954"/>
      <c r="X416" s="954"/>
      <c r="Y416" s="954"/>
      <c r="Z416" s="954"/>
      <c r="AA416" s="954"/>
      <c r="AB416" s="954"/>
      <c r="AC416" s="954"/>
      <c r="AD416" s="964"/>
      <c r="AE416" s="1117"/>
      <c r="AF416" s="1118"/>
      <c r="AG416" s="953"/>
      <c r="AH416" s="954"/>
      <c r="AI416" s="964"/>
      <c r="AJ416" s="976"/>
      <c r="AK416" s="982"/>
      <c r="AL416" s="1304"/>
      <c r="AM416" s="440"/>
      <c r="AN416" s="107"/>
      <c r="AO416" s="86"/>
      <c r="AP416" s="104"/>
    </row>
    <row r="417" spans="1:42" s="10" customFormat="1" ht="15" customHeight="1">
      <c r="A417" s="1027"/>
      <c r="B417" s="701"/>
      <c r="C417" s="540"/>
      <c r="D417" s="223" t="s">
        <v>827</v>
      </c>
      <c r="E417" s="320" t="s">
        <v>64</v>
      </c>
      <c r="F417" s="228" t="s">
        <v>64</v>
      </c>
      <c r="G417" s="73">
        <v>652.15553925165079</v>
      </c>
      <c r="H417" s="225" t="s">
        <v>64</v>
      </c>
      <c r="I417" s="639" t="s">
        <v>64</v>
      </c>
      <c r="J417" s="989" t="s">
        <v>492</v>
      </c>
      <c r="K417" s="1215"/>
      <c r="L417" s="947" t="s">
        <v>507</v>
      </c>
      <c r="M417" s="948"/>
      <c r="N417" s="949"/>
      <c r="O417" s="739"/>
      <c r="P417" s="739"/>
      <c r="Q417" s="739"/>
      <c r="R417" s="947" t="s">
        <v>507</v>
      </c>
      <c r="S417" s="948"/>
      <c r="T417" s="949"/>
      <c r="U417" s="947" t="s">
        <v>507</v>
      </c>
      <c r="V417" s="948"/>
      <c r="W417" s="949"/>
      <c r="X417" s="947" t="s">
        <v>507</v>
      </c>
      <c r="Y417" s="948"/>
      <c r="Z417" s="949"/>
      <c r="AA417" s="947" t="s">
        <v>507</v>
      </c>
      <c r="AB417" s="948"/>
      <c r="AC417" s="948"/>
      <c r="AD417" s="967"/>
      <c r="AE417" s="1117"/>
      <c r="AF417" s="1118"/>
      <c r="AG417" s="947" t="s">
        <v>507</v>
      </c>
      <c r="AH417" s="948"/>
      <c r="AI417" s="949"/>
      <c r="AJ417" s="976"/>
      <c r="AK417" s="982"/>
      <c r="AL417" s="1304"/>
      <c r="AM417" s="440"/>
      <c r="AN417" s="107"/>
      <c r="AO417" s="86"/>
      <c r="AP417" s="104"/>
    </row>
    <row r="418" spans="1:42" s="10" customFormat="1" ht="15" customHeight="1">
      <c r="A418" s="1027"/>
      <c r="B418" s="701"/>
      <c r="C418" s="540"/>
      <c r="D418" s="223" t="s">
        <v>828</v>
      </c>
      <c r="E418" s="320" t="s">
        <v>64</v>
      </c>
      <c r="F418" s="228" t="s">
        <v>64</v>
      </c>
      <c r="G418" s="73">
        <v>9782.3418928833453</v>
      </c>
      <c r="H418" s="225" t="s">
        <v>64</v>
      </c>
      <c r="I418" s="639" t="s">
        <v>64</v>
      </c>
      <c r="J418" s="990"/>
      <c r="K418" s="1215"/>
      <c r="L418" s="953"/>
      <c r="M418" s="954"/>
      <c r="N418" s="955"/>
      <c r="O418" s="731"/>
      <c r="P418" s="731"/>
      <c r="Q418" s="731"/>
      <c r="R418" s="953"/>
      <c r="S418" s="954"/>
      <c r="T418" s="955"/>
      <c r="U418" s="953"/>
      <c r="V418" s="954"/>
      <c r="W418" s="955"/>
      <c r="X418" s="953"/>
      <c r="Y418" s="954"/>
      <c r="Z418" s="955"/>
      <c r="AA418" s="953"/>
      <c r="AB418" s="954"/>
      <c r="AC418" s="954"/>
      <c r="AD418" s="964"/>
      <c r="AE418" s="1117"/>
      <c r="AF418" s="1118"/>
      <c r="AG418" s="953"/>
      <c r="AH418" s="954"/>
      <c r="AI418" s="955"/>
      <c r="AJ418" s="976"/>
      <c r="AK418" s="982"/>
      <c r="AL418" s="1304"/>
      <c r="AM418" s="440"/>
      <c r="AN418" s="107"/>
      <c r="AO418" s="86"/>
      <c r="AP418" s="104"/>
    </row>
    <row r="419" spans="1:42" s="10" customFormat="1" ht="15.75" customHeight="1" thickBot="1">
      <c r="A419" s="1027"/>
      <c r="B419" s="701"/>
      <c r="C419" s="540"/>
      <c r="D419" s="223" t="s">
        <v>829</v>
      </c>
      <c r="E419" s="320" t="s">
        <v>64</v>
      </c>
      <c r="F419" s="228" t="s">
        <v>64</v>
      </c>
      <c r="G419" s="706">
        <v>5478.1114600146748</v>
      </c>
      <c r="H419" s="225" t="s">
        <v>64</v>
      </c>
      <c r="I419" s="639" t="s">
        <v>64</v>
      </c>
      <c r="J419" s="991"/>
      <c r="K419" s="1215"/>
      <c r="L419" s="211">
        <v>99.369032311078513</v>
      </c>
      <c r="M419" s="225" t="s">
        <v>64</v>
      </c>
      <c r="N419" s="188"/>
      <c r="O419" s="188"/>
      <c r="P419" s="188"/>
      <c r="Q419" s="188"/>
      <c r="R419" s="214"/>
      <c r="S419" s="7">
        <v>99.369032311078513</v>
      </c>
      <c r="T419" s="157">
        <v>5971.956184010176</v>
      </c>
      <c r="U419" s="607" t="s">
        <v>64</v>
      </c>
      <c r="V419" s="7"/>
      <c r="W419" s="7">
        <v>0</v>
      </c>
      <c r="X419" s="157">
        <v>0</v>
      </c>
      <c r="Y419" s="7">
        <v>14.004401068231845</v>
      </c>
      <c r="Z419" s="157">
        <v>841.64721762578347</v>
      </c>
      <c r="AA419" s="188"/>
      <c r="AB419" s="214"/>
      <c r="AC419" s="7">
        <v>28.930298834922969</v>
      </c>
      <c r="AD419" s="176">
        <v>1738.6752493635663</v>
      </c>
      <c r="AE419" s="1117"/>
      <c r="AF419" s="1118"/>
      <c r="AG419" s="211">
        <v>99.369032311078513</v>
      </c>
      <c r="AH419" s="157">
        <v>11943.912368020352</v>
      </c>
      <c r="AI419" s="176">
        <f t="shared" si="12"/>
        <v>11943.912368020352</v>
      </c>
      <c r="AJ419" s="976"/>
      <c r="AK419" s="982"/>
      <c r="AL419" s="1304"/>
      <c r="AM419" s="440"/>
      <c r="AN419" s="107"/>
      <c r="AO419" s="86"/>
      <c r="AP419" s="104"/>
    </row>
    <row r="420" spans="1:42" s="69" customFormat="1" ht="15" customHeight="1">
      <c r="A420" s="1027"/>
      <c r="B420" s="701"/>
      <c r="C420" s="540"/>
      <c r="D420" s="223" t="s">
        <v>830</v>
      </c>
      <c r="E420" s="320" t="s">
        <v>64</v>
      </c>
      <c r="F420" s="228" t="s">
        <v>64</v>
      </c>
      <c r="G420" s="707">
        <v>3912.9367571533389</v>
      </c>
      <c r="H420" s="225" t="s">
        <v>64</v>
      </c>
      <c r="I420" s="639" t="s">
        <v>64</v>
      </c>
      <c r="J420" s="727" t="s">
        <v>491</v>
      </c>
      <c r="K420" s="1215"/>
      <c r="L420" s="938" t="s">
        <v>508</v>
      </c>
      <c r="M420" s="939"/>
      <c r="N420" s="939"/>
      <c r="O420" s="939"/>
      <c r="P420" s="939"/>
      <c r="Q420" s="939"/>
      <c r="R420" s="939"/>
      <c r="S420" s="939"/>
      <c r="T420" s="956"/>
      <c r="U420" s="938" t="s">
        <v>508</v>
      </c>
      <c r="V420" s="939"/>
      <c r="W420" s="939"/>
      <c r="X420" s="939"/>
      <c r="Y420" s="939"/>
      <c r="Z420" s="939"/>
      <c r="AA420" s="939"/>
      <c r="AB420" s="939"/>
      <c r="AC420" s="939"/>
      <c r="AD420" s="940"/>
      <c r="AE420" s="1117"/>
      <c r="AF420" s="1118"/>
      <c r="AG420" s="1297" t="s">
        <v>508</v>
      </c>
      <c r="AH420" s="1298"/>
      <c r="AI420" s="1299"/>
      <c r="AJ420" s="976"/>
      <c r="AK420" s="982"/>
      <c r="AL420" s="1304"/>
      <c r="AM420" s="440"/>
      <c r="AN420" s="90"/>
      <c r="AO420" s="128"/>
      <c r="AP420" s="106"/>
    </row>
    <row r="421" spans="1:42" s="69" customFormat="1" ht="15" customHeight="1">
      <c r="A421" s="1027"/>
      <c r="B421" s="701"/>
      <c r="C421" s="540"/>
      <c r="D421" s="223" t="s">
        <v>831</v>
      </c>
      <c r="E421" s="320" t="s">
        <v>64</v>
      </c>
      <c r="F421" s="228" t="s">
        <v>64</v>
      </c>
      <c r="G421" s="244">
        <v>58694.057226705794</v>
      </c>
      <c r="H421" s="320" t="s">
        <v>64</v>
      </c>
      <c r="I421" s="639" t="s">
        <v>64</v>
      </c>
      <c r="J421" s="1210" t="s">
        <v>492</v>
      </c>
      <c r="K421" s="1215"/>
      <c r="L421" s="947" t="s">
        <v>507</v>
      </c>
      <c r="M421" s="948"/>
      <c r="N421" s="949"/>
      <c r="O421" s="739"/>
      <c r="P421" s="739"/>
      <c r="Q421" s="739"/>
      <c r="R421" s="947" t="s">
        <v>507</v>
      </c>
      <c r="S421" s="948"/>
      <c r="T421" s="949"/>
      <c r="U421" s="947" t="s">
        <v>507</v>
      </c>
      <c r="V421" s="948"/>
      <c r="W421" s="949"/>
      <c r="X421" s="947" t="s">
        <v>507</v>
      </c>
      <c r="Y421" s="948"/>
      <c r="Z421" s="949"/>
      <c r="AA421" s="947" t="s">
        <v>507</v>
      </c>
      <c r="AB421" s="948"/>
      <c r="AC421" s="948"/>
      <c r="AD421" s="967"/>
      <c r="AE421" s="1117"/>
      <c r="AF421" s="1118"/>
      <c r="AG421" s="947" t="s">
        <v>507</v>
      </c>
      <c r="AH421" s="948"/>
      <c r="AI421" s="949"/>
      <c r="AJ421" s="976"/>
      <c r="AK421" s="982"/>
      <c r="AL421" s="1304"/>
      <c r="AM421" s="440"/>
      <c r="AN421" s="90"/>
      <c r="AO421" s="128"/>
      <c r="AP421" s="106"/>
    </row>
    <row r="422" spans="1:42" s="69" customFormat="1" ht="15" customHeight="1">
      <c r="A422" s="1027"/>
      <c r="B422" s="701"/>
      <c r="C422" s="540"/>
      <c r="D422" s="223" t="s">
        <v>833</v>
      </c>
      <c r="E422" s="225" t="s">
        <v>64</v>
      </c>
      <c r="F422" s="228" t="s">
        <v>64</v>
      </c>
      <c r="G422" s="708">
        <v>326.0777696258254</v>
      </c>
      <c r="H422" s="225" t="s">
        <v>64</v>
      </c>
      <c r="I422" s="638" t="s">
        <v>64</v>
      </c>
      <c r="J422" s="990"/>
      <c r="K422" s="1215"/>
      <c r="L422" s="950"/>
      <c r="M422" s="951"/>
      <c r="N422" s="952"/>
      <c r="O422" s="737"/>
      <c r="P422" s="737"/>
      <c r="Q422" s="737"/>
      <c r="R422" s="950"/>
      <c r="S422" s="951"/>
      <c r="T422" s="952"/>
      <c r="U422" s="950"/>
      <c r="V422" s="951"/>
      <c r="W422" s="952"/>
      <c r="X422" s="950"/>
      <c r="Y422" s="951"/>
      <c r="Z422" s="952"/>
      <c r="AA422" s="950"/>
      <c r="AB422" s="951"/>
      <c r="AC422" s="951"/>
      <c r="AD422" s="963"/>
      <c r="AE422" s="1117"/>
      <c r="AF422" s="1118"/>
      <c r="AG422" s="950"/>
      <c r="AH422" s="951"/>
      <c r="AI422" s="952"/>
      <c r="AJ422" s="976"/>
      <c r="AK422" s="982"/>
      <c r="AL422" s="1304"/>
      <c r="AM422" s="440"/>
      <c r="AN422" s="90"/>
      <c r="AO422" s="128"/>
      <c r="AP422" s="106"/>
    </row>
    <row r="423" spans="1:42" s="69" customFormat="1" ht="15" customHeight="1">
      <c r="A423" s="1027"/>
      <c r="B423" s="701"/>
      <c r="C423" s="540"/>
      <c r="D423" s="223" t="s">
        <v>834</v>
      </c>
      <c r="E423" s="225" t="s">
        <v>64</v>
      </c>
      <c r="F423" s="228" t="s">
        <v>64</v>
      </c>
      <c r="G423" s="6">
        <v>146.73514306676449</v>
      </c>
      <c r="H423" s="225" t="s">
        <v>64</v>
      </c>
      <c r="I423" s="638" t="s">
        <v>64</v>
      </c>
      <c r="J423" s="990"/>
      <c r="K423" s="1215"/>
      <c r="L423" s="950"/>
      <c r="M423" s="951"/>
      <c r="N423" s="952"/>
      <c r="O423" s="737"/>
      <c r="P423" s="737"/>
      <c r="Q423" s="737"/>
      <c r="R423" s="950"/>
      <c r="S423" s="951"/>
      <c r="T423" s="952"/>
      <c r="U423" s="950"/>
      <c r="V423" s="951"/>
      <c r="W423" s="952"/>
      <c r="X423" s="950"/>
      <c r="Y423" s="951"/>
      <c r="Z423" s="952"/>
      <c r="AA423" s="950"/>
      <c r="AB423" s="951"/>
      <c r="AC423" s="951"/>
      <c r="AD423" s="963"/>
      <c r="AE423" s="1117"/>
      <c r="AF423" s="1118"/>
      <c r="AG423" s="950"/>
      <c r="AH423" s="951"/>
      <c r="AI423" s="952"/>
      <c r="AJ423" s="976"/>
      <c r="AK423" s="982"/>
      <c r="AL423" s="1304"/>
      <c r="AM423" s="440"/>
      <c r="AN423" s="90"/>
      <c r="AO423" s="128"/>
      <c r="AP423" s="106"/>
    </row>
    <row r="424" spans="1:42" s="69" customFormat="1" ht="15" customHeight="1">
      <c r="A424" s="1027"/>
      <c r="B424" s="701"/>
      <c r="C424" s="540"/>
      <c r="D424" s="223" t="s">
        <v>835</v>
      </c>
      <c r="E424" s="225" t="s">
        <v>64</v>
      </c>
      <c r="F424" s="228" t="s">
        <v>64</v>
      </c>
      <c r="G424" s="706">
        <v>652.15553925165079</v>
      </c>
      <c r="H424" s="225" t="s">
        <v>64</v>
      </c>
      <c r="I424" s="638" t="s">
        <v>64</v>
      </c>
      <c r="J424" s="990"/>
      <c r="K424" s="1215"/>
      <c r="L424" s="950"/>
      <c r="M424" s="951"/>
      <c r="N424" s="952"/>
      <c r="O424" s="737"/>
      <c r="P424" s="737"/>
      <c r="Q424" s="737"/>
      <c r="R424" s="950"/>
      <c r="S424" s="951"/>
      <c r="T424" s="952"/>
      <c r="U424" s="950"/>
      <c r="V424" s="951"/>
      <c r="W424" s="952"/>
      <c r="X424" s="950"/>
      <c r="Y424" s="951"/>
      <c r="Z424" s="952"/>
      <c r="AA424" s="950"/>
      <c r="AB424" s="951"/>
      <c r="AC424" s="951"/>
      <c r="AD424" s="963"/>
      <c r="AE424" s="1117"/>
      <c r="AF424" s="1118"/>
      <c r="AG424" s="950"/>
      <c r="AH424" s="951"/>
      <c r="AI424" s="952"/>
      <c r="AJ424" s="976"/>
      <c r="AK424" s="982"/>
      <c r="AL424" s="1304"/>
      <c r="AM424" s="440"/>
      <c r="AN424" s="90"/>
      <c r="AO424" s="128"/>
      <c r="AP424" s="106"/>
    </row>
    <row r="425" spans="1:42" s="69" customFormat="1" ht="15" customHeight="1">
      <c r="A425" s="1027"/>
      <c r="B425" s="701"/>
      <c r="C425" s="540"/>
      <c r="D425" s="223" t="s">
        <v>836</v>
      </c>
      <c r="E425" s="225" t="s">
        <v>64</v>
      </c>
      <c r="F425" s="228" t="s">
        <v>64</v>
      </c>
      <c r="G425" s="73">
        <v>6521.5612619222302</v>
      </c>
      <c r="H425" s="225" t="s">
        <v>64</v>
      </c>
      <c r="I425" s="638" t="s">
        <v>64</v>
      </c>
      <c r="J425" s="990"/>
      <c r="K425" s="1215"/>
      <c r="L425" s="950"/>
      <c r="M425" s="951"/>
      <c r="N425" s="952"/>
      <c r="O425" s="737"/>
      <c r="P425" s="737"/>
      <c r="Q425" s="737"/>
      <c r="R425" s="950"/>
      <c r="S425" s="951"/>
      <c r="T425" s="952"/>
      <c r="U425" s="950"/>
      <c r="V425" s="951"/>
      <c r="W425" s="952"/>
      <c r="X425" s="950"/>
      <c r="Y425" s="951"/>
      <c r="Z425" s="952"/>
      <c r="AA425" s="950"/>
      <c r="AB425" s="951"/>
      <c r="AC425" s="951"/>
      <c r="AD425" s="963"/>
      <c r="AE425" s="1117"/>
      <c r="AF425" s="1118"/>
      <c r="AG425" s="950"/>
      <c r="AH425" s="951"/>
      <c r="AI425" s="952"/>
      <c r="AJ425" s="976"/>
      <c r="AK425" s="982"/>
      <c r="AL425" s="1304"/>
      <c r="AM425" s="440"/>
      <c r="AN425" s="90"/>
      <c r="AO425" s="128"/>
      <c r="AP425" s="106"/>
    </row>
    <row r="426" spans="1:42" s="69" customFormat="1" ht="15" customHeight="1">
      <c r="A426" s="1027"/>
      <c r="B426" s="701"/>
      <c r="C426" s="540"/>
      <c r="D426" s="223" t="s">
        <v>837</v>
      </c>
      <c r="E426" s="225" t="s">
        <v>64</v>
      </c>
      <c r="F426" s="228" t="s">
        <v>64</v>
      </c>
      <c r="G426" s="73">
        <v>3260.7806309611151</v>
      </c>
      <c r="H426" s="225" t="s">
        <v>64</v>
      </c>
      <c r="I426" s="638" t="s">
        <v>64</v>
      </c>
      <c r="J426" s="990"/>
      <c r="K426" s="1215"/>
      <c r="L426" s="953"/>
      <c r="M426" s="954"/>
      <c r="N426" s="955"/>
      <c r="O426" s="731"/>
      <c r="P426" s="731"/>
      <c r="Q426" s="731"/>
      <c r="R426" s="953"/>
      <c r="S426" s="954"/>
      <c r="T426" s="955"/>
      <c r="U426" s="953"/>
      <c r="V426" s="954"/>
      <c r="W426" s="955"/>
      <c r="X426" s="953"/>
      <c r="Y426" s="954"/>
      <c r="Z426" s="955"/>
      <c r="AA426" s="953"/>
      <c r="AB426" s="954"/>
      <c r="AC426" s="954"/>
      <c r="AD426" s="964"/>
      <c r="AE426" s="1117"/>
      <c r="AF426" s="1118"/>
      <c r="AG426" s="953"/>
      <c r="AH426" s="954"/>
      <c r="AI426" s="955"/>
      <c r="AJ426" s="976"/>
      <c r="AK426" s="982"/>
      <c r="AL426" s="1304"/>
      <c r="AM426" s="440"/>
      <c r="AN426" s="90"/>
      <c r="AO426" s="128"/>
      <c r="AP426" s="106"/>
    </row>
    <row r="427" spans="1:42" s="69" customFormat="1" ht="15.75" customHeight="1" thickBot="1">
      <c r="A427" s="1027"/>
      <c r="B427" s="702"/>
      <c r="C427" s="541"/>
      <c r="D427" s="699" t="s">
        <v>487</v>
      </c>
      <c r="E427" s="703"/>
      <c r="F427" s="704"/>
      <c r="G427" s="709"/>
      <c r="H427" s="703"/>
      <c r="I427" s="726"/>
      <c r="J427" s="991"/>
      <c r="K427" s="1215"/>
      <c r="L427" s="717"/>
      <c r="M427" s="226" t="s">
        <v>64</v>
      </c>
      <c r="N427" s="116"/>
      <c r="O427" s="116"/>
      <c r="P427" s="116"/>
      <c r="Q427" s="116"/>
      <c r="R427" s="175"/>
      <c r="S427" s="717"/>
      <c r="T427" s="718">
        <v>0</v>
      </c>
      <c r="U427" s="229" t="s">
        <v>64</v>
      </c>
      <c r="V427" s="717"/>
      <c r="W427" s="717"/>
      <c r="X427" s="718">
        <v>0</v>
      </c>
      <c r="Y427" s="717"/>
      <c r="Z427" s="718">
        <v>0</v>
      </c>
      <c r="AA427" s="116"/>
      <c r="AB427" s="175"/>
      <c r="AC427" s="717"/>
      <c r="AD427" s="719">
        <v>0</v>
      </c>
      <c r="AE427" s="1117"/>
      <c r="AF427" s="1118"/>
      <c r="AG427" s="720"/>
      <c r="AH427" s="719">
        <v>0</v>
      </c>
      <c r="AI427" s="719">
        <f t="shared" si="12"/>
        <v>0</v>
      </c>
      <c r="AJ427" s="976"/>
      <c r="AK427" s="983"/>
      <c r="AL427" s="1304"/>
      <c r="AM427" s="440"/>
      <c r="AN427" s="723" t="s">
        <v>493</v>
      </c>
      <c r="AO427" s="128"/>
      <c r="AP427" s="106"/>
    </row>
    <row r="428" spans="1:42" s="69" customFormat="1" ht="15" customHeight="1">
      <c r="A428" s="1027"/>
      <c r="B428" s="668">
        <v>12657</v>
      </c>
      <c r="C428" s="529">
        <v>35110</v>
      </c>
      <c r="D428" s="223" t="s">
        <v>484</v>
      </c>
      <c r="E428" s="222" t="s">
        <v>73</v>
      </c>
      <c r="F428" s="222" t="s">
        <v>75</v>
      </c>
      <c r="G428" s="11">
        <v>2531.3573000733677</v>
      </c>
      <c r="H428" s="320" t="s">
        <v>221</v>
      </c>
      <c r="I428" s="713" t="s">
        <v>221</v>
      </c>
      <c r="J428" s="989" t="s">
        <v>492</v>
      </c>
      <c r="K428" s="1215"/>
      <c r="L428" s="209">
        <v>129.75495231107851</v>
      </c>
      <c r="M428" s="12">
        <v>5.88</v>
      </c>
      <c r="N428" s="115"/>
      <c r="O428" s="115"/>
      <c r="P428" s="115"/>
      <c r="Q428" s="120">
        <v>123.87967718268526</v>
      </c>
      <c r="R428" s="117">
        <v>7097.3475725128419</v>
      </c>
      <c r="S428" s="120">
        <v>123.87967718268526</v>
      </c>
      <c r="T428" s="117">
        <v>7097.3475725128419</v>
      </c>
      <c r="U428" s="228" t="s">
        <v>64</v>
      </c>
      <c r="V428" s="120"/>
      <c r="W428" s="120">
        <v>32.907644900953777</v>
      </c>
      <c r="X428" s="117">
        <v>1885.3535863713325</v>
      </c>
      <c r="Y428" s="120">
        <v>8.5593778429933973</v>
      </c>
      <c r="Z428" s="117">
        <v>490.38616291034583</v>
      </c>
      <c r="AA428" s="115"/>
      <c r="AB428" s="174"/>
      <c r="AC428" s="120">
        <v>27.636730741012475</v>
      </c>
      <c r="AD428" s="177">
        <v>1583.3709636461031</v>
      </c>
      <c r="AE428" s="1117"/>
      <c r="AF428" s="1118"/>
      <c r="AG428" s="209">
        <v>123.87967718268526</v>
      </c>
      <c r="AH428" s="177">
        <v>14194.695145025684</v>
      </c>
      <c r="AI428" s="177">
        <f t="shared" si="12"/>
        <v>14194.695145025684</v>
      </c>
      <c r="AJ428" s="976"/>
      <c r="AK428" s="981">
        <f>SUM(AI428:AI433)</f>
        <v>31204.852520005319</v>
      </c>
      <c r="AL428" s="1304"/>
      <c r="AM428" s="151"/>
      <c r="AN428" s="90"/>
      <c r="AO428" s="128"/>
      <c r="AP428" s="106"/>
    </row>
    <row r="429" spans="1:42" s="69" customFormat="1" ht="15" customHeight="1">
      <c r="A429" s="1027"/>
      <c r="B429" s="669"/>
      <c r="C429" s="525"/>
      <c r="D429" s="223" t="s">
        <v>809</v>
      </c>
      <c r="E429" s="225" t="s">
        <v>64</v>
      </c>
      <c r="F429" s="228" t="s">
        <v>64</v>
      </c>
      <c r="G429" s="6">
        <v>843.78576669112249</v>
      </c>
      <c r="H429" s="225" t="s">
        <v>64</v>
      </c>
      <c r="I429" s="638" t="s">
        <v>64</v>
      </c>
      <c r="J429" s="990"/>
      <c r="K429" s="1215"/>
      <c r="L429" s="210">
        <v>25.268495964783565</v>
      </c>
      <c r="M429" s="225" t="s">
        <v>64</v>
      </c>
      <c r="N429" s="197"/>
      <c r="O429" s="197"/>
      <c r="P429" s="197"/>
      <c r="Q429" s="24">
        <v>25.268495964783565</v>
      </c>
      <c r="R429" s="159">
        <v>1447.6894239257349</v>
      </c>
      <c r="S429" s="24">
        <v>25.268495964783565</v>
      </c>
      <c r="T429" s="159">
        <v>1447.6894239257349</v>
      </c>
      <c r="U429" s="228" t="s">
        <v>64</v>
      </c>
      <c r="V429" s="24"/>
      <c r="W429" s="24">
        <v>0</v>
      </c>
      <c r="X429" s="159">
        <v>0</v>
      </c>
      <c r="Y429" s="24">
        <v>5.6626148202494493</v>
      </c>
      <c r="Z429" s="159">
        <v>324.42404163925301</v>
      </c>
      <c r="AA429" s="197"/>
      <c r="AB429" s="213"/>
      <c r="AC429" s="24">
        <v>6.7001379310344822</v>
      </c>
      <c r="AD429" s="187">
        <v>383.86609298474508</v>
      </c>
      <c r="AE429" s="1117"/>
      <c r="AF429" s="1118"/>
      <c r="AG429" s="210">
        <v>25.268495964783565</v>
      </c>
      <c r="AH429" s="187">
        <v>2895.3788478514698</v>
      </c>
      <c r="AI429" s="177">
        <f t="shared" si="12"/>
        <v>2895.3788478514698</v>
      </c>
      <c r="AJ429" s="976"/>
      <c r="AK429" s="982"/>
      <c r="AL429" s="1304"/>
      <c r="AM429" s="151"/>
      <c r="AN429" s="90"/>
      <c r="AO429" s="128"/>
      <c r="AP429" s="106"/>
    </row>
    <row r="430" spans="1:42" s="69" customFormat="1" ht="15" customHeight="1">
      <c r="A430" s="1027"/>
      <c r="B430" s="669"/>
      <c r="C430" s="525"/>
      <c r="D430" s="223" t="s">
        <v>810</v>
      </c>
      <c r="E430" s="225" t="s">
        <v>64</v>
      </c>
      <c r="F430" s="228" t="s">
        <v>64</v>
      </c>
      <c r="G430" s="6">
        <v>632.83932501834192</v>
      </c>
      <c r="H430" s="225" t="s">
        <v>64</v>
      </c>
      <c r="I430" s="638" t="s">
        <v>64</v>
      </c>
      <c r="J430" s="990"/>
      <c r="K430" s="1215"/>
      <c r="L430" s="211">
        <v>22.737138664710198</v>
      </c>
      <c r="M430" s="225" t="s">
        <v>64</v>
      </c>
      <c r="N430" s="188"/>
      <c r="O430" s="188"/>
      <c r="P430" s="188"/>
      <c r="Q430" s="7">
        <v>22.737138664710198</v>
      </c>
      <c r="R430" s="157">
        <v>1302.662224974091</v>
      </c>
      <c r="S430" s="7">
        <v>22.737138664710198</v>
      </c>
      <c r="T430" s="157">
        <v>1302.662224974091</v>
      </c>
      <c r="U430" s="228" t="s">
        <v>64</v>
      </c>
      <c r="V430" s="7"/>
      <c r="W430" s="7">
        <v>0</v>
      </c>
      <c r="X430" s="157">
        <v>0</v>
      </c>
      <c r="Y430" s="7">
        <v>5.2829112252384451</v>
      </c>
      <c r="Z430" s="157">
        <v>302.66996179650693</v>
      </c>
      <c r="AA430" s="188"/>
      <c r="AB430" s="214"/>
      <c r="AC430" s="7">
        <v>5.940730741012473</v>
      </c>
      <c r="AD430" s="176">
        <v>340.35793329925275</v>
      </c>
      <c r="AE430" s="1117"/>
      <c r="AF430" s="1118"/>
      <c r="AG430" s="211">
        <v>22.737138664710198</v>
      </c>
      <c r="AH430" s="157">
        <v>2605.3244499481821</v>
      </c>
      <c r="AI430" s="177">
        <f t="shared" si="12"/>
        <v>2605.3244499481821</v>
      </c>
      <c r="AJ430" s="976"/>
      <c r="AK430" s="982"/>
      <c r="AL430" s="1304"/>
      <c r="AM430" s="151"/>
      <c r="AN430" s="90"/>
      <c r="AO430" s="128"/>
      <c r="AP430" s="106"/>
    </row>
    <row r="431" spans="1:42" s="69" customFormat="1" ht="15" customHeight="1">
      <c r="A431" s="1027"/>
      <c r="B431" s="669"/>
      <c r="C431" s="525"/>
      <c r="D431" s="223" t="s">
        <v>811</v>
      </c>
      <c r="E431" s="225" t="s">
        <v>64</v>
      </c>
      <c r="F431" s="228" t="s">
        <v>64</v>
      </c>
      <c r="G431" s="6">
        <v>1956.4683785766695</v>
      </c>
      <c r="H431" s="225" t="s">
        <v>64</v>
      </c>
      <c r="I431" s="638" t="s">
        <v>64</v>
      </c>
      <c r="J431" s="990"/>
      <c r="K431" s="1215"/>
      <c r="L431" s="211">
        <v>65.52212765957448</v>
      </c>
      <c r="M431" s="225" t="s">
        <v>64</v>
      </c>
      <c r="N431" s="188"/>
      <c r="O431" s="188"/>
      <c r="P431" s="188"/>
      <c r="Q431" s="7">
        <v>65.52212765957448</v>
      </c>
      <c r="R431" s="157">
        <v>3753.9112489353211</v>
      </c>
      <c r="S431" s="7">
        <v>65.52212765957448</v>
      </c>
      <c r="T431" s="157">
        <v>3753.9112489353211</v>
      </c>
      <c r="U431" s="228" t="s">
        <v>64</v>
      </c>
      <c r="V431" s="7"/>
      <c r="W431" s="7">
        <v>25.434088921496706</v>
      </c>
      <c r="X431" s="157">
        <v>1457.176619857154</v>
      </c>
      <c r="Y431" s="7">
        <v>7.6654435216434349</v>
      </c>
      <c r="Z431" s="157">
        <v>439.17063886387433</v>
      </c>
      <c r="AA431" s="188"/>
      <c r="AB431" s="214"/>
      <c r="AC431" s="7">
        <v>11.146000763022746</v>
      </c>
      <c r="AD431" s="176">
        <v>638.57965453047473</v>
      </c>
      <c r="AE431" s="1117"/>
      <c r="AF431" s="1118"/>
      <c r="AG431" s="211">
        <v>65.52212765957448</v>
      </c>
      <c r="AH431" s="157">
        <v>7507.8224978706421</v>
      </c>
      <c r="AI431" s="177">
        <f t="shared" si="12"/>
        <v>7507.8224978706421</v>
      </c>
      <c r="AJ431" s="976"/>
      <c r="AK431" s="982"/>
      <c r="AL431" s="1304"/>
      <c r="AM431" s="151"/>
      <c r="AN431" s="90"/>
      <c r="AO431" s="128"/>
      <c r="AP431" s="106"/>
    </row>
    <row r="432" spans="1:42" s="69" customFormat="1" ht="15" customHeight="1">
      <c r="A432" s="1027"/>
      <c r="B432" s="669"/>
      <c r="C432" s="611"/>
      <c r="D432" s="223" t="s">
        <v>812</v>
      </c>
      <c r="E432" s="225" t="s">
        <v>64</v>
      </c>
      <c r="F432" s="228" t="s">
        <v>64</v>
      </c>
      <c r="G432" s="6">
        <v>195.64683785766695</v>
      </c>
      <c r="H432" s="225" t="s">
        <v>64</v>
      </c>
      <c r="I432" s="638" t="s">
        <v>64</v>
      </c>
      <c r="J432" s="990"/>
      <c r="K432" s="1215"/>
      <c r="L432" s="210">
        <v>17.314746881878211</v>
      </c>
      <c r="M432" s="225" t="s">
        <v>64</v>
      </c>
      <c r="N432" s="197"/>
      <c r="O432" s="197"/>
      <c r="P432" s="197"/>
      <c r="Q432" s="24">
        <v>17.314746881878211</v>
      </c>
      <c r="R432" s="159">
        <v>992.00110579517195</v>
      </c>
      <c r="S432" s="24">
        <v>17.314746881878211</v>
      </c>
      <c r="T432" s="159">
        <v>992.00110579517195</v>
      </c>
      <c r="U432" s="228" t="s">
        <v>64</v>
      </c>
      <c r="V432" s="24"/>
      <c r="W432" s="24">
        <v>0</v>
      </c>
      <c r="X432" s="159">
        <v>0</v>
      </c>
      <c r="Y432" s="24">
        <v>4.4842259721203233</v>
      </c>
      <c r="Z432" s="159">
        <v>256.91147282288512</v>
      </c>
      <c r="AA432" s="197"/>
      <c r="AB432" s="213"/>
      <c r="AC432" s="24">
        <v>4.4020542920029344</v>
      </c>
      <c r="AD432" s="187">
        <v>252.20367096487442</v>
      </c>
      <c r="AE432" s="1117"/>
      <c r="AF432" s="1118"/>
      <c r="AG432" s="210">
        <v>17.314746881878211</v>
      </c>
      <c r="AH432" s="187">
        <v>1984.0022115903439</v>
      </c>
      <c r="AI432" s="177">
        <f t="shared" si="12"/>
        <v>1984.0022115903439</v>
      </c>
      <c r="AJ432" s="976"/>
      <c r="AK432" s="982"/>
      <c r="AL432" s="1304"/>
      <c r="AM432" s="151"/>
      <c r="AN432" s="90"/>
      <c r="AO432" s="128"/>
      <c r="AP432" s="106"/>
    </row>
    <row r="433" spans="1:42" s="69" customFormat="1" ht="15.75" customHeight="1" thickBot="1">
      <c r="A433" s="1028"/>
      <c r="B433" s="670"/>
      <c r="C433" s="527"/>
      <c r="D433" s="224" t="s">
        <v>813</v>
      </c>
      <c r="E433" s="409" t="s">
        <v>64</v>
      </c>
      <c r="F433" s="313" t="s">
        <v>64</v>
      </c>
      <c r="G433" s="705">
        <v>195.64683785766695</v>
      </c>
      <c r="H433" s="409" t="s">
        <v>64</v>
      </c>
      <c r="I433" s="641" t="s">
        <v>64</v>
      </c>
      <c r="J433" s="991"/>
      <c r="K433" s="1216"/>
      <c r="L433" s="199">
        <v>17.608217168011738</v>
      </c>
      <c r="M433" s="226" t="s">
        <v>64</v>
      </c>
      <c r="N433" s="116"/>
      <c r="O433" s="116"/>
      <c r="P433" s="116"/>
      <c r="Q433" s="28">
        <v>17.608217168011738</v>
      </c>
      <c r="R433" s="118">
        <v>1008.8146838594977</v>
      </c>
      <c r="S433" s="28">
        <v>17.608217168011738</v>
      </c>
      <c r="T433" s="118">
        <v>1008.8146838594977</v>
      </c>
      <c r="U433" s="229" t="s">
        <v>64</v>
      </c>
      <c r="V433" s="28"/>
      <c r="W433" s="28">
        <v>0</v>
      </c>
      <c r="X433" s="118">
        <v>0</v>
      </c>
      <c r="Y433" s="28">
        <v>4.7776962582538518</v>
      </c>
      <c r="Z433" s="118">
        <v>273.72505088721033</v>
      </c>
      <c r="AA433" s="116"/>
      <c r="AB433" s="175"/>
      <c r="AC433" s="28">
        <v>4.4020542920029344</v>
      </c>
      <c r="AD433" s="180">
        <v>252.20367096487442</v>
      </c>
      <c r="AE433" s="1119"/>
      <c r="AF433" s="1120"/>
      <c r="AG433" s="199">
        <v>17.608217168011738</v>
      </c>
      <c r="AH433" s="180">
        <v>2017.6293677189954</v>
      </c>
      <c r="AI433" s="180">
        <f t="shared" si="12"/>
        <v>2017.6293677189954</v>
      </c>
      <c r="AJ433" s="977"/>
      <c r="AK433" s="983"/>
      <c r="AL433" s="1305"/>
      <c r="AM433" s="151"/>
      <c r="AN433" s="90"/>
      <c r="AO433" s="128"/>
      <c r="AP433" s="106"/>
    </row>
    <row r="434" spans="1:42" s="69" customFormat="1" ht="12.75" customHeight="1">
      <c r="A434" s="1014" t="s">
        <v>34</v>
      </c>
      <c r="B434" s="465" t="s">
        <v>151</v>
      </c>
      <c r="C434" s="386" t="s">
        <v>151</v>
      </c>
      <c r="D434" s="222" t="s">
        <v>515</v>
      </c>
      <c r="E434" s="240" t="s">
        <v>1</v>
      </c>
      <c r="F434" s="240" t="s">
        <v>0</v>
      </c>
      <c r="G434" s="430">
        <v>7594.0719002201031</v>
      </c>
      <c r="H434" s="320" t="s">
        <v>221</v>
      </c>
      <c r="I434" s="713" t="s">
        <v>221</v>
      </c>
      <c r="J434" s="1000" t="s">
        <v>492</v>
      </c>
      <c r="K434" s="1053" t="s">
        <v>528</v>
      </c>
      <c r="L434" s="209">
        <v>350.16287600880412</v>
      </c>
      <c r="M434" s="120">
        <v>5.88</v>
      </c>
      <c r="N434" s="115"/>
      <c r="O434" s="115"/>
      <c r="P434" s="115"/>
      <c r="Q434" s="626">
        <v>344.28760088041088</v>
      </c>
      <c r="R434" s="117">
        <v>9098.6091682299793</v>
      </c>
      <c r="S434" s="676">
        <v>344.28760088041088</v>
      </c>
      <c r="T434" s="117">
        <v>9098.6091682299793</v>
      </c>
      <c r="U434" s="607" t="s">
        <v>64</v>
      </c>
      <c r="V434" s="120"/>
      <c r="W434" s="120">
        <v>98.722934702861352</v>
      </c>
      <c r="X434" s="117">
        <v>2608.9856169814002</v>
      </c>
      <c r="Y434" s="120">
        <v>18.987011005135731</v>
      </c>
      <c r="Z434" s="117">
        <v>501.77639847279471</v>
      </c>
      <c r="AA434" s="115"/>
      <c r="AB434" s="174"/>
      <c r="AC434" s="120">
        <v>96.758515040352165</v>
      </c>
      <c r="AD434" s="177">
        <v>2557.0712096491279</v>
      </c>
      <c r="AE434" s="941" t="s">
        <v>516</v>
      </c>
      <c r="AF434" s="942"/>
      <c r="AG434" s="209">
        <v>344.28760088041088</v>
      </c>
      <c r="AH434" s="117">
        <v>27295.827504689936</v>
      </c>
      <c r="AI434" s="177">
        <f t="shared" ref="AI434:AI441" si="13">AH434</f>
        <v>27295.827504689936</v>
      </c>
      <c r="AJ434" s="975">
        <v>46198</v>
      </c>
      <c r="AK434" s="981">
        <f>SUM(AI434:AI442)</f>
        <v>78794.073769686962</v>
      </c>
      <c r="AL434" s="1306">
        <f>AK434+AK443</f>
        <v>125900.14176400585</v>
      </c>
      <c r="AM434" s="440"/>
      <c r="AN434" s="89"/>
      <c r="AO434" s="89"/>
    </row>
    <row r="435" spans="1:42" s="69" customFormat="1" ht="12.75" customHeight="1">
      <c r="A435" s="1015"/>
      <c r="B435" s="610"/>
      <c r="C435" s="525"/>
      <c r="D435" s="223" t="s">
        <v>809</v>
      </c>
      <c r="E435" s="225" t="s">
        <v>64</v>
      </c>
      <c r="F435" s="228" t="s">
        <v>64</v>
      </c>
      <c r="G435" s="426">
        <v>2531.3573000733677</v>
      </c>
      <c r="H435" s="320" t="s">
        <v>64</v>
      </c>
      <c r="I435" s="638" t="s">
        <v>64</v>
      </c>
      <c r="J435" s="1001"/>
      <c r="K435" s="1054"/>
      <c r="L435" s="211">
        <v>59.165722670579605</v>
      </c>
      <c r="M435" s="320" t="s">
        <v>64</v>
      </c>
      <c r="N435" s="188"/>
      <c r="O435" s="188"/>
      <c r="P435" s="188"/>
      <c r="Q435" s="482">
        <v>59.165722670579605</v>
      </c>
      <c r="R435" s="157">
        <v>2433.255174435265</v>
      </c>
      <c r="S435" s="633">
        <v>59.165722670579605</v>
      </c>
      <c r="T435" s="157">
        <v>2433.255174435265</v>
      </c>
      <c r="U435" s="607" t="s">
        <v>64</v>
      </c>
      <c r="V435" s="7"/>
      <c r="W435" s="7"/>
      <c r="X435" s="157"/>
      <c r="Y435" s="7">
        <v>9.7919530447542193</v>
      </c>
      <c r="Z435" s="157">
        <v>258.77537709766369</v>
      </c>
      <c r="AA435" s="188"/>
      <c r="AB435" s="214"/>
      <c r="AC435" s="7">
        <v>20.90766837857667</v>
      </c>
      <c r="AD435" s="176">
        <v>552.53428444466965</v>
      </c>
      <c r="AE435" s="943"/>
      <c r="AF435" s="944"/>
      <c r="AG435" s="211">
        <v>59.165722670579605</v>
      </c>
      <c r="AH435" s="157">
        <v>7299.7655233057949</v>
      </c>
      <c r="AI435" s="176">
        <f t="shared" si="13"/>
        <v>7299.7655233057949</v>
      </c>
      <c r="AJ435" s="1003"/>
      <c r="AK435" s="982"/>
      <c r="AL435" s="1307"/>
      <c r="AM435" s="440"/>
      <c r="AN435" s="89"/>
      <c r="AO435" s="89"/>
    </row>
    <row r="436" spans="1:42" s="69" customFormat="1" ht="12.75" customHeight="1">
      <c r="A436" s="1015"/>
      <c r="B436" s="610"/>
      <c r="C436" s="525"/>
      <c r="D436" s="223" t="s">
        <v>810</v>
      </c>
      <c r="E436" s="225" t="s">
        <v>64</v>
      </c>
      <c r="F436" s="228" t="s">
        <v>64</v>
      </c>
      <c r="G436" s="426">
        <v>5062.7146001467354</v>
      </c>
      <c r="H436" s="320" t="s">
        <v>64</v>
      </c>
      <c r="I436" s="638" t="s">
        <v>64</v>
      </c>
      <c r="J436" s="1001"/>
      <c r="K436" s="1054"/>
      <c r="L436" s="211">
        <v>89.542010271460015</v>
      </c>
      <c r="M436" s="320" t="s">
        <v>64</v>
      </c>
      <c r="N436" s="188"/>
      <c r="O436" s="188"/>
      <c r="P436" s="188"/>
      <c r="Q436" s="482">
        <v>89.542010271460015</v>
      </c>
      <c r="R436" s="157">
        <v>4105.681851987445</v>
      </c>
      <c r="S436" s="633">
        <v>89.542010271460015</v>
      </c>
      <c r="T436" s="157">
        <v>4105.681851987445</v>
      </c>
      <c r="U436" s="607" t="s">
        <v>64</v>
      </c>
      <c r="V436" s="7"/>
      <c r="W436" s="7"/>
      <c r="X436" s="157"/>
      <c r="Y436" s="7">
        <v>14.348396184886282</v>
      </c>
      <c r="Z436" s="157">
        <v>379.19009788142068</v>
      </c>
      <c r="AA436" s="188"/>
      <c r="AB436" s="214"/>
      <c r="AC436" s="7">
        <v>33.058183418928834</v>
      </c>
      <c r="AD436" s="176">
        <v>873.64020653468754</v>
      </c>
      <c r="AE436" s="943"/>
      <c r="AF436" s="944"/>
      <c r="AG436" s="211">
        <v>89.542010271460015</v>
      </c>
      <c r="AH436" s="157">
        <v>12317.045555962335</v>
      </c>
      <c r="AI436" s="176">
        <f t="shared" si="13"/>
        <v>12317.045555962335</v>
      </c>
      <c r="AJ436" s="1003"/>
      <c r="AK436" s="982"/>
      <c r="AL436" s="1307"/>
      <c r="AM436" s="440"/>
      <c r="AN436" s="89"/>
      <c r="AO436" s="89"/>
    </row>
    <row r="437" spans="1:42" s="69" customFormat="1" ht="12.75" customHeight="1">
      <c r="A437" s="1015"/>
      <c r="B437" s="610"/>
      <c r="C437" s="525"/>
      <c r="D437" s="223" t="s">
        <v>811</v>
      </c>
      <c r="E437" s="225" t="s">
        <v>64</v>
      </c>
      <c r="F437" s="228" t="s">
        <v>64</v>
      </c>
      <c r="G437" s="426">
        <v>4218.9288334556122</v>
      </c>
      <c r="H437" s="225" t="s">
        <v>64</v>
      </c>
      <c r="I437" s="638" t="s">
        <v>64</v>
      </c>
      <c r="J437" s="1001"/>
      <c r="K437" s="1054"/>
      <c r="L437" s="211">
        <v>68.998385913426262</v>
      </c>
      <c r="M437" s="320" t="s">
        <v>64</v>
      </c>
      <c r="N437" s="188"/>
      <c r="O437" s="188"/>
      <c r="P437" s="188"/>
      <c r="Q437" s="482">
        <v>68.998385913426262</v>
      </c>
      <c r="R437" s="157">
        <v>3272.8809957661815</v>
      </c>
      <c r="S437" s="633">
        <v>68.998385913426262</v>
      </c>
      <c r="T437" s="157">
        <v>3272.8809957661815</v>
      </c>
      <c r="U437" s="607" t="s">
        <v>64</v>
      </c>
      <c r="V437" s="7"/>
      <c r="W437" s="7"/>
      <c r="X437" s="157"/>
      <c r="Y437" s="7">
        <v>11.802435803374909</v>
      </c>
      <c r="Z437" s="157">
        <v>311.90711002495118</v>
      </c>
      <c r="AA437" s="188"/>
      <c r="AB437" s="214"/>
      <c r="AC437" s="7">
        <v>26.425473220836395</v>
      </c>
      <c r="AD437" s="176">
        <v>698.35524807480226</v>
      </c>
      <c r="AE437" s="943"/>
      <c r="AF437" s="944"/>
      <c r="AG437" s="211">
        <v>68.998385913426262</v>
      </c>
      <c r="AH437" s="157">
        <v>9818.6429872985445</v>
      </c>
      <c r="AI437" s="176">
        <f t="shared" si="13"/>
        <v>9818.6429872985445</v>
      </c>
      <c r="AJ437" s="1003"/>
      <c r="AK437" s="982"/>
      <c r="AL437" s="1307"/>
      <c r="AM437" s="440"/>
      <c r="AN437" s="89"/>
      <c r="AO437" s="89"/>
    </row>
    <row r="438" spans="1:42" s="69" customFormat="1" ht="12.75" customHeight="1">
      <c r="A438" s="1015"/>
      <c r="B438" s="610"/>
      <c r="C438" s="525"/>
      <c r="D438" s="223" t="s">
        <v>812</v>
      </c>
      <c r="E438" s="225" t="s">
        <v>64</v>
      </c>
      <c r="F438" s="228" t="s">
        <v>64</v>
      </c>
      <c r="G438" s="426">
        <v>1956.4695524578137</v>
      </c>
      <c r="H438" s="225" t="s">
        <v>64</v>
      </c>
      <c r="I438" s="638" t="s">
        <v>64</v>
      </c>
      <c r="J438" s="1001"/>
      <c r="K438" s="1054"/>
      <c r="L438" s="211">
        <v>67.28297872340427</v>
      </c>
      <c r="M438" s="320" t="s">
        <v>64</v>
      </c>
      <c r="N438" s="188"/>
      <c r="O438" s="188"/>
      <c r="P438" s="188"/>
      <c r="Q438" s="482">
        <v>67.28297872340427</v>
      </c>
      <c r="R438" s="157">
        <v>1778.1108744930712</v>
      </c>
      <c r="S438" s="633">
        <v>67.28297872340427</v>
      </c>
      <c r="T438" s="157">
        <v>1778.1108744930712</v>
      </c>
      <c r="U438" s="607" t="s">
        <v>64</v>
      </c>
      <c r="V438" s="7"/>
      <c r="W438" s="7">
        <v>25.434104181951579</v>
      </c>
      <c r="X438" s="157">
        <v>672.15599081653795</v>
      </c>
      <c r="Y438" s="7">
        <v>7.7300090975788711</v>
      </c>
      <c r="Z438" s="157">
        <v>204.28366129328725</v>
      </c>
      <c r="AA438" s="188"/>
      <c r="AB438" s="214"/>
      <c r="AC438" s="7">
        <v>15.565668672046957</v>
      </c>
      <c r="AD438" s="176">
        <v>411.35938479036537</v>
      </c>
      <c r="AE438" s="943"/>
      <c r="AF438" s="944"/>
      <c r="AG438" s="211">
        <v>67.28297872340427</v>
      </c>
      <c r="AH438" s="157">
        <v>5334.332623479213</v>
      </c>
      <c r="AI438" s="176">
        <f t="shared" si="13"/>
        <v>5334.332623479213</v>
      </c>
      <c r="AJ438" s="1003"/>
      <c r="AK438" s="982"/>
      <c r="AL438" s="1307"/>
      <c r="AM438" s="440"/>
      <c r="AN438" s="89"/>
      <c r="AO438" s="89"/>
    </row>
    <row r="439" spans="1:42" s="69" customFormat="1" ht="12.75" customHeight="1">
      <c r="A439" s="1015"/>
      <c r="B439" s="610"/>
      <c r="C439" s="525"/>
      <c r="D439" s="223" t="s">
        <v>813</v>
      </c>
      <c r="E439" s="225" t="s">
        <v>64</v>
      </c>
      <c r="F439" s="228" t="s">
        <v>64</v>
      </c>
      <c r="G439" s="426">
        <v>3912.9391049156275</v>
      </c>
      <c r="H439" s="225" t="s">
        <v>64</v>
      </c>
      <c r="I439" s="638" t="s">
        <v>64</v>
      </c>
      <c r="J439" s="1001"/>
      <c r="K439" s="1054"/>
      <c r="L439" s="211">
        <v>119.1294203961849</v>
      </c>
      <c r="M439" s="320" t="s">
        <v>64</v>
      </c>
      <c r="N439" s="188"/>
      <c r="O439" s="188"/>
      <c r="P439" s="188"/>
      <c r="Q439" s="482">
        <v>119.1294203961849</v>
      </c>
      <c r="R439" s="157">
        <v>3148.2749708408796</v>
      </c>
      <c r="S439" s="633">
        <v>119.1294203961849</v>
      </c>
      <c r="T439" s="157">
        <v>3148.2749708408796</v>
      </c>
      <c r="U439" s="607" t="s">
        <v>64</v>
      </c>
      <c r="V439" s="7"/>
      <c r="W439" s="7">
        <v>50.868208363903157</v>
      </c>
      <c r="X439" s="157">
        <v>1344.3119816330759</v>
      </c>
      <c r="Y439" s="7">
        <v>11.251654292002936</v>
      </c>
      <c r="Z439" s="157">
        <v>297.35141386788433</v>
      </c>
      <c r="AA439" s="188"/>
      <c r="AB439" s="214"/>
      <c r="AC439" s="7">
        <v>24.956722523844462</v>
      </c>
      <c r="AD439" s="176">
        <v>659.54005832262499</v>
      </c>
      <c r="AE439" s="943"/>
      <c r="AF439" s="944"/>
      <c r="AG439" s="211">
        <v>119.1294203961849</v>
      </c>
      <c r="AH439" s="157">
        <v>9444.8249125226394</v>
      </c>
      <c r="AI439" s="176">
        <f t="shared" si="13"/>
        <v>9444.8249125226394</v>
      </c>
      <c r="AJ439" s="1003"/>
      <c r="AK439" s="982"/>
      <c r="AL439" s="1307"/>
      <c r="AM439" s="440"/>
      <c r="AN439" s="89"/>
      <c r="AO439" s="89"/>
    </row>
    <row r="440" spans="1:42" s="69" customFormat="1" ht="12.75" customHeight="1">
      <c r="A440" s="1015"/>
      <c r="B440" s="610"/>
      <c r="C440" s="525"/>
      <c r="D440" s="223" t="s">
        <v>814</v>
      </c>
      <c r="E440" s="225" t="s">
        <v>64</v>
      </c>
      <c r="F440" s="228" t="s">
        <v>64</v>
      </c>
      <c r="G440" s="426">
        <v>195.64695524578136</v>
      </c>
      <c r="H440" s="225" t="s">
        <v>64</v>
      </c>
      <c r="I440" s="638" t="s">
        <v>64</v>
      </c>
      <c r="J440" s="1001"/>
      <c r="K440" s="1054"/>
      <c r="L440" s="211">
        <v>25.531914893617021</v>
      </c>
      <c r="M440" s="320" t="s">
        <v>64</v>
      </c>
      <c r="N440" s="188"/>
      <c r="O440" s="188"/>
      <c r="P440" s="188"/>
      <c r="Q440" s="482">
        <v>25.531914893617021</v>
      </c>
      <c r="R440" s="157">
        <v>741.95646787705016</v>
      </c>
      <c r="S440" s="633">
        <v>25.531914893617021</v>
      </c>
      <c r="T440" s="157">
        <v>741.95646787705016</v>
      </c>
      <c r="U440" s="607" t="s">
        <v>64</v>
      </c>
      <c r="V440" s="7"/>
      <c r="W440" s="7"/>
      <c r="X440" s="157"/>
      <c r="Y440" s="7">
        <v>4.8422597212032281</v>
      </c>
      <c r="Z440" s="157">
        <v>127.96809580602361</v>
      </c>
      <c r="AA440" s="188"/>
      <c r="AB440" s="214"/>
      <c r="AC440" s="7">
        <v>7.8650036683785762</v>
      </c>
      <c r="AD440" s="176">
        <v>207.85121015766276</v>
      </c>
      <c r="AE440" s="943"/>
      <c r="AF440" s="944"/>
      <c r="AG440" s="211">
        <v>25.531914893617021</v>
      </c>
      <c r="AH440" s="157">
        <v>2225.8694036311504</v>
      </c>
      <c r="AI440" s="176">
        <f t="shared" si="13"/>
        <v>2225.8694036311504</v>
      </c>
      <c r="AJ440" s="1003"/>
      <c r="AK440" s="982"/>
      <c r="AL440" s="1307"/>
      <c r="AM440" s="440"/>
      <c r="AN440" s="89"/>
      <c r="AO440" s="89"/>
    </row>
    <row r="441" spans="1:42" s="69" customFormat="1" ht="12.75" customHeight="1">
      <c r="A441" s="1015"/>
      <c r="B441" s="610"/>
      <c r="C441" s="525"/>
      <c r="D441" s="223" t="s">
        <v>815</v>
      </c>
      <c r="E441" s="225" t="s">
        <v>64</v>
      </c>
      <c r="F441" s="228" t="s">
        <v>64</v>
      </c>
      <c r="G441" s="426">
        <v>391.29391049156271</v>
      </c>
      <c r="H441" s="225" t="s">
        <v>64</v>
      </c>
      <c r="I441" s="639" t="s">
        <v>64</v>
      </c>
      <c r="J441" s="1001"/>
      <c r="K441" s="1054"/>
      <c r="L441" s="211">
        <v>23.066766837857664</v>
      </c>
      <c r="M441" s="320" t="s">
        <v>64</v>
      </c>
      <c r="N441" s="188"/>
      <c r="O441" s="188"/>
      <c r="P441" s="188"/>
      <c r="Q441" s="482">
        <v>23.066766837857664</v>
      </c>
      <c r="R441" s="157">
        <v>744.02473477532033</v>
      </c>
      <c r="S441" s="633">
        <v>23.066766837857664</v>
      </c>
      <c r="T441" s="157">
        <v>744.02473477532033</v>
      </c>
      <c r="U441" s="607" t="s">
        <v>64</v>
      </c>
      <c r="V441" s="7"/>
      <c r="W441" s="7"/>
      <c r="X441" s="157"/>
      <c r="Y441" s="7">
        <v>4.9126929420396186</v>
      </c>
      <c r="Z441" s="157">
        <v>129.8294592336091</v>
      </c>
      <c r="AA441" s="188"/>
      <c r="AB441" s="214"/>
      <c r="AC441" s="7">
        <v>8.0528255906089505</v>
      </c>
      <c r="AD441" s="176">
        <v>212.81484596455749</v>
      </c>
      <c r="AE441" s="943"/>
      <c r="AF441" s="944"/>
      <c r="AG441" s="211">
        <v>23.066766837857664</v>
      </c>
      <c r="AH441" s="157">
        <v>2232.0742043259611</v>
      </c>
      <c r="AI441" s="176">
        <f t="shared" si="13"/>
        <v>2232.0742043259611</v>
      </c>
      <c r="AJ441" s="1003"/>
      <c r="AK441" s="982"/>
      <c r="AL441" s="1307"/>
      <c r="AM441" s="440"/>
      <c r="AN441" s="89"/>
      <c r="AO441" s="89"/>
    </row>
    <row r="442" spans="1:42" s="69" customFormat="1" ht="12.75" customHeight="1" thickBot="1">
      <c r="A442" s="1015"/>
      <c r="B442" s="623"/>
      <c r="C442" s="624"/>
      <c r="D442" s="224" t="s">
        <v>816</v>
      </c>
      <c r="E442" s="409" t="s">
        <v>64</v>
      </c>
      <c r="F442" s="313" t="s">
        <v>64</v>
      </c>
      <c r="G442" s="432">
        <v>586.94086573734398</v>
      </c>
      <c r="H442" s="226" t="s">
        <v>64</v>
      </c>
      <c r="I442" s="641" t="s">
        <v>64</v>
      </c>
      <c r="J442" s="1001"/>
      <c r="K442" s="1055"/>
      <c r="L442" s="199">
        <v>25.414530300807041</v>
      </c>
      <c r="M442" s="226" t="s">
        <v>64</v>
      </c>
      <c r="N442" s="116"/>
      <c r="O442" s="116"/>
      <c r="P442" s="116"/>
      <c r="Q442" s="28">
        <v>25.414530300807041</v>
      </c>
      <c r="R442" s="118">
        <v>671.63870499507834</v>
      </c>
      <c r="S442" s="28">
        <v>25.414530300807041</v>
      </c>
      <c r="T442" s="118">
        <v>671.63870499507834</v>
      </c>
      <c r="U442" s="229" t="s">
        <v>64</v>
      </c>
      <c r="V442" s="28"/>
      <c r="W442" s="28"/>
      <c r="X442" s="118"/>
      <c r="Y442" s="28">
        <v>5.2648574614820252</v>
      </c>
      <c r="Z442" s="118">
        <v>139.13623449106899</v>
      </c>
      <c r="AA442" s="116"/>
      <c r="AB442" s="175"/>
      <c r="AC442" s="28">
        <v>8.9919309757887014</v>
      </c>
      <c r="AD442" s="180">
        <v>237.63291331778345</v>
      </c>
      <c r="AE442" s="943"/>
      <c r="AF442" s="944"/>
      <c r="AG442" s="193">
        <v>25.414530300807041</v>
      </c>
      <c r="AH442" s="118">
        <v>2014.916114985235</v>
      </c>
      <c r="AI442" s="180">
        <f>R442+X442+Z442+AH442</f>
        <v>2825.6910544713824</v>
      </c>
      <c r="AJ442" s="1004"/>
      <c r="AK442" s="983"/>
      <c r="AL442" s="1307"/>
      <c r="AM442" s="440"/>
      <c r="AN442" s="89"/>
      <c r="AO442" s="89"/>
    </row>
    <row r="443" spans="1:42" s="69" customFormat="1" ht="15" customHeight="1">
      <c r="A443" s="1015"/>
      <c r="B443" s="232" t="s">
        <v>151</v>
      </c>
      <c r="C443" s="912" t="s">
        <v>151</v>
      </c>
      <c r="D443" s="222" t="s">
        <v>527</v>
      </c>
      <c r="E443" s="240" t="s">
        <v>0</v>
      </c>
      <c r="F443" s="245" t="s">
        <v>21</v>
      </c>
      <c r="G443" s="426">
        <f>48*3*49.5985</f>
        <v>7142.1840000000002</v>
      </c>
      <c r="H443" s="426">
        <f>48*3*49.5985</f>
        <v>7142.1840000000002</v>
      </c>
      <c r="I443" s="265" t="s">
        <v>21</v>
      </c>
      <c r="J443" s="1001"/>
      <c r="K443" s="1047" t="s">
        <v>529</v>
      </c>
      <c r="L443" s="445">
        <v>559.23585951999996</v>
      </c>
      <c r="M443" s="50">
        <v>447.26</v>
      </c>
      <c r="N443" s="114"/>
      <c r="O443" s="114"/>
      <c r="P443" s="114"/>
      <c r="Q443" s="88">
        <v>111.97585951999997</v>
      </c>
      <c r="R443" s="109">
        <v>524.6722849327515</v>
      </c>
      <c r="S443" s="88">
        <v>111.97585951999997</v>
      </c>
      <c r="T443" s="109">
        <v>524.6722849327515</v>
      </c>
      <c r="U443" s="265" t="s">
        <v>21</v>
      </c>
      <c r="V443" s="114"/>
      <c r="W443" s="747">
        <v>-2.7816079999999914</v>
      </c>
      <c r="X443" s="748">
        <v>-6.5563505464580061</v>
      </c>
      <c r="Y443" s="120">
        <v>10.000620800000007</v>
      </c>
      <c r="Z443" s="117">
        <v>46.858747844171155</v>
      </c>
      <c r="AA443" s="120">
        <v>14.449995520000002</v>
      </c>
      <c r="AB443" s="117">
        <v>67.706666412257334</v>
      </c>
      <c r="AC443" s="120">
        <v>29.801465759999992</v>
      </c>
      <c r="AD443" s="269">
        <v>139.63726826184015</v>
      </c>
      <c r="AE443" s="943"/>
      <c r="AF443" s="944"/>
      <c r="AG443" s="198">
        <v>111.97585951999997</v>
      </c>
      <c r="AH443" s="117">
        <v>1574.0168547982544</v>
      </c>
      <c r="AI443" s="177">
        <f t="shared" ref="AI443:AI452" si="14">AH443</f>
        <v>1574.0168547982544</v>
      </c>
      <c r="AJ443" s="975">
        <v>46205</v>
      </c>
      <c r="AK443" s="978">
        <f>SUM(AI443:AI452)</f>
        <v>47106.067994318888</v>
      </c>
      <c r="AL443" s="1307"/>
      <c r="AM443" s="151"/>
      <c r="AN443" s="90"/>
      <c r="AO443" s="128"/>
      <c r="AP443" s="106"/>
    </row>
    <row r="444" spans="1:42" s="69" customFormat="1" ht="15" customHeight="1">
      <c r="A444" s="1015"/>
      <c r="B444" s="744"/>
      <c r="C444" s="609"/>
      <c r="D444" s="223" t="s">
        <v>809</v>
      </c>
      <c r="E444" s="225" t="s">
        <v>64</v>
      </c>
      <c r="F444" s="245" t="s">
        <v>21</v>
      </c>
      <c r="G444" s="426">
        <f>48*49.5985</f>
        <v>2380.7280000000001</v>
      </c>
      <c r="H444" s="225" t="s">
        <v>64</v>
      </c>
      <c r="I444" s="265" t="s">
        <v>21</v>
      </c>
      <c r="J444" s="1001"/>
      <c r="K444" s="1048"/>
      <c r="L444" s="210">
        <v>83.093155839999994</v>
      </c>
      <c r="M444" s="225" t="s">
        <v>64</v>
      </c>
      <c r="N444" s="197"/>
      <c r="O444" s="197"/>
      <c r="P444" s="197"/>
      <c r="Q444" s="24">
        <v>83.093155839999994</v>
      </c>
      <c r="R444" s="159">
        <v>389.3399534839852</v>
      </c>
      <c r="S444" s="24">
        <v>83.093155839999994</v>
      </c>
      <c r="T444" s="159">
        <v>389.3399534839852</v>
      </c>
      <c r="U444" s="265" t="s">
        <v>21</v>
      </c>
      <c r="V444" s="197"/>
      <c r="W444" s="7">
        <v>0</v>
      </c>
      <c r="X444" s="157">
        <v>0</v>
      </c>
      <c r="Y444" s="24">
        <v>8.0568735999999994</v>
      </c>
      <c r="Z444" s="159">
        <v>37.751157251633735</v>
      </c>
      <c r="AA444" s="24">
        <v>11.04733184</v>
      </c>
      <c r="AB444" s="159">
        <v>51.763200244673122</v>
      </c>
      <c r="AC444" s="24">
        <v>22.785121919999998</v>
      </c>
      <c r="AD444" s="411">
        <v>106.76160050463834</v>
      </c>
      <c r="AE444" s="943"/>
      <c r="AF444" s="944"/>
      <c r="AG444" s="195">
        <v>83.093155839999994</v>
      </c>
      <c r="AH444" s="159">
        <v>1168.0198604519555</v>
      </c>
      <c r="AI444" s="177">
        <f t="shared" si="14"/>
        <v>1168.0198604519555</v>
      </c>
      <c r="AJ444" s="976"/>
      <c r="AK444" s="979"/>
      <c r="AL444" s="1307"/>
      <c r="AM444" s="151"/>
      <c r="AN444" s="90"/>
      <c r="AO444" s="128"/>
      <c r="AP444" s="106"/>
    </row>
    <row r="445" spans="1:42" s="69" customFormat="1" ht="15" customHeight="1">
      <c r="A445" s="1015"/>
      <c r="B445" s="744"/>
      <c r="C445" s="609"/>
      <c r="D445" s="223" t="s">
        <v>810</v>
      </c>
      <c r="E445" s="225" t="s">
        <v>64</v>
      </c>
      <c r="F445" s="245" t="s">
        <v>21</v>
      </c>
      <c r="G445" s="426">
        <f>G450/15</f>
        <v>4333.333333333333</v>
      </c>
      <c r="H445" s="225" t="s">
        <v>64</v>
      </c>
      <c r="I445" s="265" t="s">
        <v>21</v>
      </c>
      <c r="J445" s="1001"/>
      <c r="K445" s="1048"/>
      <c r="L445" s="211">
        <v>169.14666666666665</v>
      </c>
      <c r="M445" s="225" t="s">
        <v>64</v>
      </c>
      <c r="N445" s="188"/>
      <c r="O445" s="188"/>
      <c r="P445" s="188"/>
      <c r="Q445" s="7">
        <v>169.14666666666665</v>
      </c>
      <c r="R445" s="157">
        <v>792.55089864175102</v>
      </c>
      <c r="S445" s="7">
        <v>169.14666666666665</v>
      </c>
      <c r="T445" s="157">
        <v>792.55089864175102</v>
      </c>
      <c r="U445" s="265" t="s">
        <v>21</v>
      </c>
      <c r="V445" s="188"/>
      <c r="W445" s="7">
        <v>56.333333333333336</v>
      </c>
      <c r="X445" s="157">
        <v>263.95455988975255</v>
      </c>
      <c r="Y445" s="7">
        <v>10.399999999999999</v>
      </c>
      <c r="Z445" s="157">
        <v>48.73007259503126</v>
      </c>
      <c r="AA445" s="7">
        <v>15.146666666666667</v>
      </c>
      <c r="AB445" s="157">
        <v>70.970977523019869</v>
      </c>
      <c r="AC445" s="7">
        <v>31.240000000000002</v>
      </c>
      <c r="AD445" s="270">
        <v>146.37764114122857</v>
      </c>
      <c r="AE445" s="943"/>
      <c r="AF445" s="944"/>
      <c r="AG445" s="192">
        <v>169.14666666666665</v>
      </c>
      <c r="AH445" s="157">
        <v>2377.6526959252533</v>
      </c>
      <c r="AI445" s="177">
        <f t="shared" si="14"/>
        <v>2377.6526959252533</v>
      </c>
      <c r="AJ445" s="976"/>
      <c r="AK445" s="979"/>
      <c r="AL445" s="1307"/>
      <c r="AM445" s="151"/>
      <c r="AN445" s="90"/>
      <c r="AO445" s="128"/>
      <c r="AP445" s="106"/>
    </row>
    <row r="446" spans="1:42" s="69" customFormat="1" ht="15" customHeight="1">
      <c r="A446" s="1015"/>
      <c r="B446" s="744"/>
      <c r="C446" s="609"/>
      <c r="D446" s="223" t="s">
        <v>811</v>
      </c>
      <c r="E446" s="225" t="s">
        <v>64</v>
      </c>
      <c r="F446" s="245" t="s">
        <v>21</v>
      </c>
      <c r="G446" s="426">
        <f>G445*10%</f>
        <v>433.33333333333331</v>
      </c>
      <c r="H446" s="225" t="s">
        <v>64</v>
      </c>
      <c r="I446" s="265" t="s">
        <v>21</v>
      </c>
      <c r="J446" s="1001"/>
      <c r="K446" s="1048"/>
      <c r="L446" s="211">
        <v>65.021333333333331</v>
      </c>
      <c r="M446" s="225" t="s">
        <v>64</v>
      </c>
      <c r="N446" s="188"/>
      <c r="O446" s="188"/>
      <c r="P446" s="188"/>
      <c r="Q446" s="7">
        <v>65.021333333333331</v>
      </c>
      <c r="R446" s="157">
        <v>304.66291284221722</v>
      </c>
      <c r="S446" s="7">
        <v>65.021333333333331</v>
      </c>
      <c r="T446" s="157">
        <v>304.66291284221722</v>
      </c>
      <c r="U446" s="265" t="s">
        <v>21</v>
      </c>
      <c r="V446" s="188"/>
      <c r="W446" s="7">
        <v>0</v>
      </c>
      <c r="X446" s="157">
        <v>0</v>
      </c>
      <c r="Y446" s="7">
        <v>5.7200000000000006</v>
      </c>
      <c r="Z446" s="157">
        <v>26.801539927267175</v>
      </c>
      <c r="AA446" s="7">
        <v>8.5546666666666678</v>
      </c>
      <c r="AB446" s="157">
        <v>40.083608432015446</v>
      </c>
      <c r="AC446" s="7">
        <v>17.644000000000002</v>
      </c>
      <c r="AD446" s="270">
        <v>82.672442391031964</v>
      </c>
      <c r="AE446" s="943"/>
      <c r="AF446" s="944"/>
      <c r="AG446" s="192">
        <v>65.021333333333331</v>
      </c>
      <c r="AH446" s="157">
        <v>913.98873852665167</v>
      </c>
      <c r="AI446" s="177">
        <f t="shared" si="14"/>
        <v>913.98873852665167</v>
      </c>
      <c r="AJ446" s="976"/>
      <c r="AK446" s="979"/>
      <c r="AL446" s="1307"/>
      <c r="AM446" s="151"/>
      <c r="AN446" s="90"/>
      <c r="AO446" s="128"/>
      <c r="AP446" s="106"/>
    </row>
    <row r="447" spans="1:42" s="69" customFormat="1" ht="15" customHeight="1">
      <c r="A447" s="1015"/>
      <c r="B447" s="744"/>
      <c r="C447" s="609"/>
      <c r="D447" s="223" t="s">
        <v>812</v>
      </c>
      <c r="E447" s="225" t="s">
        <v>64</v>
      </c>
      <c r="F447" s="245" t="s">
        <v>21</v>
      </c>
      <c r="G447" s="426">
        <v>30000</v>
      </c>
      <c r="H447" s="225" t="s">
        <v>64</v>
      </c>
      <c r="I447" s="265" t="s">
        <v>21</v>
      </c>
      <c r="J447" s="1001"/>
      <c r="K447" s="1048"/>
      <c r="L447" s="211">
        <v>741.00000000000011</v>
      </c>
      <c r="M447" s="225" t="s">
        <v>64</v>
      </c>
      <c r="N447" s="188"/>
      <c r="O447" s="188"/>
      <c r="P447" s="188"/>
      <c r="Q447" s="7">
        <v>741.00000000000011</v>
      </c>
      <c r="R447" s="157">
        <v>3472.0176723959767</v>
      </c>
      <c r="S447" s="7">
        <v>741.00000000000011</v>
      </c>
      <c r="T447" s="157">
        <v>3472.0176723959767</v>
      </c>
      <c r="U447" s="265" t="s">
        <v>21</v>
      </c>
      <c r="V447" s="188"/>
      <c r="W447" s="7">
        <v>390.00000000000006</v>
      </c>
      <c r="X447" s="157">
        <v>1827.3777223136719</v>
      </c>
      <c r="Y447" s="7">
        <v>41.199999999999996</v>
      </c>
      <c r="Z447" s="157">
        <v>193.04605681877769</v>
      </c>
      <c r="AA447" s="7">
        <v>48.000000000000007</v>
      </c>
      <c r="AB447" s="157">
        <v>224.9080273616828</v>
      </c>
      <c r="AC447" s="7">
        <v>99</v>
      </c>
      <c r="AD447" s="270">
        <v>463.87280643347094</v>
      </c>
      <c r="AE447" s="943"/>
      <c r="AF447" s="944"/>
      <c r="AG447" s="192">
        <v>741.00000000000011</v>
      </c>
      <c r="AH447" s="157">
        <v>10416.053017187929</v>
      </c>
      <c r="AI447" s="177">
        <f t="shared" si="14"/>
        <v>10416.053017187929</v>
      </c>
      <c r="AJ447" s="976"/>
      <c r="AK447" s="979"/>
      <c r="AL447" s="1307"/>
      <c r="AM447" s="151"/>
      <c r="AN447" s="90"/>
      <c r="AO447" s="128"/>
      <c r="AP447" s="106"/>
    </row>
    <row r="448" spans="1:42" s="69" customFormat="1" ht="15" customHeight="1">
      <c r="A448" s="1015"/>
      <c r="B448" s="744"/>
      <c r="C448" s="609"/>
      <c r="D448" s="223" t="s">
        <v>813</v>
      </c>
      <c r="E448" s="225" t="s">
        <v>64</v>
      </c>
      <c r="F448" s="245" t="s">
        <v>21</v>
      </c>
      <c r="G448" s="426">
        <f>G447*10%</f>
        <v>3000</v>
      </c>
      <c r="H448" s="225" t="s">
        <v>64</v>
      </c>
      <c r="I448" s="265" t="s">
        <v>21</v>
      </c>
      <c r="J448" s="1001"/>
      <c r="K448" s="1048"/>
      <c r="L448" s="211">
        <v>88.84</v>
      </c>
      <c r="M448" s="225" t="s">
        <v>64</v>
      </c>
      <c r="N448" s="188"/>
      <c r="O448" s="188"/>
      <c r="P448" s="188"/>
      <c r="Q448" s="7">
        <v>88.84</v>
      </c>
      <c r="R448" s="157">
        <v>416.26727397524786</v>
      </c>
      <c r="S448" s="7">
        <v>88.84</v>
      </c>
      <c r="T448" s="157">
        <v>416.26727397524786</v>
      </c>
      <c r="U448" s="265" t="s">
        <v>21</v>
      </c>
      <c r="V448" s="188"/>
      <c r="W448" s="7">
        <v>0</v>
      </c>
      <c r="X448" s="157">
        <v>0</v>
      </c>
      <c r="Y448" s="7">
        <v>8.8000000000000007</v>
      </c>
      <c r="Z448" s="157">
        <v>41.23313834964187</v>
      </c>
      <c r="AA448" s="7">
        <v>11.840000000000002</v>
      </c>
      <c r="AB448" s="157">
        <v>55.477313415881731</v>
      </c>
      <c r="AC448" s="7">
        <v>24.42</v>
      </c>
      <c r="AD448" s="270">
        <v>114.4219589202561</v>
      </c>
      <c r="AE448" s="943"/>
      <c r="AF448" s="944"/>
      <c r="AG448" s="192">
        <v>88.84</v>
      </c>
      <c r="AH448" s="157">
        <v>1248.8018219257435</v>
      </c>
      <c r="AI448" s="177">
        <f t="shared" si="14"/>
        <v>1248.8018219257435</v>
      </c>
      <c r="AJ448" s="976"/>
      <c r="AK448" s="979"/>
      <c r="AL448" s="1307"/>
      <c r="AM448" s="151"/>
      <c r="AN448" s="90"/>
      <c r="AO448" s="128"/>
      <c r="AP448" s="106"/>
    </row>
    <row r="449" spans="1:42" s="69" customFormat="1" ht="15" customHeight="1">
      <c r="A449" s="1015"/>
      <c r="B449" s="744"/>
      <c r="C449" s="609"/>
      <c r="D449" s="223" t="s">
        <v>814</v>
      </c>
      <c r="E449" s="225" t="s">
        <v>64</v>
      </c>
      <c r="F449" s="245" t="s">
        <v>21</v>
      </c>
      <c r="G449" s="427">
        <v>3333.33</v>
      </c>
      <c r="H449" s="225" t="s">
        <v>64</v>
      </c>
      <c r="I449" s="265" t="s">
        <v>21</v>
      </c>
      <c r="J449" s="1001"/>
      <c r="K449" s="1048"/>
      <c r="L449" s="211">
        <v>146.8665924</v>
      </c>
      <c r="M449" s="225" t="s">
        <v>64</v>
      </c>
      <c r="N449" s="188"/>
      <c r="O449" s="188"/>
      <c r="P449" s="188"/>
      <c r="Q449" s="7">
        <v>146.8665924</v>
      </c>
      <c r="R449" s="157">
        <v>688.15574129200616</v>
      </c>
      <c r="S449" s="7">
        <v>146.8665924</v>
      </c>
      <c r="T449" s="157">
        <v>688.15574129200616</v>
      </c>
      <c r="U449" s="265" t="s">
        <v>21</v>
      </c>
      <c r="V449" s="188"/>
      <c r="W449" s="7">
        <v>43.333290000000005</v>
      </c>
      <c r="X449" s="157">
        <v>203.04176610399441</v>
      </c>
      <c r="Y449" s="7">
        <v>9.1999959999999987</v>
      </c>
      <c r="Z449" s="157">
        <v>43.107353168653617</v>
      </c>
      <c r="AA449" s="7">
        <v>13.866662399999999</v>
      </c>
      <c r="AB449" s="157">
        <v>64.973410134883707</v>
      </c>
      <c r="AC449" s="7">
        <v>28.599991200000002</v>
      </c>
      <c r="AD449" s="270">
        <v>134.00765840319767</v>
      </c>
      <c r="AE449" s="943"/>
      <c r="AF449" s="944"/>
      <c r="AG449" s="192">
        <v>146.8665924</v>
      </c>
      <c r="AH449" s="157">
        <v>2064.4672238760186</v>
      </c>
      <c r="AI449" s="177">
        <f t="shared" si="14"/>
        <v>2064.4672238760186</v>
      </c>
      <c r="AJ449" s="976"/>
      <c r="AK449" s="979"/>
      <c r="AL449" s="1307"/>
      <c r="AM449" s="151"/>
      <c r="AN449" s="90"/>
      <c r="AO449" s="128"/>
      <c r="AP449" s="106"/>
    </row>
    <row r="450" spans="1:42" s="69" customFormat="1" ht="15" customHeight="1">
      <c r="A450" s="1015"/>
      <c r="B450" s="744"/>
      <c r="C450" s="609"/>
      <c r="D450" s="223" t="s">
        <v>815</v>
      </c>
      <c r="E450" s="225" t="s">
        <v>64</v>
      </c>
      <c r="F450" s="245" t="s">
        <v>21</v>
      </c>
      <c r="G450" s="431">
        <v>65000</v>
      </c>
      <c r="H450" s="225" t="s">
        <v>64</v>
      </c>
      <c r="I450" s="265" t="s">
        <v>21</v>
      </c>
      <c r="J450" s="1001"/>
      <c r="K450" s="1048"/>
      <c r="L450" s="211">
        <v>1520.8000000000002</v>
      </c>
      <c r="M450" s="225" t="s">
        <v>64</v>
      </c>
      <c r="N450" s="188"/>
      <c r="O450" s="188"/>
      <c r="P450" s="188"/>
      <c r="Q450" s="7">
        <v>1520.8000000000002</v>
      </c>
      <c r="R450" s="157">
        <v>7125.8360002426462</v>
      </c>
      <c r="S450" s="7">
        <v>1520.8000000000002</v>
      </c>
      <c r="T450" s="157">
        <v>7125.8360002426462</v>
      </c>
      <c r="U450" s="265" t="s">
        <v>21</v>
      </c>
      <c r="V450" s="188"/>
      <c r="W450" s="7">
        <v>845.00000000000011</v>
      </c>
      <c r="X450" s="157">
        <v>3959.3183983462886</v>
      </c>
      <c r="Y450" s="7">
        <v>83.2</v>
      </c>
      <c r="Z450" s="157">
        <v>389.84058076025019</v>
      </c>
      <c r="AA450" s="7">
        <v>92.800000000000011</v>
      </c>
      <c r="AB450" s="157">
        <v>434.8221862325862</v>
      </c>
      <c r="AC450" s="7">
        <v>191.4</v>
      </c>
      <c r="AD450" s="270">
        <v>896.82075910471053</v>
      </c>
      <c r="AE450" s="943"/>
      <c r="AF450" s="944"/>
      <c r="AG450" s="192">
        <v>1520.8000000000002</v>
      </c>
      <c r="AH450" s="157">
        <v>21377.508000727939</v>
      </c>
      <c r="AI450" s="177">
        <f t="shared" si="14"/>
        <v>21377.508000727939</v>
      </c>
      <c r="AJ450" s="976"/>
      <c r="AK450" s="979"/>
      <c r="AL450" s="1307"/>
      <c r="AM450" s="151"/>
      <c r="AN450" s="90"/>
      <c r="AO450" s="128"/>
      <c r="AP450" s="106"/>
    </row>
    <row r="451" spans="1:42" s="69" customFormat="1" ht="15" customHeight="1">
      <c r="A451" s="1015"/>
      <c r="B451" s="744"/>
      <c r="C451" s="609"/>
      <c r="D451" s="223" t="s">
        <v>816</v>
      </c>
      <c r="E451" s="225" t="s">
        <v>64</v>
      </c>
      <c r="F451" s="245" t="s">
        <v>21</v>
      </c>
      <c r="G451" s="431">
        <v>26000</v>
      </c>
      <c r="H451" s="225" t="s">
        <v>64</v>
      </c>
      <c r="I451" s="265" t="s">
        <v>21</v>
      </c>
      <c r="J451" s="1001"/>
      <c r="K451" s="1048"/>
      <c r="L451" s="211">
        <v>302.27999999999997</v>
      </c>
      <c r="M451" s="225" t="s">
        <v>64</v>
      </c>
      <c r="N451" s="188"/>
      <c r="O451" s="188"/>
      <c r="P451" s="188"/>
      <c r="Q451" s="7">
        <v>302.27999999999997</v>
      </c>
      <c r="R451" s="157">
        <v>1416.3583023101976</v>
      </c>
      <c r="S451" s="7">
        <v>302.27999999999997</v>
      </c>
      <c r="T451" s="157">
        <v>1416.3583023101976</v>
      </c>
      <c r="U451" s="265" t="s">
        <v>21</v>
      </c>
      <c r="V451" s="188"/>
      <c r="W451" s="7">
        <v>0</v>
      </c>
      <c r="X451" s="157">
        <v>0</v>
      </c>
      <c r="Y451" s="7">
        <v>36.4</v>
      </c>
      <c r="Z451" s="157">
        <v>170.55525408260922</v>
      </c>
      <c r="AA451" s="7">
        <v>41.28</v>
      </c>
      <c r="AB451" s="157">
        <v>193.42090353104714</v>
      </c>
      <c r="AC451" s="7">
        <v>85.14</v>
      </c>
      <c r="AD451" s="270">
        <v>398.93061353278466</v>
      </c>
      <c r="AE451" s="943"/>
      <c r="AF451" s="944"/>
      <c r="AG451" s="192">
        <v>302.27999999999997</v>
      </c>
      <c r="AH451" s="157">
        <v>4249.074906930593</v>
      </c>
      <c r="AI451" s="177">
        <f t="shared" si="14"/>
        <v>4249.074906930593</v>
      </c>
      <c r="AJ451" s="976"/>
      <c r="AK451" s="979"/>
      <c r="AL451" s="1307"/>
      <c r="AM451" s="151"/>
      <c r="AN451" s="90"/>
      <c r="AO451" s="128"/>
      <c r="AP451" s="106"/>
    </row>
    <row r="452" spans="1:42" s="69" customFormat="1" ht="15" customHeight="1" thickBot="1">
      <c r="A452" s="1016"/>
      <c r="B452" s="745"/>
      <c r="C452" s="746"/>
      <c r="D452" s="224" t="s">
        <v>820</v>
      </c>
      <c r="E452" s="226" t="s">
        <v>64</v>
      </c>
      <c r="F452" s="246" t="s">
        <v>21</v>
      </c>
      <c r="G452" s="429">
        <v>2222.2199999999998</v>
      </c>
      <c r="H452" s="226" t="s">
        <v>64</v>
      </c>
      <c r="I452" s="266" t="s">
        <v>21</v>
      </c>
      <c r="J452" s="1002"/>
      <c r="K452" s="1049"/>
      <c r="L452" s="547">
        <v>122.1110616</v>
      </c>
      <c r="M452" s="226" t="s">
        <v>64</v>
      </c>
      <c r="N452" s="116"/>
      <c r="O452" s="116"/>
      <c r="P452" s="116"/>
      <c r="Q452" s="28">
        <v>122.1110616</v>
      </c>
      <c r="R452" s="118">
        <v>572.16162465618606</v>
      </c>
      <c r="S452" s="28">
        <v>122.1110616</v>
      </c>
      <c r="T452" s="118">
        <v>572.16162465618606</v>
      </c>
      <c r="U452" s="266" t="s">
        <v>21</v>
      </c>
      <c r="V452" s="116"/>
      <c r="W452" s="28">
        <v>28.888860000000001</v>
      </c>
      <c r="X452" s="118">
        <v>135.361177402663</v>
      </c>
      <c r="Y452" s="28">
        <v>7.8666640000000001</v>
      </c>
      <c r="Z452" s="118">
        <v>36.859914211607588</v>
      </c>
      <c r="AA452" s="28">
        <v>12.444441599999999</v>
      </c>
      <c r="AB452" s="118">
        <v>58.309475247367985</v>
      </c>
      <c r="AC452" s="28">
        <v>25.666660800000002</v>
      </c>
      <c r="AD452" s="571">
        <v>120.26329269769643</v>
      </c>
      <c r="AE452" s="945"/>
      <c r="AF452" s="946"/>
      <c r="AG452" s="749">
        <v>122.1110616</v>
      </c>
      <c r="AH452" s="118">
        <v>1716.4848739685581</v>
      </c>
      <c r="AI452" s="180">
        <f t="shared" si="14"/>
        <v>1716.4848739685581</v>
      </c>
      <c r="AJ452" s="977"/>
      <c r="AK452" s="980"/>
      <c r="AL452" s="1308"/>
      <c r="AM452" s="151"/>
      <c r="AN452" s="90"/>
      <c r="AO452" s="128"/>
      <c r="AP452" s="106"/>
    </row>
    <row r="453" spans="1:42" s="69" customFormat="1">
      <c r="A453" s="66"/>
      <c r="B453" s="66"/>
      <c r="C453" s="67"/>
      <c r="D453" s="128"/>
      <c r="E453" s="128"/>
      <c r="F453" s="128"/>
      <c r="G453" s="59"/>
      <c r="H453" s="59"/>
      <c r="I453" s="59"/>
      <c r="J453" s="59"/>
      <c r="K453" s="59"/>
      <c r="L453" s="61"/>
      <c r="M453" s="60"/>
      <c r="N453" s="61"/>
      <c r="O453" s="61"/>
      <c r="P453" s="61"/>
      <c r="Q453" s="61"/>
      <c r="R453" s="160"/>
      <c r="S453" s="61"/>
      <c r="T453" s="160"/>
      <c r="U453" s="61"/>
      <c r="V453" s="61"/>
      <c r="W453" s="61"/>
      <c r="X453" s="151"/>
      <c r="Y453" s="60"/>
      <c r="Z453" s="151"/>
      <c r="AA453" s="60"/>
      <c r="AB453" s="60"/>
      <c r="AC453" s="60"/>
      <c r="AD453" s="60"/>
      <c r="AE453" s="60"/>
      <c r="AF453" s="60"/>
      <c r="AG453" s="60"/>
      <c r="AH453" s="151"/>
      <c r="AI453" s="151"/>
      <c r="AJ453" s="60"/>
      <c r="AM453" s="151"/>
      <c r="AN453" s="90"/>
      <c r="AO453" s="128"/>
      <c r="AP453" s="106"/>
    </row>
    <row r="454" spans="1:42" s="144" customFormat="1">
      <c r="A454" s="139"/>
      <c r="B454" s="139"/>
      <c r="C454" s="140"/>
      <c r="D454" s="141"/>
      <c r="E454" s="141"/>
      <c r="F454" s="141"/>
      <c r="G454" s="142"/>
      <c r="H454" s="142"/>
      <c r="I454" s="142"/>
      <c r="J454" s="141"/>
      <c r="K454" s="141"/>
      <c r="L454" s="143"/>
      <c r="M454" s="137"/>
      <c r="N454" s="143"/>
      <c r="O454" s="143"/>
      <c r="P454" s="143"/>
      <c r="Q454" s="143"/>
      <c r="R454" s="169"/>
      <c r="S454" s="143"/>
      <c r="T454" s="169"/>
      <c r="U454" s="143"/>
      <c r="V454" s="143"/>
      <c r="W454" s="143"/>
      <c r="X454" s="155"/>
      <c r="Y454" s="137"/>
      <c r="Z454" s="155"/>
      <c r="AA454" s="137"/>
      <c r="AB454" s="137"/>
      <c r="AC454" s="137"/>
      <c r="AD454" s="137"/>
      <c r="AE454" s="137"/>
      <c r="AF454" s="137"/>
      <c r="AG454" s="137"/>
      <c r="AH454" s="155"/>
      <c r="AI454" s="155"/>
      <c r="AJ454" s="137"/>
      <c r="AM454" s="851"/>
      <c r="AN454" s="141"/>
      <c r="AO454" s="145"/>
    </row>
    <row r="455" spans="1:42" s="69" customFormat="1" ht="13.5" thickBot="1">
      <c r="A455" s="66"/>
      <c r="B455" s="70"/>
      <c r="C455" s="71"/>
      <c r="D455" s="63"/>
      <c r="E455" s="63"/>
      <c r="F455" s="63"/>
      <c r="G455" s="59"/>
      <c r="H455" s="62"/>
      <c r="I455" s="59"/>
      <c r="J455" s="128"/>
      <c r="K455" s="128"/>
      <c r="L455" s="65"/>
      <c r="M455" s="64"/>
      <c r="N455" s="65"/>
      <c r="O455" s="65"/>
      <c r="P455" s="65"/>
      <c r="Q455" s="65"/>
      <c r="R455" s="168"/>
      <c r="S455" s="65"/>
      <c r="T455" s="168"/>
      <c r="U455" s="65"/>
      <c r="V455" s="65"/>
      <c r="W455" s="65"/>
      <c r="X455" s="152"/>
      <c r="Y455" s="64"/>
      <c r="Z455" s="152"/>
      <c r="AA455" s="64"/>
      <c r="AB455" s="64"/>
      <c r="AC455" s="64"/>
      <c r="AD455" s="64"/>
      <c r="AE455" s="64"/>
      <c r="AF455" s="64"/>
      <c r="AG455" s="64"/>
      <c r="AH455" s="152"/>
      <c r="AI455" s="152"/>
      <c r="AJ455" s="60"/>
      <c r="AM455" s="850"/>
      <c r="AN455" s="128"/>
      <c r="AO455" s="106"/>
    </row>
    <row r="456" spans="1:42" s="69" customFormat="1" ht="12.75" customHeight="1">
      <c r="A456" s="997" t="s">
        <v>645</v>
      </c>
      <c r="B456" s="824">
        <v>7611</v>
      </c>
      <c r="C456" s="525">
        <v>31629</v>
      </c>
      <c r="D456" s="223" t="s">
        <v>641</v>
      </c>
      <c r="E456" s="223" t="s">
        <v>646</v>
      </c>
      <c r="F456" s="594" t="s">
        <v>151</v>
      </c>
      <c r="G456" s="49">
        <v>5089.303008070433</v>
      </c>
      <c r="H456" s="49">
        <v>424.11</v>
      </c>
      <c r="I456" s="710" t="s">
        <v>151</v>
      </c>
      <c r="J456" s="1255" t="s">
        <v>648</v>
      </c>
      <c r="K456" s="1258" t="s">
        <v>649</v>
      </c>
      <c r="L456" s="630">
        <v>139.40466617754953</v>
      </c>
      <c r="M456" s="598">
        <v>13.19</v>
      </c>
      <c r="N456" s="598"/>
      <c r="O456" s="598"/>
      <c r="P456" s="598"/>
      <c r="Q456" s="598">
        <v>126.21317681584739</v>
      </c>
      <c r="R456" s="603"/>
      <c r="S456" s="598">
        <v>126.21317681584739</v>
      </c>
      <c r="T456" s="603"/>
      <c r="U456" s="721" t="s">
        <v>151</v>
      </c>
      <c r="V456" s="598"/>
      <c r="W456" s="598">
        <v>60.649567131327963</v>
      </c>
      <c r="X456" s="603">
        <v>50585.335047120803</v>
      </c>
      <c r="Y456" s="598">
        <v>9.0690242112986059</v>
      </c>
      <c r="Z456" s="603">
        <v>7564.1039166134933</v>
      </c>
      <c r="AA456" s="600"/>
      <c r="AB456" s="600"/>
      <c r="AC456" s="598">
        <v>19.297549523110785</v>
      </c>
      <c r="AD456" s="627">
        <v>16095.300500681278</v>
      </c>
      <c r="AE456" s="941" t="s">
        <v>650</v>
      </c>
      <c r="AF456" s="942"/>
      <c r="AG456" s="630">
        <v>126.21317681584739</v>
      </c>
      <c r="AH456" s="603">
        <v>315807.81884723122</v>
      </c>
      <c r="AI456" s="177">
        <f t="shared" ref="AI456:AI481" si="15">AH456</f>
        <v>315807.81884723122</v>
      </c>
      <c r="AJ456" s="975">
        <v>46240</v>
      </c>
      <c r="AK456" s="981">
        <f>SUM(AI456:AI470)</f>
        <v>2592095.3321262272</v>
      </c>
      <c r="AL456" s="1303">
        <f>AK456+AK471</f>
        <v>2699863.9618878034</v>
      </c>
      <c r="AM456" s="440"/>
      <c r="AN456" s="90"/>
      <c r="AO456" s="128"/>
    </row>
    <row r="457" spans="1:42" s="69" customFormat="1" ht="15" customHeight="1">
      <c r="A457" s="998"/>
      <c r="B457" s="589"/>
      <c r="C457" s="525"/>
      <c r="D457" s="223" t="s">
        <v>809</v>
      </c>
      <c r="E457" s="320" t="s">
        <v>64</v>
      </c>
      <c r="F457" s="515" t="s">
        <v>151</v>
      </c>
      <c r="G457" s="120">
        <v>1696.4343360234777</v>
      </c>
      <c r="H457" s="320" t="s">
        <v>64</v>
      </c>
      <c r="I457" s="711" t="s">
        <v>151</v>
      </c>
      <c r="J457" s="1256"/>
      <c r="K457" s="1259"/>
      <c r="L457" s="631">
        <v>22.246808510638299</v>
      </c>
      <c r="M457" s="225" t="s">
        <v>64</v>
      </c>
      <c r="N457" s="595"/>
      <c r="O457" s="595"/>
      <c r="P457" s="595"/>
      <c r="Q457" s="595">
        <v>22.246808510638299</v>
      </c>
      <c r="R457" s="604"/>
      <c r="S457" s="595">
        <v>22.246808510638299</v>
      </c>
      <c r="T457" s="604"/>
      <c r="U457" s="721" t="s">
        <v>151</v>
      </c>
      <c r="V457" s="595"/>
      <c r="W457" s="595">
        <v>0</v>
      </c>
      <c r="X457" s="604">
        <v>0</v>
      </c>
      <c r="Y457" s="595">
        <v>3.560058694057227</v>
      </c>
      <c r="Z457" s="604">
        <v>2969.3000353382258</v>
      </c>
      <c r="AA457" s="601"/>
      <c r="AB457" s="601"/>
      <c r="AC457" s="595">
        <v>6.4979603815113718</v>
      </c>
      <c r="AD457" s="628">
        <v>5419.6842379750851</v>
      </c>
      <c r="AE457" s="943"/>
      <c r="AF457" s="944"/>
      <c r="AG457" s="631">
        <v>22.246808510638299</v>
      </c>
      <c r="AH457" s="604">
        <v>55665.472094943289</v>
      </c>
      <c r="AI457" s="177">
        <f t="shared" si="15"/>
        <v>55665.472094943289</v>
      </c>
      <c r="AJ457" s="1003"/>
      <c r="AK457" s="982"/>
      <c r="AL457" s="1304"/>
      <c r="AM457" s="440"/>
      <c r="AN457" s="128"/>
      <c r="AO457" s="128"/>
    </row>
    <row r="458" spans="1:42" s="69" customFormat="1" ht="15" customHeight="1">
      <c r="A458" s="998"/>
      <c r="B458" s="589"/>
      <c r="C458" s="525"/>
      <c r="D458" s="223" t="s">
        <v>810</v>
      </c>
      <c r="E458" s="320" t="s">
        <v>64</v>
      </c>
      <c r="F458" s="515" t="s">
        <v>151</v>
      </c>
      <c r="G458" s="120">
        <v>84.821716801173878</v>
      </c>
      <c r="H458" s="320" t="s">
        <v>64</v>
      </c>
      <c r="I458" s="711" t="s">
        <v>151</v>
      </c>
      <c r="J458" s="1256"/>
      <c r="K458" s="1259"/>
      <c r="L458" s="631">
        <v>6.1628760088041084</v>
      </c>
      <c r="M458" s="225" t="s">
        <v>64</v>
      </c>
      <c r="N458" s="595"/>
      <c r="O458" s="595"/>
      <c r="P458" s="595"/>
      <c r="Q458" s="595">
        <v>6.1628760088041084</v>
      </c>
      <c r="R458" s="604"/>
      <c r="S458" s="595">
        <v>6.1628760088041084</v>
      </c>
      <c r="T458" s="604"/>
      <c r="U458" s="721" t="s">
        <v>151</v>
      </c>
      <c r="V458" s="595"/>
      <c r="W458" s="595">
        <v>0</v>
      </c>
      <c r="X458" s="604">
        <v>0</v>
      </c>
      <c r="Y458" s="595">
        <v>1.1474688187820983</v>
      </c>
      <c r="Z458" s="604">
        <v>957.05703106714748</v>
      </c>
      <c r="AA458" s="601"/>
      <c r="AB458" s="601"/>
      <c r="AC458" s="595">
        <v>1.6727806309611153</v>
      </c>
      <c r="AD458" s="628">
        <v>1395.1982294329259</v>
      </c>
      <c r="AE458" s="943"/>
      <c r="AF458" s="944"/>
      <c r="AG458" s="631">
        <v>6.1628760088041084</v>
      </c>
      <c r="AH458" s="604">
        <v>15420.612009521828</v>
      </c>
      <c r="AI458" s="177">
        <f t="shared" si="15"/>
        <v>15420.612009521828</v>
      </c>
      <c r="AJ458" s="1003"/>
      <c r="AK458" s="982"/>
      <c r="AL458" s="1304"/>
      <c r="AM458" s="440"/>
      <c r="AN458" s="90"/>
      <c r="AO458" s="128"/>
    </row>
    <row r="459" spans="1:42" s="69" customFormat="1" ht="15" customHeight="1">
      <c r="A459" s="998"/>
      <c r="B459" s="589"/>
      <c r="C459" s="525"/>
      <c r="D459" s="223" t="s">
        <v>811</v>
      </c>
      <c r="E459" s="320" t="s">
        <v>64</v>
      </c>
      <c r="F459" s="515" t="s">
        <v>151</v>
      </c>
      <c r="G459" s="120">
        <v>127.23257520176082</v>
      </c>
      <c r="H459" s="320" t="s">
        <v>64</v>
      </c>
      <c r="I459" s="711" t="s">
        <v>151</v>
      </c>
      <c r="J459" s="1256"/>
      <c r="K459" s="1259"/>
      <c r="L459" s="631">
        <v>6.5547909024211304</v>
      </c>
      <c r="M459" s="225" t="s">
        <v>64</v>
      </c>
      <c r="N459" s="595"/>
      <c r="O459" s="595"/>
      <c r="P459" s="595"/>
      <c r="Q459" s="595">
        <v>6.5547909024211304</v>
      </c>
      <c r="R459" s="604"/>
      <c r="S459" s="595">
        <v>6.5547909024211304</v>
      </c>
      <c r="T459" s="604"/>
      <c r="U459" s="721" t="s">
        <v>151</v>
      </c>
      <c r="V459" s="595"/>
      <c r="W459" s="595">
        <v>0</v>
      </c>
      <c r="X459" s="604">
        <v>0</v>
      </c>
      <c r="Y459" s="595">
        <v>1.2062560528246515</v>
      </c>
      <c r="Z459" s="604">
        <v>1006.0890698959942</v>
      </c>
      <c r="AA459" s="601"/>
      <c r="AB459" s="601"/>
      <c r="AC459" s="595">
        <v>1.7903550990462216</v>
      </c>
      <c r="AD459" s="628">
        <v>1493.2623070906209</v>
      </c>
      <c r="AE459" s="943"/>
      <c r="AF459" s="944"/>
      <c r="AG459" s="631">
        <v>6.5547909024211304</v>
      </c>
      <c r="AH459" s="604">
        <v>16401.252786098776</v>
      </c>
      <c r="AI459" s="177">
        <f t="shared" si="15"/>
        <v>16401.252786098776</v>
      </c>
      <c r="AJ459" s="1003"/>
      <c r="AK459" s="982"/>
      <c r="AL459" s="1304"/>
      <c r="AM459" s="440"/>
      <c r="AN459" s="107"/>
      <c r="AO459" s="128"/>
    </row>
    <row r="460" spans="1:42" s="69" customFormat="1" ht="15" customHeight="1">
      <c r="A460" s="998"/>
      <c r="B460" s="589"/>
      <c r="C460" s="525"/>
      <c r="D460" s="223" t="s">
        <v>812</v>
      </c>
      <c r="E460" s="320" t="s">
        <v>64</v>
      </c>
      <c r="F460" s="515" t="s">
        <v>151</v>
      </c>
      <c r="G460" s="123">
        <v>32.607483492296403</v>
      </c>
      <c r="H460" s="320" t="s">
        <v>64</v>
      </c>
      <c r="I460" s="711" t="s">
        <v>151</v>
      </c>
      <c r="J460" s="1256"/>
      <c r="K460" s="1259"/>
      <c r="L460" s="631">
        <v>7.1737138664710205</v>
      </c>
      <c r="M460" s="225" t="s">
        <v>64</v>
      </c>
      <c r="N460" s="595"/>
      <c r="O460" s="595"/>
      <c r="P460" s="595"/>
      <c r="Q460" s="595">
        <v>7.1737138664710205</v>
      </c>
      <c r="R460" s="604"/>
      <c r="S460" s="595">
        <v>7.1737138664710205</v>
      </c>
      <c r="T460" s="604"/>
      <c r="U460" s="721" t="s">
        <v>151</v>
      </c>
      <c r="V460" s="595"/>
      <c r="W460" s="595">
        <v>0.42389728539985327</v>
      </c>
      <c r="X460" s="604">
        <v>353.55546991926326</v>
      </c>
      <c r="Y460" s="595">
        <v>1.1474688187820983</v>
      </c>
      <c r="Z460" s="604">
        <v>957.05703106714748</v>
      </c>
      <c r="AA460" s="601"/>
      <c r="AB460" s="601"/>
      <c r="AC460" s="595">
        <v>1.8488628026412326</v>
      </c>
      <c r="AD460" s="628">
        <v>1542.0612009521817</v>
      </c>
      <c r="AE460" s="943"/>
      <c r="AF460" s="944"/>
      <c r="AG460" s="631">
        <v>7.1737138664710205</v>
      </c>
      <c r="AH460" s="604">
        <v>17949.908134472178</v>
      </c>
      <c r="AI460" s="177">
        <f t="shared" si="15"/>
        <v>17949.908134472178</v>
      </c>
      <c r="AJ460" s="1003"/>
      <c r="AK460" s="982"/>
      <c r="AL460" s="1304"/>
      <c r="AM460" s="440"/>
      <c r="AN460" s="90"/>
      <c r="AO460" s="128"/>
    </row>
    <row r="461" spans="1:42" s="69" customFormat="1" ht="15" customHeight="1">
      <c r="A461" s="998"/>
      <c r="B461" s="589"/>
      <c r="C461" s="525"/>
      <c r="D461" s="223" t="s">
        <v>813</v>
      </c>
      <c r="E461" s="320" t="s">
        <v>64</v>
      </c>
      <c r="F461" s="515" t="s">
        <v>151</v>
      </c>
      <c r="G461" s="19">
        <v>65.214966984592806</v>
      </c>
      <c r="H461" s="320" t="s">
        <v>64</v>
      </c>
      <c r="I461" s="711" t="s">
        <v>151</v>
      </c>
      <c r="J461" s="1256"/>
      <c r="K461" s="1259"/>
      <c r="L461" s="631">
        <v>7.5976111518708729</v>
      </c>
      <c r="M461" s="225" t="s">
        <v>64</v>
      </c>
      <c r="N461" s="595"/>
      <c r="O461" s="595"/>
      <c r="P461" s="595"/>
      <c r="Q461" s="595">
        <v>7.5976111518708729</v>
      </c>
      <c r="R461" s="604"/>
      <c r="S461" s="595">
        <v>7.5976111518708729</v>
      </c>
      <c r="T461" s="604"/>
      <c r="U461" s="721" t="s">
        <v>151</v>
      </c>
      <c r="V461" s="595"/>
      <c r="W461" s="595">
        <v>0.84779457079970655</v>
      </c>
      <c r="X461" s="604">
        <v>707.11093983852652</v>
      </c>
      <c r="Y461" s="595">
        <v>1.1474688187820983</v>
      </c>
      <c r="Z461" s="604">
        <v>957.05703106714748</v>
      </c>
      <c r="AA461" s="601"/>
      <c r="AB461" s="601"/>
      <c r="AC461" s="595">
        <v>1.8488628026412326</v>
      </c>
      <c r="AD461" s="628">
        <v>1542.0612009521817</v>
      </c>
      <c r="AE461" s="943"/>
      <c r="AF461" s="944"/>
      <c r="AG461" s="631">
        <v>7.5976111518708729</v>
      </c>
      <c r="AH461" s="604">
        <v>19010.574544229959</v>
      </c>
      <c r="AI461" s="177">
        <f t="shared" si="15"/>
        <v>19010.574544229959</v>
      </c>
      <c r="AJ461" s="1003"/>
      <c r="AK461" s="982"/>
      <c r="AL461" s="1304"/>
      <c r="AM461" s="440"/>
      <c r="AN461" s="90"/>
      <c r="AO461" s="128"/>
    </row>
    <row r="462" spans="1:42" s="69" customFormat="1" ht="15" customHeight="1">
      <c r="A462" s="998"/>
      <c r="B462" s="589"/>
      <c r="C462" s="525"/>
      <c r="D462" s="223" t="s">
        <v>814</v>
      </c>
      <c r="E462" s="320" t="s">
        <v>64</v>
      </c>
      <c r="F462" s="515" t="s">
        <v>151</v>
      </c>
      <c r="G462" s="514">
        <v>3.2607483492296407</v>
      </c>
      <c r="H462" s="320" t="s">
        <v>64</v>
      </c>
      <c r="I462" s="711" t="s">
        <v>151</v>
      </c>
      <c r="J462" s="1256"/>
      <c r="K462" s="1259"/>
      <c r="L462" s="631">
        <v>6.1628760088041084</v>
      </c>
      <c r="M462" s="225" t="s">
        <v>64</v>
      </c>
      <c r="N462" s="595"/>
      <c r="O462" s="595"/>
      <c r="P462" s="595"/>
      <c r="Q462" s="595">
        <v>6.1628760088041084</v>
      </c>
      <c r="R462" s="604"/>
      <c r="S462" s="595">
        <v>6.1628760088041084</v>
      </c>
      <c r="T462" s="604"/>
      <c r="U462" s="721" t="s">
        <v>151</v>
      </c>
      <c r="V462" s="595"/>
      <c r="W462" s="595">
        <v>0</v>
      </c>
      <c r="X462" s="604">
        <v>0</v>
      </c>
      <c r="Y462" s="595">
        <v>1.1474688187820983</v>
      </c>
      <c r="Z462" s="604">
        <v>957.05703106714748</v>
      </c>
      <c r="AA462" s="601"/>
      <c r="AB462" s="601"/>
      <c r="AC462" s="595">
        <v>1.6727806309611153</v>
      </c>
      <c r="AD462" s="628">
        <v>1395.1982294329259</v>
      </c>
      <c r="AE462" s="943"/>
      <c r="AF462" s="944"/>
      <c r="AG462" s="631">
        <v>6.1628760088041084</v>
      </c>
      <c r="AH462" s="604">
        <v>15420.612009521828</v>
      </c>
      <c r="AI462" s="177">
        <f t="shared" si="15"/>
        <v>15420.612009521828</v>
      </c>
      <c r="AJ462" s="1003"/>
      <c r="AK462" s="982"/>
      <c r="AL462" s="1304"/>
      <c r="AM462" s="440"/>
      <c r="AN462" s="90"/>
      <c r="AO462" s="128"/>
    </row>
    <row r="463" spans="1:42" s="69" customFormat="1" ht="15" customHeight="1">
      <c r="A463" s="998"/>
      <c r="B463" s="589"/>
      <c r="C463" s="525"/>
      <c r="D463" s="223" t="s">
        <v>815</v>
      </c>
      <c r="E463" s="320" t="s">
        <v>64</v>
      </c>
      <c r="F463" s="515" t="s">
        <v>151</v>
      </c>
      <c r="G463" s="514">
        <v>6.5214966984592815</v>
      </c>
      <c r="H463" s="320" t="s">
        <v>64</v>
      </c>
      <c r="I463" s="711" t="s">
        <v>151</v>
      </c>
      <c r="J463" s="1256"/>
      <c r="K463" s="1259"/>
      <c r="L463" s="631">
        <v>6.1628760088041084</v>
      </c>
      <c r="M463" s="225" t="s">
        <v>64</v>
      </c>
      <c r="N463" s="595"/>
      <c r="O463" s="595"/>
      <c r="P463" s="595"/>
      <c r="Q463" s="595">
        <v>6.1628760088041084</v>
      </c>
      <c r="R463" s="604"/>
      <c r="S463" s="595">
        <v>6.1628760088041084</v>
      </c>
      <c r="T463" s="604"/>
      <c r="U463" s="721" t="s">
        <v>151</v>
      </c>
      <c r="V463" s="595"/>
      <c r="W463" s="595">
        <v>0</v>
      </c>
      <c r="X463" s="604">
        <v>0</v>
      </c>
      <c r="Y463" s="595">
        <v>1.1474688187820983</v>
      </c>
      <c r="Z463" s="604">
        <v>957.05703106714748</v>
      </c>
      <c r="AA463" s="601"/>
      <c r="AB463" s="601"/>
      <c r="AC463" s="595">
        <v>1.6727806309611153</v>
      </c>
      <c r="AD463" s="628">
        <v>1395.1982294329259</v>
      </c>
      <c r="AE463" s="943"/>
      <c r="AF463" s="944"/>
      <c r="AG463" s="631">
        <v>6.1628760088041084</v>
      </c>
      <c r="AH463" s="604">
        <v>15420.612009521828</v>
      </c>
      <c r="AI463" s="177">
        <f t="shared" si="15"/>
        <v>15420.612009521828</v>
      </c>
      <c r="AJ463" s="1003"/>
      <c r="AK463" s="982"/>
      <c r="AL463" s="1304"/>
      <c r="AM463" s="440"/>
      <c r="AN463" s="90"/>
      <c r="AO463" s="128"/>
    </row>
    <row r="464" spans="1:42" s="69" customFormat="1" ht="15" customHeight="1">
      <c r="A464" s="998"/>
      <c r="B464" s="589"/>
      <c r="C464" s="525"/>
      <c r="D464" s="223" t="s">
        <v>816</v>
      </c>
      <c r="E464" s="320" t="s">
        <v>64</v>
      </c>
      <c r="F464" s="515" t="s">
        <v>151</v>
      </c>
      <c r="G464" s="514">
        <v>9.7822450476889227</v>
      </c>
      <c r="H464" s="320" t="s">
        <v>64</v>
      </c>
      <c r="I464" s="711" t="s">
        <v>151</v>
      </c>
      <c r="J464" s="1256"/>
      <c r="K464" s="1259"/>
      <c r="L464" s="631">
        <v>6.1628760088041084</v>
      </c>
      <c r="M464" s="225" t="s">
        <v>64</v>
      </c>
      <c r="N464" s="595"/>
      <c r="O464" s="595"/>
      <c r="P464" s="595"/>
      <c r="Q464" s="595">
        <v>6.1628760088041084</v>
      </c>
      <c r="R464" s="604"/>
      <c r="S464" s="595">
        <v>6.1628760088041084</v>
      </c>
      <c r="T464" s="604"/>
      <c r="U464" s="721" t="s">
        <v>151</v>
      </c>
      <c r="V464" s="595"/>
      <c r="W464" s="595">
        <v>0</v>
      </c>
      <c r="X464" s="604">
        <v>0</v>
      </c>
      <c r="Y464" s="595">
        <v>1.1474688187820983</v>
      </c>
      <c r="Z464" s="604">
        <v>957.05703106714748</v>
      </c>
      <c r="AA464" s="601"/>
      <c r="AB464" s="601"/>
      <c r="AC464" s="595">
        <v>1.6727806309611153</v>
      </c>
      <c r="AD464" s="628">
        <v>1395.1982294329259</v>
      </c>
      <c r="AE464" s="943"/>
      <c r="AF464" s="944"/>
      <c r="AG464" s="631">
        <v>6.1628760088041084</v>
      </c>
      <c r="AH464" s="604">
        <v>15420.612009521828</v>
      </c>
      <c r="AI464" s="177">
        <f t="shared" si="15"/>
        <v>15420.612009521828</v>
      </c>
      <c r="AJ464" s="1003"/>
      <c r="AK464" s="982"/>
      <c r="AL464" s="1304"/>
      <c r="AM464" s="440"/>
      <c r="AN464" s="90"/>
      <c r="AO464" s="128"/>
    </row>
    <row r="465" spans="1:41" s="69" customFormat="1" ht="15" customHeight="1">
      <c r="A465" s="998"/>
      <c r="B465" s="589"/>
      <c r="C465" s="525"/>
      <c r="D465" s="223" t="s">
        <v>820</v>
      </c>
      <c r="E465" s="320" t="s">
        <v>64</v>
      </c>
      <c r="F465" s="515" t="s">
        <v>151</v>
      </c>
      <c r="G465" s="514">
        <v>2173.8537539740769</v>
      </c>
      <c r="H465" s="320" t="s">
        <v>64</v>
      </c>
      <c r="I465" s="711" t="s">
        <v>151</v>
      </c>
      <c r="J465" s="1256"/>
      <c r="K465" s="1259"/>
      <c r="L465" s="631">
        <v>55.868042064074345</v>
      </c>
      <c r="M465" s="225" t="s">
        <v>64</v>
      </c>
      <c r="N465" s="595"/>
      <c r="O465" s="595"/>
      <c r="P465" s="595"/>
      <c r="Q465" s="595">
        <v>55.868042064074345</v>
      </c>
      <c r="R465" s="604"/>
      <c r="S465" s="595">
        <v>55.868042064074345</v>
      </c>
      <c r="T465" s="604"/>
      <c r="U465" s="721" t="s">
        <v>151</v>
      </c>
      <c r="V465" s="595"/>
      <c r="W465" s="595">
        <v>28.260098801663002</v>
      </c>
      <c r="X465" s="604">
        <v>23570.59801022787</v>
      </c>
      <c r="Y465" s="595">
        <v>4.2761878209831252</v>
      </c>
      <c r="Z465" s="604">
        <v>3566.5941882232255</v>
      </c>
      <c r="AA465" s="601"/>
      <c r="AB465" s="601"/>
      <c r="AC465" s="595">
        <v>8.1063008070432865</v>
      </c>
      <c r="AD465" s="628">
        <v>6761.1355152643428</v>
      </c>
      <c r="AE465" s="943"/>
      <c r="AF465" s="944"/>
      <c r="AG465" s="631">
        <v>55.868042064074345</v>
      </c>
      <c r="AH465" s="604">
        <v>139791.77889851929</v>
      </c>
      <c r="AI465" s="177">
        <f t="shared" si="15"/>
        <v>139791.77889851929</v>
      </c>
      <c r="AJ465" s="1003"/>
      <c r="AK465" s="982"/>
      <c r="AL465" s="1304"/>
      <c r="AM465" s="440"/>
      <c r="AN465" s="90"/>
      <c r="AO465" s="128"/>
    </row>
    <row r="466" spans="1:41" s="69" customFormat="1" ht="15" customHeight="1">
      <c r="A466" s="998"/>
      <c r="B466" s="589"/>
      <c r="C466" s="525"/>
      <c r="D466" s="223" t="s">
        <v>821</v>
      </c>
      <c r="E466" s="320" t="s">
        <v>64</v>
      </c>
      <c r="F466" s="515" t="s">
        <v>151</v>
      </c>
      <c r="G466" s="514">
        <v>869.54150158963068</v>
      </c>
      <c r="H466" s="320" t="s">
        <v>64</v>
      </c>
      <c r="I466" s="711" t="s">
        <v>151</v>
      </c>
      <c r="J466" s="1256"/>
      <c r="K466" s="1259"/>
      <c r="L466" s="631">
        <v>13.97788016629983</v>
      </c>
      <c r="M466" s="225" t="s">
        <v>64</v>
      </c>
      <c r="N466" s="595"/>
      <c r="O466" s="595"/>
      <c r="P466" s="595"/>
      <c r="Q466" s="595">
        <v>13.97788016629983</v>
      </c>
      <c r="R466" s="604"/>
      <c r="S466" s="595">
        <v>13.97788016629983</v>
      </c>
      <c r="T466" s="604"/>
      <c r="U466" s="721" t="s">
        <v>151</v>
      </c>
      <c r="V466" s="595"/>
      <c r="W466" s="595">
        <v>0</v>
      </c>
      <c r="X466" s="604">
        <v>0</v>
      </c>
      <c r="Y466" s="595">
        <v>2.3197194424064564</v>
      </c>
      <c r="Z466" s="604">
        <v>1934.7835567459128</v>
      </c>
      <c r="AA466" s="601"/>
      <c r="AB466" s="601"/>
      <c r="AC466" s="595">
        <v>4.0172818782098316</v>
      </c>
      <c r="AD466" s="628">
        <v>3350.6512807904573</v>
      </c>
      <c r="AE466" s="943"/>
      <c r="AF466" s="944"/>
      <c r="AG466" s="631">
        <v>13.97788016629983</v>
      </c>
      <c r="AH466" s="604">
        <v>34975.142523097165</v>
      </c>
      <c r="AI466" s="177">
        <f t="shared" si="15"/>
        <v>34975.142523097165</v>
      </c>
      <c r="AJ466" s="1003"/>
      <c r="AK466" s="982"/>
      <c r="AL466" s="1304"/>
      <c r="AM466" s="440"/>
      <c r="AN466" s="90"/>
      <c r="AO466" s="128"/>
    </row>
    <row r="467" spans="1:41" s="69" customFormat="1" ht="15" customHeight="1">
      <c r="A467" s="998"/>
      <c r="B467" s="589"/>
      <c r="C467" s="525"/>
      <c r="D467" s="518" t="s">
        <v>642</v>
      </c>
      <c r="E467" s="320" t="s">
        <v>64</v>
      </c>
      <c r="F467" s="515" t="s">
        <v>151</v>
      </c>
      <c r="G467" s="514">
        <v>5911.8092443140131</v>
      </c>
      <c r="H467" s="320" t="s">
        <v>64</v>
      </c>
      <c r="I467" s="711" t="s">
        <v>151</v>
      </c>
      <c r="J467" s="1256"/>
      <c r="K467" s="1259"/>
      <c r="L467" s="631">
        <v>145.94960234776229</v>
      </c>
      <c r="M467" s="225" t="s">
        <v>64</v>
      </c>
      <c r="N467" s="595"/>
      <c r="O467" s="595"/>
      <c r="P467" s="595"/>
      <c r="Q467" s="595">
        <v>145.94960234776229</v>
      </c>
      <c r="R467" s="604"/>
      <c r="S467" s="595">
        <v>145.94960234776229</v>
      </c>
      <c r="T467" s="604"/>
      <c r="U467" s="1335" t="s">
        <v>652</v>
      </c>
      <c r="V467" s="1336"/>
      <c r="W467" s="595">
        <v>76.853520176082185</v>
      </c>
      <c r="X467" s="604">
        <v>1412896.4413590909</v>
      </c>
      <c r="Y467" s="595">
        <v>9.8831210564930316</v>
      </c>
      <c r="Z467" s="604">
        <v>8243.1089552775247</v>
      </c>
      <c r="AA467" s="601"/>
      <c r="AB467" s="601"/>
      <c r="AC467" s="595">
        <v>20.55274247982392</v>
      </c>
      <c r="AD467" s="628">
        <v>17142.205850007707</v>
      </c>
      <c r="AE467" s="943"/>
      <c r="AF467" s="944"/>
      <c r="AG467" s="631">
        <v>145.94960234776229</v>
      </c>
      <c r="AH467" s="825">
        <v>1778088</v>
      </c>
      <c r="AI467" s="177">
        <f t="shared" si="15"/>
        <v>1778088</v>
      </c>
      <c r="AJ467" s="1003"/>
      <c r="AK467" s="982"/>
      <c r="AL467" s="1304"/>
      <c r="AM467" s="440"/>
      <c r="AN467" s="90"/>
      <c r="AO467" s="128"/>
    </row>
    <row r="468" spans="1:41" s="69" customFormat="1" ht="15" customHeight="1">
      <c r="A468" s="998"/>
      <c r="B468" s="589"/>
      <c r="C468" s="525"/>
      <c r="D468" s="518" t="s">
        <v>643</v>
      </c>
      <c r="E468" s="320" t="s">
        <v>64</v>
      </c>
      <c r="F468" s="515" t="s">
        <v>151</v>
      </c>
      <c r="G468" s="19">
        <v>1183.6771826852532</v>
      </c>
      <c r="H468" s="320" t="s">
        <v>64</v>
      </c>
      <c r="I468" s="711" t="s">
        <v>151</v>
      </c>
      <c r="J468" s="1256"/>
      <c r="K468" s="1260"/>
      <c r="L468" s="595">
        <v>36.028683785766688</v>
      </c>
      <c r="M468" s="225" t="s">
        <v>64</v>
      </c>
      <c r="N468" s="595"/>
      <c r="O468" s="595"/>
      <c r="P468" s="595"/>
      <c r="Q468" s="595">
        <v>36.028683785766688</v>
      </c>
      <c r="R468" s="604"/>
      <c r="S468" s="595">
        <v>36.028683785766688</v>
      </c>
      <c r="T468" s="604"/>
      <c r="U468" s="783" t="s">
        <v>151</v>
      </c>
      <c r="V468" s="595"/>
      <c r="W468" s="595">
        <v>15.387803374908291</v>
      </c>
      <c r="X468" s="604">
        <v>12836.172510340273</v>
      </c>
      <c r="Y468" s="595">
        <v>2.7909229640498898</v>
      </c>
      <c r="Z468" s="604">
        <v>2327.7952325935435</v>
      </c>
      <c r="AA468" s="601"/>
      <c r="AB468" s="601"/>
      <c r="AC468" s="595">
        <v>6.0161819515774031</v>
      </c>
      <c r="AD468" s="628">
        <v>5017.8524616012501</v>
      </c>
      <c r="AE468" s="943"/>
      <c r="AF468" s="944"/>
      <c r="AG468" s="631">
        <v>36.028683785766688</v>
      </c>
      <c r="AH468" s="604">
        <v>90150.175515516748</v>
      </c>
      <c r="AI468" s="176">
        <f t="shared" si="15"/>
        <v>90150.175515516748</v>
      </c>
      <c r="AJ468" s="1003"/>
      <c r="AK468" s="982"/>
      <c r="AL468" s="1304"/>
      <c r="AM468" s="440"/>
      <c r="AN468" s="90"/>
      <c r="AO468" s="128"/>
    </row>
    <row r="469" spans="1:41" s="69" customFormat="1" ht="15" customHeight="1">
      <c r="A469" s="998"/>
      <c r="B469" s="589"/>
      <c r="C469" s="525"/>
      <c r="D469" s="819" t="s">
        <v>853</v>
      </c>
      <c r="E469" s="320" t="s">
        <v>64</v>
      </c>
      <c r="F469" s="515" t="s">
        <v>151</v>
      </c>
      <c r="G469" s="19">
        <v>4075.9677182685255</v>
      </c>
      <c r="H469" s="320" t="s">
        <v>64</v>
      </c>
      <c r="I469" s="711" t="s">
        <v>151</v>
      </c>
      <c r="J469" s="1256"/>
      <c r="K469" s="1260"/>
      <c r="L469" s="1193" t="s">
        <v>653</v>
      </c>
      <c r="M469" s="1194"/>
      <c r="N469" s="1195"/>
      <c r="O469" s="1193" t="s">
        <v>653</v>
      </c>
      <c r="P469" s="1194"/>
      <c r="Q469" s="1195"/>
      <c r="R469" s="1193" t="s">
        <v>653</v>
      </c>
      <c r="S469" s="1194"/>
      <c r="T469" s="1195"/>
      <c r="U469" s="1193" t="s">
        <v>653</v>
      </c>
      <c r="V469" s="1194"/>
      <c r="W469" s="1195"/>
      <c r="X469" s="1193" t="s">
        <v>653</v>
      </c>
      <c r="Y469" s="1194"/>
      <c r="Z469" s="1195"/>
      <c r="AA469" s="1193" t="s">
        <v>653</v>
      </c>
      <c r="AB469" s="1194"/>
      <c r="AC469" s="1194"/>
      <c r="AD469" s="1320"/>
      <c r="AE469" s="943"/>
      <c r="AF469" s="944"/>
      <c r="AG469" s="1193" t="s">
        <v>653</v>
      </c>
      <c r="AH469" s="1194"/>
      <c r="AI469" s="1195"/>
      <c r="AJ469" s="1003"/>
      <c r="AK469" s="982"/>
      <c r="AL469" s="1304"/>
      <c r="AM469" s="440"/>
      <c r="AN469" s="90"/>
      <c r="AO469" s="128"/>
    </row>
    <row r="470" spans="1:41" s="69" customFormat="1" ht="15" customHeight="1" thickBot="1">
      <c r="A470" s="998"/>
      <c r="B470" s="593"/>
      <c r="C470" s="527"/>
      <c r="D470" s="820" t="s">
        <v>854</v>
      </c>
      <c r="E470" s="226" t="s">
        <v>64</v>
      </c>
      <c r="F470" s="516" t="s">
        <v>151</v>
      </c>
      <c r="G470" s="19">
        <v>857.60234776228901</v>
      </c>
      <c r="H470" s="320" t="s">
        <v>64</v>
      </c>
      <c r="I470" s="711" t="s">
        <v>151</v>
      </c>
      <c r="J470" s="1256"/>
      <c r="K470" s="1260"/>
      <c r="L470" s="596">
        <v>25.007319148936173</v>
      </c>
      <c r="M470" s="226" t="s">
        <v>64</v>
      </c>
      <c r="N470" s="596"/>
      <c r="O470" s="596"/>
      <c r="P470" s="596"/>
      <c r="Q470" s="596">
        <v>25.007319148936173</v>
      </c>
      <c r="R470" s="605"/>
      <c r="S470" s="596">
        <v>25.007319148936173</v>
      </c>
      <c r="T470" s="605"/>
      <c r="U470" s="722" t="s">
        <v>151</v>
      </c>
      <c r="V470" s="596"/>
      <c r="W470" s="596">
        <v>11.148830520909758</v>
      </c>
      <c r="X470" s="605">
        <v>9299.7611104804437</v>
      </c>
      <c r="Y470" s="596">
        <v>2.301810711665444</v>
      </c>
      <c r="Z470" s="605">
        <v>1919.8466134559289</v>
      </c>
      <c r="AA470" s="602"/>
      <c r="AB470" s="602"/>
      <c r="AC470" s="596">
        <v>3.9814644167278068</v>
      </c>
      <c r="AD470" s="629">
        <v>3320.7773942104864</v>
      </c>
      <c r="AE470" s="943"/>
      <c r="AF470" s="944"/>
      <c r="AG470" s="632">
        <v>25.007319148936173</v>
      </c>
      <c r="AH470" s="605">
        <v>62572.760744031315</v>
      </c>
      <c r="AI470" s="180">
        <f t="shared" si="15"/>
        <v>62572.760744031315</v>
      </c>
      <c r="AJ470" s="1003"/>
      <c r="AK470" s="983"/>
      <c r="AL470" s="1304"/>
      <c r="AM470" s="440">
        <v>2699864</v>
      </c>
      <c r="AN470" s="107" t="s">
        <v>77</v>
      </c>
      <c r="AO470" s="128"/>
    </row>
    <row r="471" spans="1:41" s="69" customFormat="1" ht="15" customHeight="1">
      <c r="A471" s="998"/>
      <c r="B471" s="744">
        <v>12461</v>
      </c>
      <c r="C471" s="529">
        <v>34978</v>
      </c>
      <c r="D471" s="222" t="s">
        <v>644</v>
      </c>
      <c r="E471" s="222" t="s">
        <v>647</v>
      </c>
      <c r="F471" s="222" t="s">
        <v>0</v>
      </c>
      <c r="G471" s="7">
        <v>2544.6515040352165</v>
      </c>
      <c r="H471" s="49">
        <v>212.06</v>
      </c>
      <c r="I471" s="822">
        <v>212.06</v>
      </c>
      <c r="J471" s="1256"/>
      <c r="K471" s="1260"/>
      <c r="L471" s="598">
        <v>206.19589141599414</v>
      </c>
      <c r="M471" s="598">
        <v>20.51</v>
      </c>
      <c r="N471" s="598">
        <v>20.51</v>
      </c>
      <c r="O471" s="598" t="s">
        <v>651</v>
      </c>
      <c r="P471" s="598">
        <v>1308</v>
      </c>
      <c r="Q471" s="598">
        <v>185.68231841526045</v>
      </c>
      <c r="R471" s="603"/>
      <c r="S471" s="598">
        <v>185.68231841526045</v>
      </c>
      <c r="T471" s="603"/>
      <c r="U471" s="546"/>
      <c r="V471" s="598"/>
      <c r="W471" s="598">
        <v>24.399618488628033</v>
      </c>
      <c r="X471" s="603">
        <v>1556.2377145794742</v>
      </c>
      <c r="Y471" s="598">
        <v>7.2832340425531923</v>
      </c>
      <c r="Z471" s="603">
        <v>464.53363631128474</v>
      </c>
      <c r="AA471" s="600"/>
      <c r="AB471" s="600"/>
      <c r="AC471" s="598">
        <v>47.900584005869405</v>
      </c>
      <c r="AD471" s="627">
        <v>3055.1582359806043</v>
      </c>
      <c r="AE471" s="943"/>
      <c r="AF471" s="944"/>
      <c r="AG471" s="630">
        <v>185.68231841526045</v>
      </c>
      <c r="AH471" s="603">
        <v>36837.293849085669</v>
      </c>
      <c r="AI471" s="177">
        <f t="shared" si="15"/>
        <v>36837.293849085669</v>
      </c>
      <c r="AJ471" s="1003"/>
      <c r="AK471" s="981">
        <f>SUM(AI471:AI483)</f>
        <v>107768.62976157614</v>
      </c>
      <c r="AL471" s="1304"/>
      <c r="AM471" s="440"/>
      <c r="AN471" s="90"/>
      <c r="AO471" s="128"/>
    </row>
    <row r="472" spans="1:41" s="69" customFormat="1" ht="15" customHeight="1">
      <c r="A472" s="998"/>
      <c r="B472" s="821"/>
      <c r="C472" s="525"/>
      <c r="D472" s="223" t="s">
        <v>809</v>
      </c>
      <c r="E472" s="320" t="s">
        <v>64</v>
      </c>
      <c r="F472" s="228" t="s">
        <v>64</v>
      </c>
      <c r="G472" s="7">
        <v>508.9303008070433</v>
      </c>
      <c r="H472" s="320" t="s">
        <v>64</v>
      </c>
      <c r="I472" s="638" t="s">
        <v>64</v>
      </c>
      <c r="J472" s="1256"/>
      <c r="K472" s="1260"/>
      <c r="L472" s="595">
        <v>26.180531181217901</v>
      </c>
      <c r="M472" s="225" t="s">
        <v>64</v>
      </c>
      <c r="N472" s="595"/>
      <c r="O472" s="595"/>
      <c r="P472" s="595"/>
      <c r="Q472" s="595">
        <v>26.180531181217901</v>
      </c>
      <c r="R472" s="604"/>
      <c r="S472" s="595">
        <v>26.180531181217901</v>
      </c>
      <c r="T472" s="604"/>
      <c r="U472" s="228" t="s">
        <v>64</v>
      </c>
      <c r="V472" s="595"/>
      <c r="W472" s="595">
        <v>0</v>
      </c>
      <c r="X472" s="604">
        <v>0</v>
      </c>
      <c r="Y472" s="595">
        <v>5.5352968451944236</v>
      </c>
      <c r="Z472" s="604">
        <v>353.04804933319775</v>
      </c>
      <c r="AA472" s="601"/>
      <c r="AB472" s="601"/>
      <c r="AC472" s="595">
        <v>6.9737484959647835</v>
      </c>
      <c r="AD472" s="628">
        <v>444.79426702800544</v>
      </c>
      <c r="AE472" s="943"/>
      <c r="AF472" s="944"/>
      <c r="AG472" s="631">
        <v>26.180531181217901</v>
      </c>
      <c r="AH472" s="604">
        <v>5009.4795577551049</v>
      </c>
      <c r="AI472" s="176">
        <f t="shared" si="15"/>
        <v>5009.4795577551049</v>
      </c>
      <c r="AJ472" s="1003"/>
      <c r="AK472" s="982"/>
      <c r="AL472" s="1304"/>
      <c r="AM472" s="440"/>
      <c r="AN472" s="740"/>
      <c r="AO472" s="128"/>
    </row>
    <row r="473" spans="1:41" s="69" customFormat="1" ht="15" customHeight="1">
      <c r="A473" s="998"/>
      <c r="B473" s="821"/>
      <c r="C473" s="525"/>
      <c r="D473" s="223" t="s">
        <v>810</v>
      </c>
      <c r="E473" s="320" t="s">
        <v>64</v>
      </c>
      <c r="F473" s="228" t="s">
        <v>64</v>
      </c>
      <c r="G473" s="7">
        <v>1017.8606016140866</v>
      </c>
      <c r="H473" s="320" t="s">
        <v>64</v>
      </c>
      <c r="I473" s="638" t="s">
        <v>64</v>
      </c>
      <c r="J473" s="1256"/>
      <c r="K473" s="1260"/>
      <c r="L473" s="595">
        <v>32.287694790902421</v>
      </c>
      <c r="M473" s="320" t="s">
        <v>64</v>
      </c>
      <c r="N473" s="595"/>
      <c r="O473" s="595"/>
      <c r="P473" s="595"/>
      <c r="Q473" s="595">
        <v>32.287694790902421</v>
      </c>
      <c r="R473" s="604"/>
      <c r="S473" s="595">
        <v>32.287694790902421</v>
      </c>
      <c r="T473" s="604"/>
      <c r="U473" s="228" t="s">
        <v>64</v>
      </c>
      <c r="V473" s="595"/>
      <c r="W473" s="595">
        <v>0</v>
      </c>
      <c r="X473" s="604">
        <v>0</v>
      </c>
      <c r="Y473" s="595">
        <v>6.4513713866471019</v>
      </c>
      <c r="Z473" s="604">
        <v>411.47641170448634</v>
      </c>
      <c r="AA473" s="601"/>
      <c r="AB473" s="601"/>
      <c r="AC473" s="595">
        <v>8.8058975788701392</v>
      </c>
      <c r="AD473" s="628">
        <v>561.65099177058335</v>
      </c>
      <c r="AE473" s="943"/>
      <c r="AF473" s="944"/>
      <c r="AG473" s="631">
        <v>32.287694790902421</v>
      </c>
      <c r="AH473" s="604">
        <v>6178.0468051808903</v>
      </c>
      <c r="AI473" s="176">
        <f t="shared" si="15"/>
        <v>6178.0468051808903</v>
      </c>
      <c r="AJ473" s="1003"/>
      <c r="AK473" s="982"/>
      <c r="AL473" s="1304"/>
      <c r="AM473" s="440"/>
      <c r="AN473" s="90"/>
      <c r="AO473" s="128"/>
    </row>
    <row r="474" spans="1:41" s="69" customFormat="1" ht="15" customHeight="1">
      <c r="A474" s="998"/>
      <c r="B474" s="821"/>
      <c r="C474" s="525"/>
      <c r="D474" s="223" t="s">
        <v>811</v>
      </c>
      <c r="E474" s="320" t="s">
        <v>64</v>
      </c>
      <c r="F474" s="228" t="s">
        <v>64</v>
      </c>
      <c r="G474" s="7">
        <v>1526.7909024211299</v>
      </c>
      <c r="H474" s="320" t="s">
        <v>64</v>
      </c>
      <c r="I474" s="638" t="s">
        <v>64</v>
      </c>
      <c r="J474" s="1256"/>
      <c r="K474" s="1260"/>
      <c r="L474" s="595">
        <v>38.394858400586941</v>
      </c>
      <c r="M474" s="320" t="s">
        <v>64</v>
      </c>
      <c r="N474" s="595"/>
      <c r="O474" s="595"/>
      <c r="P474" s="595"/>
      <c r="Q474" s="595">
        <v>38.394858400586941</v>
      </c>
      <c r="R474" s="604"/>
      <c r="S474" s="595">
        <v>38.394858400586941</v>
      </c>
      <c r="T474" s="604"/>
      <c r="U474" s="228" t="s">
        <v>64</v>
      </c>
      <c r="V474" s="595"/>
      <c r="W474" s="595">
        <v>0</v>
      </c>
      <c r="X474" s="604">
        <v>0</v>
      </c>
      <c r="Y474" s="595">
        <v>7.3674459280997793</v>
      </c>
      <c r="Z474" s="604">
        <v>469.90477407577583</v>
      </c>
      <c r="AA474" s="601"/>
      <c r="AB474" s="601"/>
      <c r="AC474" s="595">
        <v>10.638046661775494</v>
      </c>
      <c r="AD474" s="628">
        <v>678.50771651316211</v>
      </c>
      <c r="AE474" s="943"/>
      <c r="AF474" s="944"/>
      <c r="AG474" s="631">
        <v>38.394858400586941</v>
      </c>
      <c r="AH474" s="604">
        <v>7346.614052606652</v>
      </c>
      <c r="AI474" s="176">
        <f t="shared" si="15"/>
        <v>7346.614052606652</v>
      </c>
      <c r="AJ474" s="1003"/>
      <c r="AK474" s="982"/>
      <c r="AL474" s="1304"/>
      <c r="AM474" s="440"/>
      <c r="AN474" s="90"/>
      <c r="AO474" s="128"/>
    </row>
    <row r="475" spans="1:41" s="69" customFormat="1" ht="15" customHeight="1">
      <c r="A475" s="998"/>
      <c r="B475" s="821"/>
      <c r="C475" s="525"/>
      <c r="D475" s="223" t="s">
        <v>812</v>
      </c>
      <c r="E475" s="320" t="s">
        <v>64</v>
      </c>
      <c r="F475" s="228" t="s">
        <v>64</v>
      </c>
      <c r="G475" s="19">
        <v>163.03741746148202</v>
      </c>
      <c r="H475" s="320" t="s">
        <v>64</v>
      </c>
      <c r="I475" s="638" t="s">
        <v>64</v>
      </c>
      <c r="J475" s="1256"/>
      <c r="K475" s="1260"/>
      <c r="L475" s="595">
        <v>25.910124724871608</v>
      </c>
      <c r="M475" s="320" t="s">
        <v>64</v>
      </c>
      <c r="N475" s="595"/>
      <c r="O475" s="595"/>
      <c r="P475" s="595"/>
      <c r="Q475" s="595">
        <v>25.910124724871608</v>
      </c>
      <c r="R475" s="604"/>
      <c r="S475" s="595">
        <v>25.910124724871608</v>
      </c>
      <c r="T475" s="604"/>
      <c r="U475" s="228" t="s">
        <v>64</v>
      </c>
      <c r="V475" s="595"/>
      <c r="W475" s="595">
        <v>2.1194864269992664</v>
      </c>
      <c r="X475" s="604">
        <v>135.18345439593065</v>
      </c>
      <c r="Y475" s="595">
        <v>4.9126896551724135</v>
      </c>
      <c r="Z475" s="604">
        <v>313.33739603211438</v>
      </c>
      <c r="AA475" s="601"/>
      <c r="AB475" s="601"/>
      <c r="AC475" s="595">
        <v>6.2567806309611154</v>
      </c>
      <c r="AD475" s="628">
        <v>399.06517367434361</v>
      </c>
      <c r="AE475" s="943"/>
      <c r="AF475" s="944"/>
      <c r="AG475" s="631">
        <v>25.910124724871608</v>
      </c>
      <c r="AH475" s="604">
        <v>4957.7389874062646</v>
      </c>
      <c r="AI475" s="176">
        <f t="shared" si="15"/>
        <v>4957.7389874062646</v>
      </c>
      <c r="AJ475" s="1003"/>
      <c r="AK475" s="982"/>
      <c r="AL475" s="1304"/>
      <c r="AM475" s="440"/>
      <c r="AN475" s="90"/>
      <c r="AO475" s="128"/>
    </row>
    <row r="476" spans="1:41" s="69" customFormat="1" ht="15" customHeight="1">
      <c r="A476" s="998"/>
      <c r="B476" s="821"/>
      <c r="C476" s="525"/>
      <c r="D476" s="223" t="s">
        <v>813</v>
      </c>
      <c r="E476" s="320" t="s">
        <v>64</v>
      </c>
      <c r="F476" s="228" t="s">
        <v>64</v>
      </c>
      <c r="G476" s="19">
        <v>260.85986793837122</v>
      </c>
      <c r="H476" s="320" t="s">
        <v>64</v>
      </c>
      <c r="I476" s="638" t="s">
        <v>64</v>
      </c>
      <c r="J476" s="1256"/>
      <c r="K476" s="1260"/>
      <c r="L476" s="595">
        <v>28.355685986793841</v>
      </c>
      <c r="M476" s="320" t="s">
        <v>64</v>
      </c>
      <c r="N476" s="595"/>
      <c r="O476" s="595"/>
      <c r="P476" s="595"/>
      <c r="Q476" s="595">
        <v>28.355685986793841</v>
      </c>
      <c r="R476" s="604"/>
      <c r="S476" s="595">
        <v>28.355685986793841</v>
      </c>
      <c r="T476" s="604"/>
      <c r="U476" s="228" t="s">
        <v>64</v>
      </c>
      <c r="V476" s="595"/>
      <c r="W476" s="595">
        <v>3.3911782831988262</v>
      </c>
      <c r="X476" s="604">
        <v>216.29352703348931</v>
      </c>
      <c r="Y476" s="595">
        <v>5.0887700660308139</v>
      </c>
      <c r="Z476" s="604">
        <v>324.56802147423792</v>
      </c>
      <c r="AA476" s="601"/>
      <c r="AB476" s="601"/>
      <c r="AC476" s="595">
        <v>6.6089414526779171</v>
      </c>
      <c r="AD476" s="628">
        <v>421.52642455859029</v>
      </c>
      <c r="AE476" s="943"/>
      <c r="AF476" s="944"/>
      <c r="AG476" s="631">
        <v>28.355685986793841</v>
      </c>
      <c r="AH476" s="604">
        <v>5425.6817141614138</v>
      </c>
      <c r="AI476" s="176">
        <f t="shared" si="15"/>
        <v>5425.6817141614138</v>
      </c>
      <c r="AJ476" s="1003"/>
      <c r="AK476" s="982"/>
      <c r="AL476" s="1304"/>
      <c r="AM476" s="440"/>
      <c r="AN476" s="90"/>
      <c r="AO476" s="128"/>
    </row>
    <row r="477" spans="1:41" s="69" customFormat="1" ht="15" customHeight="1">
      <c r="A477" s="998"/>
      <c r="B477" s="821"/>
      <c r="C477" s="525"/>
      <c r="D477" s="223" t="s">
        <v>814</v>
      </c>
      <c r="E477" s="320" t="s">
        <v>64</v>
      </c>
      <c r="F477" s="228" t="s">
        <v>64</v>
      </c>
      <c r="G477" s="19">
        <v>3.2607483492296407</v>
      </c>
      <c r="H477" s="320" t="s">
        <v>64</v>
      </c>
      <c r="I477" s="638" t="s">
        <v>64</v>
      </c>
      <c r="J477" s="1256"/>
      <c r="K477" s="1260"/>
      <c r="L477" s="595">
        <v>21.129860601614087</v>
      </c>
      <c r="M477" s="320" t="s">
        <v>64</v>
      </c>
      <c r="N477" s="595"/>
      <c r="O477" s="595"/>
      <c r="P477" s="595"/>
      <c r="Q477" s="595">
        <v>21.129860601614087</v>
      </c>
      <c r="R477" s="604"/>
      <c r="S477" s="595">
        <v>21.129860601614087</v>
      </c>
      <c r="T477" s="604"/>
      <c r="U477" s="228" t="s">
        <v>64</v>
      </c>
      <c r="V477" s="595"/>
      <c r="W477" s="595">
        <v>0</v>
      </c>
      <c r="X477" s="604">
        <v>0</v>
      </c>
      <c r="Y477" s="595">
        <v>4.7776962582538518</v>
      </c>
      <c r="Z477" s="604">
        <v>304.72735093646003</v>
      </c>
      <c r="AA477" s="601"/>
      <c r="AB477" s="601"/>
      <c r="AC477" s="595">
        <v>5.4585473220836391</v>
      </c>
      <c r="AD477" s="628">
        <v>348.1528702345297</v>
      </c>
      <c r="AE477" s="943"/>
      <c r="AF477" s="944"/>
      <c r="AG477" s="631">
        <v>21.129860601614087</v>
      </c>
      <c r="AH477" s="604">
        <v>4043.0655898203536</v>
      </c>
      <c r="AI477" s="176">
        <f t="shared" si="15"/>
        <v>4043.0655898203536</v>
      </c>
      <c r="AJ477" s="1003"/>
      <c r="AK477" s="982"/>
      <c r="AL477" s="1304"/>
      <c r="AM477" s="440"/>
      <c r="AN477" s="90"/>
      <c r="AO477" s="128"/>
    </row>
    <row r="478" spans="1:41" s="69" customFormat="1" ht="15" customHeight="1">
      <c r="A478" s="998"/>
      <c r="B478" s="821"/>
      <c r="C478" s="525"/>
      <c r="D478" s="223" t="s">
        <v>815</v>
      </c>
      <c r="E478" s="320" t="s">
        <v>64</v>
      </c>
      <c r="F478" s="228" t="s">
        <v>64</v>
      </c>
      <c r="G478" s="19">
        <v>26.085986793837126</v>
      </c>
      <c r="H478" s="320" t="s">
        <v>64</v>
      </c>
      <c r="I478" s="638" t="s">
        <v>64</v>
      </c>
      <c r="J478" s="1256"/>
      <c r="K478" s="1260"/>
      <c r="L478" s="595">
        <v>21.129860601614087</v>
      </c>
      <c r="M478" s="320" t="s">
        <v>64</v>
      </c>
      <c r="N478" s="595"/>
      <c r="O478" s="595"/>
      <c r="P478" s="595"/>
      <c r="Q478" s="595">
        <v>21.129860601614087</v>
      </c>
      <c r="R478" s="604"/>
      <c r="S478" s="595">
        <v>21.129860601614087</v>
      </c>
      <c r="T478" s="604"/>
      <c r="U478" s="228" t="s">
        <v>64</v>
      </c>
      <c r="V478" s="595"/>
      <c r="W478" s="595">
        <v>0</v>
      </c>
      <c r="X478" s="604">
        <v>0</v>
      </c>
      <c r="Y478" s="595">
        <v>4.7776962582538518</v>
      </c>
      <c r="Z478" s="604">
        <v>304.72735093646003</v>
      </c>
      <c r="AA478" s="601"/>
      <c r="AB478" s="601"/>
      <c r="AC478" s="595">
        <v>5.4585473220836391</v>
      </c>
      <c r="AD478" s="628">
        <v>348.1528702345297</v>
      </c>
      <c r="AE478" s="943"/>
      <c r="AF478" s="944"/>
      <c r="AG478" s="631">
        <v>21.129860601614087</v>
      </c>
      <c r="AH478" s="604">
        <v>4043.0655898203536</v>
      </c>
      <c r="AI478" s="176">
        <f t="shared" si="15"/>
        <v>4043.0655898203536</v>
      </c>
      <c r="AJ478" s="1003"/>
      <c r="AK478" s="982"/>
      <c r="AL478" s="1304"/>
      <c r="AM478" s="440"/>
      <c r="AN478" s="90"/>
      <c r="AO478" s="128"/>
    </row>
    <row r="479" spans="1:41" s="69" customFormat="1" ht="15" customHeight="1">
      <c r="A479" s="998"/>
      <c r="B479" s="821"/>
      <c r="C479" s="525"/>
      <c r="D479" s="223" t="s">
        <v>816</v>
      </c>
      <c r="E479" s="320" t="s">
        <v>64</v>
      </c>
      <c r="F479" s="228" t="s">
        <v>64</v>
      </c>
      <c r="G479" s="19">
        <v>29.34673514306677</v>
      </c>
      <c r="H479" s="320" t="s">
        <v>64</v>
      </c>
      <c r="I479" s="638" t="s">
        <v>64</v>
      </c>
      <c r="J479" s="1256"/>
      <c r="K479" s="1260"/>
      <c r="L479" s="595">
        <v>21.129860601614087</v>
      </c>
      <c r="M479" s="320" t="s">
        <v>64</v>
      </c>
      <c r="N479" s="595"/>
      <c r="O479" s="595"/>
      <c r="P479" s="595"/>
      <c r="Q479" s="595">
        <v>21.129860601614087</v>
      </c>
      <c r="R479" s="604"/>
      <c r="S479" s="595">
        <v>21.129860601614087</v>
      </c>
      <c r="T479" s="604"/>
      <c r="U479" s="228" t="s">
        <v>64</v>
      </c>
      <c r="V479" s="595"/>
      <c r="W479" s="595">
        <v>0</v>
      </c>
      <c r="X479" s="604">
        <v>0</v>
      </c>
      <c r="Y479" s="595">
        <v>4.7776962582538518</v>
      </c>
      <c r="Z479" s="604">
        <v>304.72735093646003</v>
      </c>
      <c r="AA479" s="601"/>
      <c r="AB479" s="601"/>
      <c r="AC479" s="595">
        <v>5.4585473220836391</v>
      </c>
      <c r="AD479" s="628">
        <v>348.1528702345297</v>
      </c>
      <c r="AE479" s="943"/>
      <c r="AF479" s="944"/>
      <c r="AG479" s="631">
        <v>21.129860601614087</v>
      </c>
      <c r="AH479" s="604">
        <v>4043.0655898203536</v>
      </c>
      <c r="AI479" s="176">
        <f t="shared" si="15"/>
        <v>4043.0655898203536</v>
      </c>
      <c r="AJ479" s="1003"/>
      <c r="AK479" s="982"/>
      <c r="AL479" s="1304"/>
      <c r="AM479" s="440"/>
      <c r="AN479" s="90"/>
      <c r="AO479" s="128"/>
    </row>
    <row r="480" spans="1:41" s="69" customFormat="1" ht="15" customHeight="1">
      <c r="A480" s="998"/>
      <c r="B480" s="821"/>
      <c r="C480" s="525"/>
      <c r="D480" s="223" t="s">
        <v>820</v>
      </c>
      <c r="E480" s="320" t="s">
        <v>64</v>
      </c>
      <c r="F480" s="228" t="s">
        <v>64</v>
      </c>
      <c r="G480" s="19">
        <v>1086.9268769870384</v>
      </c>
      <c r="H480" s="320" t="s">
        <v>64</v>
      </c>
      <c r="I480" s="638" t="s">
        <v>64</v>
      </c>
      <c r="J480" s="1256"/>
      <c r="K480" s="1260"/>
      <c r="L480" s="595">
        <v>49.007361213010512</v>
      </c>
      <c r="M480" s="320" t="s">
        <v>64</v>
      </c>
      <c r="N480" s="595"/>
      <c r="O480" s="595"/>
      <c r="P480" s="595"/>
      <c r="Q480" s="595">
        <v>49.007361213010512</v>
      </c>
      <c r="R480" s="604"/>
      <c r="S480" s="595">
        <v>49.007361213010512</v>
      </c>
      <c r="T480" s="604"/>
      <c r="U480" s="228" t="s">
        <v>64</v>
      </c>
      <c r="V480" s="595"/>
      <c r="W480" s="595">
        <v>14.130049400831501</v>
      </c>
      <c r="X480" s="604">
        <v>901.2319515034194</v>
      </c>
      <c r="Y480" s="595">
        <v>6.5756906823184149</v>
      </c>
      <c r="Z480" s="604">
        <v>419.40564947776591</v>
      </c>
      <c r="AA480" s="601"/>
      <c r="AB480" s="601"/>
      <c r="AC480" s="595">
        <v>9.5827826852531164</v>
      </c>
      <c r="AD480" s="628">
        <v>611.20168056564569</v>
      </c>
      <c r="AE480" s="943"/>
      <c r="AF480" s="944"/>
      <c r="AG480" s="631">
        <v>49.007361213010512</v>
      </c>
      <c r="AH480" s="604">
        <v>9377.249547641768</v>
      </c>
      <c r="AI480" s="176">
        <f t="shared" si="15"/>
        <v>9377.249547641768</v>
      </c>
      <c r="AJ480" s="1003"/>
      <c r="AK480" s="982"/>
      <c r="AL480" s="1304"/>
      <c r="AM480" s="440"/>
      <c r="AN480" s="90"/>
      <c r="AO480" s="128"/>
    </row>
    <row r="481" spans="1:42" s="69" customFormat="1" ht="15" customHeight="1">
      <c r="A481" s="998"/>
      <c r="B481" s="821"/>
      <c r="C481" s="525"/>
      <c r="D481" s="223" t="s">
        <v>821</v>
      </c>
      <c r="E481" s="320" t="s">
        <v>64</v>
      </c>
      <c r="F481" s="228" t="s">
        <v>64</v>
      </c>
      <c r="G481" s="19">
        <v>434.77075079481534</v>
      </c>
      <c r="H481" s="320" t="s">
        <v>64</v>
      </c>
      <c r="I481" s="638" t="s">
        <v>64</v>
      </c>
      <c r="J481" s="1256"/>
      <c r="K481" s="1260"/>
      <c r="L481" s="595">
        <v>25.290616581071166</v>
      </c>
      <c r="M481" s="320" t="s">
        <v>64</v>
      </c>
      <c r="N481" s="595"/>
      <c r="O481" s="595"/>
      <c r="P481" s="595"/>
      <c r="Q481" s="595">
        <v>25.290616581071166</v>
      </c>
      <c r="R481" s="604"/>
      <c r="S481" s="595">
        <v>25.290616581071166</v>
      </c>
      <c r="T481" s="604"/>
      <c r="U481" s="228" t="s">
        <v>64</v>
      </c>
      <c r="V481" s="595"/>
      <c r="W481" s="595">
        <v>0</v>
      </c>
      <c r="X481" s="604">
        <v>0</v>
      </c>
      <c r="Y481" s="595">
        <v>5.4018096551724133</v>
      </c>
      <c r="Z481" s="604">
        <v>344.53407196825202</v>
      </c>
      <c r="AA481" s="601"/>
      <c r="AB481" s="601"/>
      <c r="AC481" s="595">
        <v>6.7067741159207621</v>
      </c>
      <c r="AD481" s="628">
        <v>427.76631229811323</v>
      </c>
      <c r="AE481" s="943"/>
      <c r="AF481" s="944"/>
      <c r="AG481" s="631">
        <v>25.290616581071166</v>
      </c>
      <c r="AH481" s="604">
        <v>4839.2000104561885</v>
      </c>
      <c r="AI481" s="176">
        <f t="shared" si="15"/>
        <v>4839.2000104561885</v>
      </c>
      <c r="AJ481" s="1003"/>
      <c r="AK481" s="982"/>
      <c r="AL481" s="1304"/>
      <c r="AM481" s="440"/>
      <c r="AN481" s="90"/>
      <c r="AO481" s="128"/>
    </row>
    <row r="482" spans="1:42" s="69" customFormat="1" ht="15" customHeight="1">
      <c r="A482" s="998"/>
      <c r="B482" s="821"/>
      <c r="C482" s="525"/>
      <c r="D482" s="223" t="s">
        <v>822</v>
      </c>
      <c r="E482" s="320" t="s">
        <v>64</v>
      </c>
      <c r="F482" s="228" t="s">
        <v>64</v>
      </c>
      <c r="G482" s="19">
        <v>1304.3122523844461</v>
      </c>
      <c r="H482" s="320" t="s">
        <v>64</v>
      </c>
      <c r="I482" s="638" t="s">
        <v>64</v>
      </c>
      <c r="J482" s="1256"/>
      <c r="K482" s="1260"/>
      <c r="L482" s="595">
        <v>35.725114600146739</v>
      </c>
      <c r="M482" s="320" t="s">
        <v>64</v>
      </c>
      <c r="N482" s="595"/>
      <c r="O482" s="595"/>
      <c r="P482" s="595"/>
      <c r="Q482" s="595">
        <v>35.725114600146739</v>
      </c>
      <c r="R482" s="604"/>
      <c r="S482" s="595">
        <v>35.725114600146739</v>
      </c>
      <c r="T482" s="604"/>
      <c r="U482" s="228" t="s">
        <v>64</v>
      </c>
      <c r="V482" s="595"/>
      <c r="W482" s="595">
        <v>0</v>
      </c>
      <c r="X482" s="604">
        <v>0</v>
      </c>
      <c r="Y482" s="595">
        <v>6.9669843580337494</v>
      </c>
      <c r="Z482" s="604">
        <v>444.36284198093796</v>
      </c>
      <c r="AA482" s="601"/>
      <c r="AB482" s="601"/>
      <c r="AC482" s="595">
        <v>9.8371235216434343</v>
      </c>
      <c r="AD482" s="628">
        <v>627.4238523234867</v>
      </c>
      <c r="AE482" s="943"/>
      <c r="AF482" s="944"/>
      <c r="AG482" s="631">
        <v>35.725114600146739</v>
      </c>
      <c r="AH482" s="604">
        <v>6835.7754107099263</v>
      </c>
      <c r="AI482" s="176">
        <f t="shared" ref="AI482:AI483" si="16">AH482</f>
        <v>6835.7754107099263</v>
      </c>
      <c r="AJ482" s="1003"/>
      <c r="AK482" s="982"/>
      <c r="AL482" s="1304"/>
      <c r="AM482" s="440"/>
      <c r="AN482" s="740"/>
      <c r="AO482" s="128"/>
    </row>
    <row r="483" spans="1:42" s="69" customFormat="1" ht="15" customHeight="1" thickBot="1">
      <c r="A483" s="999"/>
      <c r="B483" s="745"/>
      <c r="C483" s="527"/>
      <c r="D483" s="224" t="s">
        <v>823</v>
      </c>
      <c r="E483" s="226" t="s">
        <v>64</v>
      </c>
      <c r="F483" s="229" t="s">
        <v>64</v>
      </c>
      <c r="G483" s="219">
        <v>2173.8547322083641</v>
      </c>
      <c r="H483" s="226" t="s">
        <v>64</v>
      </c>
      <c r="I483" s="641" t="s">
        <v>64</v>
      </c>
      <c r="J483" s="1257"/>
      <c r="K483" s="1261"/>
      <c r="L483" s="716">
        <v>46.159624358033746</v>
      </c>
      <c r="M483" s="226" t="s">
        <v>64</v>
      </c>
      <c r="N483" s="596"/>
      <c r="O483" s="596"/>
      <c r="P483" s="596"/>
      <c r="Q483" s="596">
        <v>46.159624358033746</v>
      </c>
      <c r="R483" s="605"/>
      <c r="S483" s="596">
        <v>46.159624358033746</v>
      </c>
      <c r="T483" s="605"/>
      <c r="U483" s="229" t="s">
        <v>64</v>
      </c>
      <c r="V483" s="596"/>
      <c r="W483" s="596">
        <v>0</v>
      </c>
      <c r="X483" s="605">
        <v>0</v>
      </c>
      <c r="Y483" s="596">
        <v>8.5321608217168006</v>
      </c>
      <c r="Z483" s="605">
        <v>544.1917243010023</v>
      </c>
      <c r="AA483" s="602"/>
      <c r="AB483" s="602"/>
      <c r="AC483" s="596">
        <v>12.967476449009537</v>
      </c>
      <c r="AD483" s="823">
        <v>827.08161696361583</v>
      </c>
      <c r="AE483" s="945"/>
      <c r="AF483" s="946"/>
      <c r="AG483" s="716">
        <v>46.159624358033746</v>
      </c>
      <c r="AH483" s="605">
        <v>8832.353057111186</v>
      </c>
      <c r="AI483" s="180">
        <f t="shared" si="16"/>
        <v>8832.353057111186</v>
      </c>
      <c r="AJ483" s="1004"/>
      <c r="AK483" s="983"/>
      <c r="AL483" s="1305"/>
      <c r="AM483" s="440"/>
      <c r="AN483" s="90"/>
      <c r="AO483" s="128"/>
    </row>
    <row r="484" spans="1:42" s="69" customFormat="1" ht="12.75" customHeight="1">
      <c r="A484" s="1014" t="s">
        <v>36</v>
      </c>
      <c r="B484" s="465" t="s">
        <v>151</v>
      </c>
      <c r="C484" s="386" t="s">
        <v>151</v>
      </c>
      <c r="D484" s="222" t="s">
        <v>661</v>
      </c>
      <c r="E484" s="240" t="s">
        <v>1</v>
      </c>
      <c r="F484" s="240" t="s">
        <v>0</v>
      </c>
      <c r="G484" s="430">
        <f>3*72*34.31</f>
        <v>7410.9600000000009</v>
      </c>
      <c r="H484" s="320" t="s">
        <v>221</v>
      </c>
      <c r="I484" s="673">
        <v>469.55</v>
      </c>
      <c r="J484" s="1217" t="s">
        <v>665</v>
      </c>
      <c r="K484" s="1047" t="s">
        <v>666</v>
      </c>
      <c r="L484" s="209">
        <v>236.80808000000005</v>
      </c>
      <c r="M484" s="120">
        <v>35.81</v>
      </c>
      <c r="N484" s="115"/>
      <c r="O484" s="115"/>
      <c r="P484" s="115"/>
      <c r="Q484" s="626">
        <v>200.99808000000004</v>
      </c>
      <c r="R484" s="117">
        <v>3030.4233892710336</v>
      </c>
      <c r="S484" s="676">
        <v>200.99808000000004</v>
      </c>
      <c r="T484" s="117">
        <v>3030.4233892710336</v>
      </c>
      <c r="U484" s="595">
        <v>6.1</v>
      </c>
      <c r="V484" s="120"/>
      <c r="W484" s="97">
        <v>96.342480000000023</v>
      </c>
      <c r="X484" s="161">
        <v>1452.5437495342107</v>
      </c>
      <c r="Y484" s="120">
        <v>20.594040000000003</v>
      </c>
      <c r="Z484" s="117">
        <v>310.49381414779333</v>
      </c>
      <c r="AA484" s="115"/>
      <c r="AB484" s="174"/>
      <c r="AC484" s="676">
        <v>39.262240000000013</v>
      </c>
      <c r="AD484" s="177">
        <v>591.95197492022226</v>
      </c>
      <c r="AE484" s="1008" t="s">
        <v>667</v>
      </c>
      <c r="AF484" s="1009"/>
      <c r="AG484" s="676">
        <v>200.99808000000004</v>
      </c>
      <c r="AH484" s="117">
        <v>9091.2701678131016</v>
      </c>
      <c r="AI484" s="177">
        <f t="shared" ref="AI484:AI517" si="17">AH484</f>
        <v>9091.2701678131016</v>
      </c>
      <c r="AJ484" s="975">
        <v>46242</v>
      </c>
      <c r="AK484" s="981">
        <f>SUM(AI484:AI497)</f>
        <v>201215.45456389539</v>
      </c>
      <c r="AL484" s="1005">
        <f>AK484+AK498+AK507+AK518+AK529+AK557</f>
        <v>344516.69077101082</v>
      </c>
      <c r="AM484" s="440"/>
      <c r="AN484" s="89"/>
      <c r="AO484" s="89"/>
    </row>
    <row r="485" spans="1:42" s="69" customFormat="1" ht="12.75" customHeight="1">
      <c r="A485" s="1015"/>
      <c r="B485" s="589"/>
      <c r="C485" s="525"/>
      <c r="D485" s="223" t="s">
        <v>809</v>
      </c>
      <c r="E485" s="225" t="s">
        <v>64</v>
      </c>
      <c r="F485" s="228" t="s">
        <v>64</v>
      </c>
      <c r="G485" s="426">
        <f>72*34.31</f>
        <v>2470.3200000000002</v>
      </c>
      <c r="H485" s="320" t="s">
        <v>64</v>
      </c>
      <c r="I485" s="638" t="s">
        <v>64</v>
      </c>
      <c r="J485" s="1001"/>
      <c r="K485" s="1048"/>
      <c r="L485" s="211">
        <v>46.897920000000006</v>
      </c>
      <c r="M485" s="320" t="s">
        <v>64</v>
      </c>
      <c r="N485" s="188"/>
      <c r="O485" s="188"/>
      <c r="P485" s="188"/>
      <c r="Q485" s="482">
        <v>46.897920000000006</v>
      </c>
      <c r="R485" s="157">
        <v>707.07418536615705</v>
      </c>
      <c r="S485" s="633">
        <v>46.897920000000006</v>
      </c>
      <c r="T485" s="157">
        <v>707.07418536615705</v>
      </c>
      <c r="U485" s="607" t="s">
        <v>64</v>
      </c>
      <c r="V485" s="7"/>
      <c r="W485" s="410">
        <v>0</v>
      </c>
      <c r="X485" s="507">
        <v>0</v>
      </c>
      <c r="Y485" s="7">
        <v>10.134988</v>
      </c>
      <c r="Z485" s="157">
        <v>152.80397049156531</v>
      </c>
      <c r="AA485" s="188"/>
      <c r="AB485" s="214"/>
      <c r="AC485" s="676">
        <v>16.359168000000004</v>
      </c>
      <c r="AD485" s="176">
        <v>246.64516863153216</v>
      </c>
      <c r="AE485" s="1010"/>
      <c r="AF485" s="1011"/>
      <c r="AG485" s="633">
        <v>46.897920000000006</v>
      </c>
      <c r="AH485" s="157">
        <v>2121.2225560984712</v>
      </c>
      <c r="AI485" s="176">
        <f t="shared" si="17"/>
        <v>2121.2225560984712</v>
      </c>
      <c r="AJ485" s="976"/>
      <c r="AK485" s="982"/>
      <c r="AL485" s="1006"/>
      <c r="AM485" s="440"/>
      <c r="AN485" s="89"/>
      <c r="AO485" s="89"/>
    </row>
    <row r="486" spans="1:42" s="69" customFormat="1" ht="12.75" customHeight="1">
      <c r="A486" s="1015"/>
      <c r="B486" s="589"/>
      <c r="C486" s="525"/>
      <c r="D486" s="223" t="s">
        <v>810</v>
      </c>
      <c r="E486" s="225" t="s">
        <v>64</v>
      </c>
      <c r="F486" s="228" t="s">
        <v>64</v>
      </c>
      <c r="G486" s="426"/>
      <c r="H486" s="320" t="s">
        <v>64</v>
      </c>
      <c r="I486" s="638" t="s">
        <v>64</v>
      </c>
      <c r="J486" s="1001"/>
      <c r="K486" s="1048"/>
      <c r="L486" s="211">
        <v>27.35</v>
      </c>
      <c r="M486" s="320" t="s">
        <v>64</v>
      </c>
      <c r="N486" s="188"/>
      <c r="O486" s="188"/>
      <c r="P486" s="188"/>
      <c r="Q486" s="482">
        <v>27.35</v>
      </c>
      <c r="R486" s="157">
        <v>412.35259409723108</v>
      </c>
      <c r="S486" s="633">
        <v>27.35</v>
      </c>
      <c r="T486" s="157">
        <v>412.35259409723108</v>
      </c>
      <c r="U486" s="607" t="s">
        <v>64</v>
      </c>
      <c r="V486" s="7"/>
      <c r="W486" s="410">
        <v>0</v>
      </c>
      <c r="X486" s="507">
        <v>0</v>
      </c>
      <c r="Y486" s="7">
        <v>6.968</v>
      </c>
      <c r="Z486" s="157">
        <v>105.05568101168222</v>
      </c>
      <c r="AA486" s="188"/>
      <c r="AB486" s="214"/>
      <c r="AC486" s="676">
        <v>8.5400000000000009</v>
      </c>
      <c r="AD486" s="176">
        <v>128.7565321239617</v>
      </c>
      <c r="AE486" s="1010"/>
      <c r="AF486" s="1011"/>
      <c r="AG486" s="633">
        <v>27.35</v>
      </c>
      <c r="AH486" s="157">
        <v>1237.0577822916932</v>
      </c>
      <c r="AI486" s="176">
        <f t="shared" si="17"/>
        <v>1237.0577822916932</v>
      </c>
      <c r="AJ486" s="976"/>
      <c r="AK486" s="982"/>
      <c r="AL486" s="1006"/>
      <c r="AM486" s="440"/>
      <c r="AN486" s="89"/>
      <c r="AO486" s="89"/>
    </row>
    <row r="487" spans="1:42" s="69" customFormat="1" ht="12.75" customHeight="1">
      <c r="A487" s="1015"/>
      <c r="B487" s="589"/>
      <c r="C487" s="525"/>
      <c r="D487" s="223" t="s">
        <v>811</v>
      </c>
      <c r="E487" s="225" t="s">
        <v>64</v>
      </c>
      <c r="F487" s="228" t="s">
        <v>64</v>
      </c>
      <c r="G487" s="426">
        <f>302.07+G486</f>
        <v>302.07</v>
      </c>
      <c r="H487" s="225" t="s">
        <v>64</v>
      </c>
      <c r="I487" s="638" t="s">
        <v>64</v>
      </c>
      <c r="J487" s="1001"/>
      <c r="K487" s="1048"/>
      <c r="L487" s="211">
        <v>11.790000000000001</v>
      </c>
      <c r="M487" s="320" t="s">
        <v>64</v>
      </c>
      <c r="N487" s="188"/>
      <c r="O487" s="188"/>
      <c r="P487" s="188"/>
      <c r="Q487" s="482">
        <v>11.790000000000001</v>
      </c>
      <c r="R487" s="157">
        <v>177.75638334209731</v>
      </c>
      <c r="S487" s="633">
        <v>11.790000000000001</v>
      </c>
      <c r="T487" s="157">
        <v>177.75638334209731</v>
      </c>
      <c r="U487" s="607" t="s">
        <v>64</v>
      </c>
      <c r="V487" s="7"/>
      <c r="W487" s="410">
        <v>0</v>
      </c>
      <c r="X487" s="507">
        <v>0</v>
      </c>
      <c r="Y487" s="7">
        <v>3.3223000000000003</v>
      </c>
      <c r="Z487" s="157">
        <v>50.089909446772566</v>
      </c>
      <c r="AA487" s="188"/>
      <c r="AB487" s="214"/>
      <c r="AC487" s="676">
        <v>3.5160000000000005</v>
      </c>
      <c r="AD487" s="176">
        <v>53.010300579373379</v>
      </c>
      <c r="AE487" s="1010"/>
      <c r="AF487" s="1011"/>
      <c r="AG487" s="633">
        <v>11.790000000000001</v>
      </c>
      <c r="AH487" s="157">
        <v>533.26915002629198</v>
      </c>
      <c r="AI487" s="176">
        <f t="shared" si="17"/>
        <v>533.26915002629198</v>
      </c>
      <c r="AJ487" s="976"/>
      <c r="AK487" s="982"/>
      <c r="AL487" s="1006"/>
      <c r="AM487" s="440"/>
      <c r="AN487" s="89"/>
      <c r="AO487" s="89"/>
    </row>
    <row r="488" spans="1:42" s="69" customFormat="1" ht="12.75" customHeight="1">
      <c r="A488" s="1015"/>
      <c r="B488" s="589"/>
      <c r="C488" s="525"/>
      <c r="D488" s="223" t="s">
        <v>812</v>
      </c>
      <c r="E488" s="225" t="s">
        <v>64</v>
      </c>
      <c r="F488" s="228" t="s">
        <v>64</v>
      </c>
      <c r="G488" s="426">
        <f>35216.43/15</f>
        <v>2347.7620000000002</v>
      </c>
      <c r="H488" s="225" t="s">
        <v>64</v>
      </c>
      <c r="I488" s="638" t="s">
        <v>64</v>
      </c>
      <c r="J488" s="1001"/>
      <c r="K488" s="1048"/>
      <c r="L488" s="211">
        <v>67.728129999999993</v>
      </c>
      <c r="M488" s="320" t="s">
        <v>64</v>
      </c>
      <c r="N488" s="188"/>
      <c r="O488" s="188"/>
      <c r="P488" s="188"/>
      <c r="Q488" s="482">
        <v>67.728129999999993</v>
      </c>
      <c r="R488" s="157">
        <v>1021.1287056253935</v>
      </c>
      <c r="S488" s="633">
        <v>67.728129999999993</v>
      </c>
      <c r="T488" s="157">
        <v>1021.1287056253935</v>
      </c>
      <c r="U488" s="607" t="s">
        <v>64</v>
      </c>
      <c r="V488" s="7"/>
      <c r="W488" s="410">
        <v>30.520906000000004</v>
      </c>
      <c r="X488" s="507">
        <v>460.15995478236755</v>
      </c>
      <c r="Y488" s="7">
        <v>6.9143836000000007</v>
      </c>
      <c r="Z488" s="157">
        <v>104.24731312772761</v>
      </c>
      <c r="AA488" s="188"/>
      <c r="AB488" s="214"/>
      <c r="AC488" s="676">
        <v>13.682889599999999</v>
      </c>
      <c r="AD488" s="176">
        <v>206.29524757974508</v>
      </c>
      <c r="AE488" s="1010"/>
      <c r="AF488" s="1011"/>
      <c r="AG488" s="633">
        <v>67.728129999999993</v>
      </c>
      <c r="AH488" s="157">
        <v>3063.3861168761805</v>
      </c>
      <c r="AI488" s="176">
        <f t="shared" si="17"/>
        <v>3063.3861168761805</v>
      </c>
      <c r="AJ488" s="976"/>
      <c r="AK488" s="982"/>
      <c r="AL488" s="1006"/>
      <c r="AM488" s="440"/>
      <c r="AN488" s="89"/>
      <c r="AO488" s="89"/>
    </row>
    <row r="489" spans="1:42" s="69" customFormat="1" ht="12.75" customHeight="1">
      <c r="A489" s="1015"/>
      <c r="B489" s="589"/>
      <c r="C489" s="525"/>
      <c r="D489" s="223" t="s">
        <v>813</v>
      </c>
      <c r="E489" s="225" t="s">
        <v>64</v>
      </c>
      <c r="F489" s="228" t="s">
        <v>64</v>
      </c>
      <c r="G489" s="426">
        <f>G488*2</f>
        <v>4695.5240000000003</v>
      </c>
      <c r="H489" s="225" t="s">
        <v>64</v>
      </c>
      <c r="I489" s="638" t="s">
        <v>64</v>
      </c>
      <c r="J489" s="1001"/>
      <c r="K489" s="1048"/>
      <c r="L489" s="211">
        <v>126.42218000000001</v>
      </c>
      <c r="M489" s="320" t="s">
        <v>64</v>
      </c>
      <c r="N489" s="188"/>
      <c r="O489" s="188"/>
      <c r="P489" s="188"/>
      <c r="Q489" s="482">
        <v>126.42218000000001</v>
      </c>
      <c r="R489" s="157">
        <v>1906.051695591485</v>
      </c>
      <c r="S489" s="633">
        <v>126.42218000000001</v>
      </c>
      <c r="T489" s="157">
        <v>1906.051695591485</v>
      </c>
      <c r="U489" s="607" t="s">
        <v>64</v>
      </c>
      <c r="V489" s="7"/>
      <c r="W489" s="410">
        <v>61.041812000000007</v>
      </c>
      <c r="X489" s="507">
        <v>920.3199095647351</v>
      </c>
      <c r="Y489" s="7">
        <v>11.1403552</v>
      </c>
      <c r="Z489" s="157">
        <v>167.96176840528619</v>
      </c>
      <c r="AA489" s="188"/>
      <c r="AB489" s="214"/>
      <c r="AC489" s="676">
        <v>24.952147200000002</v>
      </c>
      <c r="AD489" s="176">
        <v>376.20046165323407</v>
      </c>
      <c r="AE489" s="1010"/>
      <c r="AF489" s="1011"/>
      <c r="AG489" s="633">
        <v>126.42218000000001</v>
      </c>
      <c r="AH489" s="157">
        <v>5718.1550867744554</v>
      </c>
      <c r="AI489" s="176">
        <f t="shared" si="17"/>
        <v>5718.1550867744554</v>
      </c>
      <c r="AJ489" s="976"/>
      <c r="AK489" s="982"/>
      <c r="AL489" s="1006"/>
      <c r="AM489" s="440"/>
      <c r="AN489" s="89"/>
      <c r="AO489" s="89"/>
    </row>
    <row r="490" spans="1:42" s="69" customFormat="1" ht="12.75" customHeight="1">
      <c r="A490" s="1015"/>
      <c r="B490" s="589"/>
      <c r="C490" s="525"/>
      <c r="D490" s="223" t="s">
        <v>814</v>
      </c>
      <c r="E490" s="225" t="s">
        <v>64</v>
      </c>
      <c r="F490" s="228" t="s">
        <v>64</v>
      </c>
      <c r="G490" s="426">
        <f>G488*10%</f>
        <v>234.77620000000002</v>
      </c>
      <c r="H490" s="225" t="s">
        <v>64</v>
      </c>
      <c r="I490" s="638" t="s">
        <v>64</v>
      </c>
      <c r="J490" s="1001"/>
      <c r="K490" s="1081"/>
      <c r="L490" s="7">
        <v>11.790000000000001</v>
      </c>
      <c r="M490" s="320" t="s">
        <v>64</v>
      </c>
      <c r="N490" s="188"/>
      <c r="O490" s="188"/>
      <c r="P490" s="188"/>
      <c r="Q490" s="482">
        <v>11.790000000000001</v>
      </c>
      <c r="R490" s="157">
        <v>177.75638334209731</v>
      </c>
      <c r="S490" s="633">
        <v>11.790000000000001</v>
      </c>
      <c r="T490" s="157">
        <v>177.75638334209731</v>
      </c>
      <c r="U490" s="607" t="s">
        <v>64</v>
      </c>
      <c r="V490" s="7"/>
      <c r="W490" s="410">
        <v>0</v>
      </c>
      <c r="X490" s="507">
        <v>0</v>
      </c>
      <c r="Y490" s="7">
        <v>3.3223000000000003</v>
      </c>
      <c r="Z490" s="157">
        <v>50.089909446772566</v>
      </c>
      <c r="AA490" s="188"/>
      <c r="AB490" s="214"/>
      <c r="AC490" s="676">
        <v>3.5160000000000005</v>
      </c>
      <c r="AD490" s="176">
        <v>53.010300579373379</v>
      </c>
      <c r="AE490" s="1010"/>
      <c r="AF490" s="1011"/>
      <c r="AG490" s="633">
        <v>11.790000000000001</v>
      </c>
      <c r="AH490" s="157">
        <v>533.26915002629198</v>
      </c>
      <c r="AI490" s="176">
        <f t="shared" si="17"/>
        <v>533.26915002629198</v>
      </c>
      <c r="AJ490" s="976"/>
      <c r="AK490" s="982"/>
      <c r="AL490" s="1006"/>
      <c r="AM490" s="440"/>
      <c r="AN490" s="89"/>
      <c r="AO490" s="89"/>
    </row>
    <row r="491" spans="1:42" s="69" customFormat="1" ht="12.75" customHeight="1">
      <c r="A491" s="1015"/>
      <c r="B491" s="589"/>
      <c r="C491" s="525"/>
      <c r="D491" s="223" t="s">
        <v>815</v>
      </c>
      <c r="E491" s="225" t="s">
        <v>64</v>
      </c>
      <c r="F491" s="228" t="s">
        <v>64</v>
      </c>
      <c r="G491" s="426">
        <f>G490*2</f>
        <v>469.55240000000003</v>
      </c>
      <c r="H491" s="225" t="s">
        <v>64</v>
      </c>
      <c r="I491" s="639" t="s">
        <v>64</v>
      </c>
      <c r="J491" s="1001"/>
      <c r="K491" s="1081"/>
      <c r="L491" s="7">
        <v>32.268708799999999</v>
      </c>
      <c r="M491" s="320" t="s">
        <v>64</v>
      </c>
      <c r="N491" s="188"/>
      <c r="O491" s="188"/>
      <c r="P491" s="188"/>
      <c r="Q491" s="482">
        <v>32.268708799999999</v>
      </c>
      <c r="R491" s="157">
        <v>486.51136313887196</v>
      </c>
      <c r="S491" s="633">
        <v>32.268708799999999</v>
      </c>
      <c r="T491" s="157">
        <v>486.51136313887196</v>
      </c>
      <c r="U491" s="607" t="s">
        <v>64</v>
      </c>
      <c r="V491" s="7"/>
      <c r="W491" s="410">
        <v>0</v>
      </c>
      <c r="X491" s="507">
        <v>0</v>
      </c>
      <c r="Y491" s="7">
        <v>4.5313063200000006</v>
      </c>
      <c r="Z491" s="157">
        <v>68.317949385783479</v>
      </c>
      <c r="AA491" s="188"/>
      <c r="AB491" s="214"/>
      <c r="AC491" s="676">
        <v>11.70748352</v>
      </c>
      <c r="AD491" s="176">
        <v>176.51229249808361</v>
      </c>
      <c r="AE491" s="1010"/>
      <c r="AF491" s="1011"/>
      <c r="AG491" s="633">
        <v>32.268708799999999</v>
      </c>
      <c r="AH491" s="157">
        <v>1459.5340894166159</v>
      </c>
      <c r="AI491" s="176">
        <f t="shared" si="17"/>
        <v>1459.5340894166159</v>
      </c>
      <c r="AJ491" s="976"/>
      <c r="AK491" s="982"/>
      <c r="AL491" s="1006"/>
      <c r="AM491" s="440"/>
      <c r="AN491" s="89"/>
      <c r="AO491" s="89"/>
    </row>
    <row r="492" spans="1:42" s="69" customFormat="1" ht="12.75" customHeight="1">
      <c r="A492" s="1015"/>
      <c r="B492" s="589"/>
      <c r="C492" s="525"/>
      <c r="D492" s="223" t="s">
        <v>816</v>
      </c>
      <c r="E492" s="320" t="s">
        <v>64</v>
      </c>
      <c r="F492" s="228" t="s">
        <v>64</v>
      </c>
      <c r="G492" s="426">
        <f>G490*3</f>
        <v>704.32860000000005</v>
      </c>
      <c r="H492" s="225" t="s">
        <v>64</v>
      </c>
      <c r="I492" s="639" t="s">
        <v>64</v>
      </c>
      <c r="J492" s="1001"/>
      <c r="K492" s="1081"/>
      <c r="L492" s="7">
        <v>35.0860232</v>
      </c>
      <c r="M492" s="320" t="s">
        <v>64</v>
      </c>
      <c r="N492" s="188"/>
      <c r="O492" s="188"/>
      <c r="P492" s="188"/>
      <c r="Q492" s="7">
        <v>35.0860232</v>
      </c>
      <c r="R492" s="157">
        <v>528.98766665724509</v>
      </c>
      <c r="S492" s="7">
        <v>35.0860232</v>
      </c>
      <c r="T492" s="157">
        <v>528.98766665724509</v>
      </c>
      <c r="U492" s="607" t="s">
        <v>64</v>
      </c>
      <c r="V492" s="7"/>
      <c r="W492" s="410">
        <v>0</v>
      </c>
      <c r="X492" s="507">
        <v>0</v>
      </c>
      <c r="Y492" s="7">
        <v>4.9539034800000001</v>
      </c>
      <c r="Z492" s="157">
        <v>74.689394913539388</v>
      </c>
      <c r="AA492" s="188"/>
      <c r="AB492" s="214"/>
      <c r="AC492" s="676">
        <v>12.834409280000001</v>
      </c>
      <c r="AD492" s="176">
        <v>193.50281390543205</v>
      </c>
      <c r="AE492" s="1010"/>
      <c r="AF492" s="1011"/>
      <c r="AG492" s="7">
        <v>35.0860232</v>
      </c>
      <c r="AH492" s="157">
        <v>1586.9629999717354</v>
      </c>
      <c r="AI492" s="176">
        <f t="shared" si="17"/>
        <v>1586.9629999717354</v>
      </c>
      <c r="AJ492" s="976"/>
      <c r="AK492" s="982"/>
      <c r="AL492" s="1006"/>
      <c r="AM492" s="440"/>
      <c r="AN492" s="89"/>
      <c r="AO492" s="89"/>
    </row>
    <row r="493" spans="1:42" s="69" customFormat="1" ht="15" customHeight="1">
      <c r="A493" s="1015"/>
      <c r="B493" s="589"/>
      <c r="C493" s="525"/>
      <c r="D493" s="223" t="s">
        <v>820</v>
      </c>
      <c r="E493" s="320" t="s">
        <v>64</v>
      </c>
      <c r="F493" s="228" t="s">
        <v>64</v>
      </c>
      <c r="G493" s="426">
        <f>88041.09*10%</f>
        <v>8804.1090000000004</v>
      </c>
      <c r="H493" s="225" t="s">
        <v>64</v>
      </c>
      <c r="I493" s="639" t="s">
        <v>64</v>
      </c>
      <c r="J493" s="1001"/>
      <c r="K493" s="1081"/>
      <c r="L493" s="7">
        <v>132.283388</v>
      </c>
      <c r="M493" s="320" t="s">
        <v>64</v>
      </c>
      <c r="N493" s="188"/>
      <c r="O493" s="188"/>
      <c r="P493" s="188"/>
      <c r="Q493" s="7">
        <v>132.283388</v>
      </c>
      <c r="R493" s="157">
        <v>1994.4204094248835</v>
      </c>
      <c r="S493" s="7">
        <v>132.283388</v>
      </c>
      <c r="T493" s="157">
        <v>1994.4204094248835</v>
      </c>
      <c r="U493" s="607" t="s">
        <v>64</v>
      </c>
      <c r="V493" s="7"/>
      <c r="W493" s="410">
        <v>0</v>
      </c>
      <c r="X493" s="507">
        <v>0</v>
      </c>
      <c r="Y493" s="7">
        <v>19.5335082</v>
      </c>
      <c r="Z493" s="157">
        <v>294.50430632868478</v>
      </c>
      <c r="AA493" s="188"/>
      <c r="AB493" s="214"/>
      <c r="AC493" s="676">
        <v>51.713355200000002</v>
      </c>
      <c r="AD493" s="270">
        <v>779.67591101248786</v>
      </c>
      <c r="AE493" s="1010"/>
      <c r="AF493" s="1011"/>
      <c r="AG493" s="7">
        <v>132.283388</v>
      </c>
      <c r="AH493" s="157">
        <v>5983.2612282746504</v>
      </c>
      <c r="AI493" s="176">
        <f t="shared" si="17"/>
        <v>5983.2612282746504</v>
      </c>
      <c r="AJ493" s="976"/>
      <c r="AK493" s="982"/>
      <c r="AL493" s="1006"/>
      <c r="AM493" s="151"/>
      <c r="AN493" s="90"/>
      <c r="AO493" s="128"/>
      <c r="AP493" s="106"/>
    </row>
    <row r="494" spans="1:42" s="69" customFormat="1" ht="15" customHeight="1">
      <c r="A494" s="1015"/>
      <c r="B494" s="589"/>
      <c r="C494" s="525"/>
      <c r="D494" s="223" t="s">
        <v>821</v>
      </c>
      <c r="E494" s="320" t="s">
        <v>64</v>
      </c>
      <c r="F494" s="228" t="s">
        <v>64</v>
      </c>
      <c r="G494" s="426">
        <v>3333.33</v>
      </c>
      <c r="H494" s="225" t="s">
        <v>64</v>
      </c>
      <c r="I494" s="639" t="s">
        <v>64</v>
      </c>
      <c r="J494" s="1001"/>
      <c r="K494" s="1081"/>
      <c r="L494" s="7">
        <v>111.43733</v>
      </c>
      <c r="M494" s="320" t="s">
        <v>64</v>
      </c>
      <c r="N494" s="188"/>
      <c r="O494" s="188"/>
      <c r="P494" s="188"/>
      <c r="Q494" s="7">
        <v>111.43733</v>
      </c>
      <c r="R494" s="157">
        <v>1680.1269508142302</v>
      </c>
      <c r="S494" s="7">
        <v>111.43733</v>
      </c>
      <c r="T494" s="157">
        <v>1680.1269508142302</v>
      </c>
      <c r="U494" s="607" t="s">
        <v>64</v>
      </c>
      <c r="V494" s="7"/>
      <c r="W494" s="410">
        <v>43.333290000000005</v>
      </c>
      <c r="X494" s="507">
        <v>653.33069624378822</v>
      </c>
      <c r="Y494" s="7">
        <v>9.6861059999999988</v>
      </c>
      <c r="Z494" s="157">
        <v>146.03623165633471</v>
      </c>
      <c r="AA494" s="188"/>
      <c r="AB494" s="214"/>
      <c r="AC494" s="676">
        <v>26.041616000000001</v>
      </c>
      <c r="AD494" s="270">
        <v>392.62624907071137</v>
      </c>
      <c r="AE494" s="1010"/>
      <c r="AF494" s="1011"/>
      <c r="AG494" s="7">
        <v>111.43733</v>
      </c>
      <c r="AH494" s="157">
        <v>5040.3808524426904</v>
      </c>
      <c r="AI494" s="176">
        <f t="shared" si="17"/>
        <v>5040.3808524426904</v>
      </c>
      <c r="AJ494" s="976"/>
      <c r="AK494" s="982"/>
      <c r="AL494" s="1006"/>
      <c r="AM494" s="151"/>
      <c r="AN494" s="90"/>
      <c r="AO494" s="128"/>
      <c r="AP494" s="106"/>
    </row>
    <row r="495" spans="1:42" s="69" customFormat="1" ht="15" customHeight="1">
      <c r="A495" s="1015"/>
      <c r="B495" s="589"/>
      <c r="C495" s="525"/>
      <c r="D495" s="223" t="s">
        <v>822</v>
      </c>
      <c r="E495" s="320" t="s">
        <v>64</v>
      </c>
      <c r="F495" s="228" t="s">
        <v>64</v>
      </c>
      <c r="G495" s="426">
        <v>2222.2199999999998</v>
      </c>
      <c r="H495" s="225" t="s">
        <v>64</v>
      </c>
      <c r="I495" s="639" t="s">
        <v>64</v>
      </c>
      <c r="J495" s="1001"/>
      <c r="K495" s="1081"/>
      <c r="L495" s="7">
        <v>83.659580000000005</v>
      </c>
      <c r="M495" s="320" t="s">
        <v>64</v>
      </c>
      <c r="N495" s="188"/>
      <c r="O495" s="188"/>
      <c r="P495" s="188"/>
      <c r="Q495" s="7">
        <v>83.659580000000005</v>
      </c>
      <c r="R495" s="157">
        <v>1261.3252224528271</v>
      </c>
      <c r="S495" s="7">
        <v>83.659580000000005</v>
      </c>
      <c r="T495" s="157">
        <v>1261.3252224528271</v>
      </c>
      <c r="U495" s="607" t="s">
        <v>64</v>
      </c>
      <c r="V495" s="7"/>
      <c r="W495" s="410">
        <v>28.888860000000001</v>
      </c>
      <c r="X495" s="507">
        <v>435.55379749585848</v>
      </c>
      <c r="Y495" s="7">
        <v>7.6861079999999999</v>
      </c>
      <c r="Z495" s="157">
        <v>115.88250721431386</v>
      </c>
      <c r="AA495" s="188"/>
      <c r="AB495" s="214"/>
      <c r="AC495" s="676">
        <v>20.708288</v>
      </c>
      <c r="AD495" s="270">
        <v>312.21631722532203</v>
      </c>
      <c r="AE495" s="1010"/>
      <c r="AF495" s="1011"/>
      <c r="AG495" s="7">
        <v>83.659580000000005</v>
      </c>
      <c r="AH495" s="157">
        <v>3783.9756673584816</v>
      </c>
      <c r="AI495" s="176">
        <f t="shared" si="17"/>
        <v>3783.9756673584816</v>
      </c>
      <c r="AJ495" s="976"/>
      <c r="AK495" s="982"/>
      <c r="AL495" s="1006"/>
      <c r="AM495" s="151"/>
      <c r="AN495" s="90"/>
      <c r="AO495" s="128"/>
      <c r="AP495" s="106"/>
    </row>
    <row r="496" spans="1:42" s="69" customFormat="1" ht="15" customHeight="1">
      <c r="A496" s="1015"/>
      <c r="B496" s="589"/>
      <c r="C496" s="525"/>
      <c r="D496" s="518" t="s">
        <v>662</v>
      </c>
      <c r="E496" s="320" t="s">
        <v>64</v>
      </c>
      <c r="F496" s="228" t="s">
        <v>64</v>
      </c>
      <c r="G496" s="426">
        <v>129035.29</v>
      </c>
      <c r="H496" s="225" t="s">
        <v>64</v>
      </c>
      <c r="I496" s="639" t="s">
        <v>64</v>
      </c>
      <c r="J496" s="1001"/>
      <c r="K496" s="1081"/>
      <c r="L496" s="7">
        <v>3253.9863299999997</v>
      </c>
      <c r="M496" s="320" t="s">
        <v>64</v>
      </c>
      <c r="N496" s="188"/>
      <c r="O496" s="188"/>
      <c r="P496" s="188"/>
      <c r="Q496" s="7">
        <v>3253.9863299999997</v>
      </c>
      <c r="R496" s="157">
        <v>49059.952626414197</v>
      </c>
      <c r="S496" s="7">
        <v>3253.9863299999997</v>
      </c>
      <c r="T496" s="157">
        <v>49059.952626414197</v>
      </c>
      <c r="U496" s="607" t="s">
        <v>64</v>
      </c>
      <c r="V496" s="7"/>
      <c r="W496" s="410">
        <v>1677.45877</v>
      </c>
      <c r="X496" s="507">
        <v>25290.84004755575</v>
      </c>
      <c r="Y496" s="7">
        <v>235.94963399999997</v>
      </c>
      <c r="Z496" s="157">
        <v>3557.3836802995347</v>
      </c>
      <c r="AA496" s="188"/>
      <c r="AB496" s="214"/>
      <c r="AC496" s="676">
        <v>629.411024</v>
      </c>
      <c r="AD496" s="270">
        <v>9489.5527787859064</v>
      </c>
      <c r="AE496" s="1010"/>
      <c r="AF496" s="1011"/>
      <c r="AG496" s="7">
        <v>3253.9863299999997</v>
      </c>
      <c r="AH496" s="157">
        <v>147179.8578792426</v>
      </c>
      <c r="AI496" s="176">
        <f t="shared" si="17"/>
        <v>147179.8578792426</v>
      </c>
      <c r="AJ496" s="976"/>
      <c r="AK496" s="982"/>
      <c r="AL496" s="1006"/>
      <c r="AM496" s="151"/>
      <c r="AN496" s="90"/>
      <c r="AO496" s="128"/>
      <c r="AP496" s="106"/>
    </row>
    <row r="497" spans="1:42" s="69" customFormat="1" ht="15" customHeight="1" thickBot="1">
      <c r="A497" s="1015"/>
      <c r="B497" s="593"/>
      <c r="C497" s="527"/>
      <c r="D497" s="827" t="s">
        <v>855</v>
      </c>
      <c r="E497" s="226" t="s">
        <v>64</v>
      </c>
      <c r="F497" s="229" t="s">
        <v>64</v>
      </c>
      <c r="G497" s="432">
        <v>23360.23</v>
      </c>
      <c r="H497" s="226" t="s">
        <v>64</v>
      </c>
      <c r="I497" s="641" t="s">
        <v>64</v>
      </c>
      <c r="J497" s="1001"/>
      <c r="K497" s="1081"/>
      <c r="L497" s="28">
        <v>306.95684</v>
      </c>
      <c r="M497" s="226" t="s">
        <v>64</v>
      </c>
      <c r="N497" s="116"/>
      <c r="O497" s="116"/>
      <c r="P497" s="116"/>
      <c r="Q497" s="28">
        <v>306.95684</v>
      </c>
      <c r="R497" s="118">
        <v>4627.9506124273767</v>
      </c>
      <c r="S497" s="28">
        <v>306.95684</v>
      </c>
      <c r="T497" s="118">
        <v>4627.9506124273767</v>
      </c>
      <c r="U497" s="607" t="s">
        <v>64</v>
      </c>
      <c r="V497" s="28"/>
      <c r="W497" s="98">
        <v>0</v>
      </c>
      <c r="X497" s="162">
        <v>0</v>
      </c>
      <c r="Y497" s="28">
        <v>45.734526000000002</v>
      </c>
      <c r="Z497" s="118">
        <v>689.53383677905867</v>
      </c>
      <c r="AA497" s="116"/>
      <c r="AB497" s="175"/>
      <c r="AC497" s="677">
        <v>121.58273600000001</v>
      </c>
      <c r="AD497" s="757">
        <v>1833.0879922134841</v>
      </c>
      <c r="AE497" s="1010"/>
      <c r="AF497" s="1011"/>
      <c r="AG497" s="28">
        <v>306.95684</v>
      </c>
      <c r="AH497" s="118">
        <v>13883.851837282131</v>
      </c>
      <c r="AI497" s="180">
        <f t="shared" si="17"/>
        <v>13883.851837282131</v>
      </c>
      <c r="AJ497" s="976"/>
      <c r="AK497" s="983"/>
      <c r="AL497" s="1006"/>
      <c r="AM497" s="151"/>
      <c r="AN497" s="90"/>
      <c r="AO497" s="128"/>
      <c r="AP497" s="106"/>
    </row>
    <row r="498" spans="1:42" s="69" customFormat="1" ht="15" customHeight="1">
      <c r="A498" s="1015"/>
      <c r="B498" s="232" t="s">
        <v>151</v>
      </c>
      <c r="C498" s="912" t="s">
        <v>151</v>
      </c>
      <c r="D498" s="222" t="s">
        <v>663</v>
      </c>
      <c r="E498" s="240" t="s">
        <v>1</v>
      </c>
      <c r="F498" s="240" t="s">
        <v>0</v>
      </c>
      <c r="G498" s="430">
        <f>3*72*34.31</f>
        <v>7410.9600000000009</v>
      </c>
      <c r="H498" s="225" t="s">
        <v>221</v>
      </c>
      <c r="I498" s="638" t="s">
        <v>221</v>
      </c>
      <c r="J498" s="1001"/>
      <c r="K498" s="1081"/>
      <c r="L498" s="120">
        <v>280.93808000000001</v>
      </c>
      <c r="M498" s="120">
        <v>32</v>
      </c>
      <c r="N498" s="115"/>
      <c r="O498" s="115"/>
      <c r="P498" s="115"/>
      <c r="Q498" s="120">
        <v>248.93808000000001</v>
      </c>
      <c r="R498" s="117">
        <v>2722.3442426285278</v>
      </c>
      <c r="S498" s="120">
        <v>248.93808000000001</v>
      </c>
      <c r="T498" s="117">
        <v>2722.3442426285278</v>
      </c>
      <c r="U498" s="607" t="s">
        <v>64</v>
      </c>
      <c r="V498" s="120"/>
      <c r="W498" s="97">
        <v>96.342480000000023</v>
      </c>
      <c r="X498" s="161">
        <v>1053.5848743934805</v>
      </c>
      <c r="Y498" s="120">
        <v>20.28584</v>
      </c>
      <c r="Z498" s="117">
        <v>221.84247476675105</v>
      </c>
      <c r="AA498" s="115"/>
      <c r="AB498" s="174"/>
      <c r="AC498" s="676">
        <v>59.238239999999998</v>
      </c>
      <c r="AD498" s="269">
        <v>647.81925532424327</v>
      </c>
      <c r="AE498" s="1010"/>
      <c r="AF498" s="1011"/>
      <c r="AG498" s="120">
        <v>248.93808000000001</v>
      </c>
      <c r="AH498" s="117">
        <v>8167.0327278855839</v>
      </c>
      <c r="AI498" s="177">
        <f t="shared" si="17"/>
        <v>8167.0327278855839</v>
      </c>
      <c r="AJ498" s="976"/>
      <c r="AK498" s="978">
        <f>SUM(AI498:AI506)</f>
        <v>27669.453710951435</v>
      </c>
      <c r="AL498" s="1006"/>
      <c r="AM498" s="151"/>
      <c r="AN498" s="90"/>
      <c r="AO498" s="128"/>
      <c r="AP498" s="106"/>
    </row>
    <row r="499" spans="1:42" s="69" customFormat="1" ht="15" customHeight="1">
      <c r="A499" s="1015"/>
      <c r="B499" s="821"/>
      <c r="C499" s="525"/>
      <c r="D499" s="223" t="s">
        <v>809</v>
      </c>
      <c r="E499" s="320" t="s">
        <v>64</v>
      </c>
      <c r="F499" s="228" t="s">
        <v>64</v>
      </c>
      <c r="G499" s="426">
        <f>72*34.31</f>
        <v>2470.3200000000002</v>
      </c>
      <c r="H499" s="225" t="s">
        <v>64</v>
      </c>
      <c r="I499" s="639" t="s">
        <v>64</v>
      </c>
      <c r="J499" s="1001"/>
      <c r="K499" s="1081"/>
      <c r="L499" s="7">
        <v>62.417920000000009</v>
      </c>
      <c r="M499" s="320" t="s">
        <v>64</v>
      </c>
      <c r="N499" s="188"/>
      <c r="O499" s="188"/>
      <c r="P499" s="188"/>
      <c r="Q499" s="7">
        <v>62.417920000000009</v>
      </c>
      <c r="R499" s="157">
        <v>682.59169167227469</v>
      </c>
      <c r="S499" s="7">
        <v>62.417920000000009</v>
      </c>
      <c r="T499" s="157">
        <v>682.59169167227469</v>
      </c>
      <c r="U499" s="607" t="s">
        <v>64</v>
      </c>
      <c r="V499" s="7"/>
      <c r="W499" s="410">
        <v>0</v>
      </c>
      <c r="X499" s="507">
        <v>0</v>
      </c>
      <c r="Y499" s="7">
        <v>11.132688000000002</v>
      </c>
      <c r="Z499" s="157">
        <v>121.7451708544537</v>
      </c>
      <c r="AA499" s="188"/>
      <c r="AB499" s="214"/>
      <c r="AC499" s="676">
        <v>22.567168000000006</v>
      </c>
      <c r="AD499" s="270">
        <v>246.79068737587571</v>
      </c>
      <c r="AE499" s="1010"/>
      <c r="AF499" s="1011"/>
      <c r="AG499" s="7">
        <v>62.417920000000009</v>
      </c>
      <c r="AH499" s="157">
        <v>2047.7750750168241</v>
      </c>
      <c r="AI499" s="176">
        <f t="shared" si="17"/>
        <v>2047.7750750168241</v>
      </c>
      <c r="AJ499" s="976"/>
      <c r="AK499" s="979"/>
      <c r="AL499" s="1006"/>
      <c r="AM499" s="151"/>
      <c r="AN499" s="90"/>
      <c r="AO499" s="128"/>
      <c r="AP499" s="106"/>
    </row>
    <row r="500" spans="1:42" s="69" customFormat="1" ht="15" customHeight="1">
      <c r="A500" s="1015"/>
      <c r="B500" s="821"/>
      <c r="C500" s="525"/>
      <c r="D500" s="223" t="s">
        <v>810</v>
      </c>
      <c r="E500" s="320" t="s">
        <v>64</v>
      </c>
      <c r="F500" s="228" t="s">
        <v>64</v>
      </c>
      <c r="G500" s="431">
        <f>G499*2</f>
        <v>4940.6400000000003</v>
      </c>
      <c r="H500" s="225" t="s">
        <v>64</v>
      </c>
      <c r="I500" s="639" t="s">
        <v>64</v>
      </c>
      <c r="J500" s="1001"/>
      <c r="K500" s="1081"/>
      <c r="L500" s="7">
        <v>92.061759999999992</v>
      </c>
      <c r="M500" s="320" t="s">
        <v>64</v>
      </c>
      <c r="N500" s="188"/>
      <c r="O500" s="188"/>
      <c r="P500" s="188"/>
      <c r="Q500" s="7">
        <v>92.061759999999992</v>
      </c>
      <c r="R500" s="157">
        <v>1006.771653024115</v>
      </c>
      <c r="S500" s="7">
        <v>92.061759999999992</v>
      </c>
      <c r="T500" s="157">
        <v>1006.771653024115</v>
      </c>
      <c r="U500" s="607" t="s">
        <v>64</v>
      </c>
      <c r="V500" s="7"/>
      <c r="W500" s="410">
        <v>0</v>
      </c>
      <c r="X500" s="507">
        <v>0</v>
      </c>
      <c r="Y500" s="7">
        <v>15.579264000000002</v>
      </c>
      <c r="Z500" s="157">
        <v>170.37216505722984</v>
      </c>
      <c r="AA500" s="188"/>
      <c r="AB500" s="214"/>
      <c r="AC500" s="676">
        <v>34.424703999999998</v>
      </c>
      <c r="AD500" s="270">
        <v>376.46267191661195</v>
      </c>
      <c r="AE500" s="1010"/>
      <c r="AF500" s="1011"/>
      <c r="AG500" s="7">
        <v>92.061759999999992</v>
      </c>
      <c r="AH500" s="157">
        <v>3020.3149590723451</v>
      </c>
      <c r="AI500" s="176">
        <f t="shared" si="17"/>
        <v>3020.3149590723451</v>
      </c>
      <c r="AJ500" s="976"/>
      <c r="AK500" s="979"/>
      <c r="AL500" s="1006"/>
      <c r="AM500" s="151"/>
      <c r="AN500" s="90"/>
      <c r="AO500" s="128"/>
      <c r="AP500" s="106"/>
    </row>
    <row r="501" spans="1:42" s="69" customFormat="1" ht="15" customHeight="1">
      <c r="A501" s="1015"/>
      <c r="B501" s="821"/>
      <c r="C501" s="525"/>
      <c r="D501" s="223" t="s">
        <v>811</v>
      </c>
      <c r="E501" s="320" t="s">
        <v>64</v>
      </c>
      <c r="F501" s="228" t="s">
        <v>64</v>
      </c>
      <c r="G501" s="431">
        <f>3*G499</f>
        <v>7410.9600000000009</v>
      </c>
      <c r="H501" s="225" t="s">
        <v>64</v>
      </c>
      <c r="I501" s="639" t="s">
        <v>64</v>
      </c>
      <c r="J501" s="1001"/>
      <c r="K501" s="1081"/>
      <c r="L501" s="7">
        <v>113.70560000000002</v>
      </c>
      <c r="M501" s="320" t="s">
        <v>64</v>
      </c>
      <c r="N501" s="188"/>
      <c r="O501" s="188"/>
      <c r="P501" s="188"/>
      <c r="Q501" s="7">
        <v>113.70560000000002</v>
      </c>
      <c r="R501" s="157">
        <v>1243.464983399175</v>
      </c>
      <c r="S501" s="7">
        <v>113.70560000000002</v>
      </c>
      <c r="T501" s="157">
        <v>1243.464983399175</v>
      </c>
      <c r="U501" s="607" t="s">
        <v>64</v>
      </c>
      <c r="V501" s="7"/>
      <c r="W501" s="410">
        <v>0</v>
      </c>
      <c r="X501" s="507">
        <v>0</v>
      </c>
      <c r="Y501" s="7">
        <v>17.025840000000002</v>
      </c>
      <c r="Z501" s="157">
        <v>186.1916726437133</v>
      </c>
      <c r="AA501" s="188"/>
      <c r="AB501" s="214"/>
      <c r="AC501" s="676">
        <v>44.282240000000009</v>
      </c>
      <c r="AD501" s="270">
        <v>484.26299871315274</v>
      </c>
      <c r="AE501" s="1010"/>
      <c r="AF501" s="1011"/>
      <c r="AG501" s="7">
        <v>113.70560000000002</v>
      </c>
      <c r="AH501" s="157">
        <v>3730.3949501975248</v>
      </c>
      <c r="AI501" s="176">
        <f t="shared" si="17"/>
        <v>3730.3949501975248</v>
      </c>
      <c r="AJ501" s="976"/>
      <c r="AK501" s="979"/>
      <c r="AL501" s="1006"/>
      <c r="AM501" s="151"/>
      <c r="AN501" s="90"/>
      <c r="AO501" s="128"/>
      <c r="AP501" s="106"/>
    </row>
    <row r="502" spans="1:42" s="69" customFormat="1" ht="15" customHeight="1">
      <c r="A502" s="1015"/>
      <c r="B502" s="821"/>
      <c r="C502" s="525"/>
      <c r="D502" s="223" t="s">
        <v>812</v>
      </c>
      <c r="E502" s="320" t="s">
        <v>64</v>
      </c>
      <c r="F502" s="228" t="s">
        <v>64</v>
      </c>
      <c r="G502" s="426">
        <f>G488</f>
        <v>2347.7620000000002</v>
      </c>
      <c r="H502" s="225" t="s">
        <v>64</v>
      </c>
      <c r="I502" s="639" t="s">
        <v>64</v>
      </c>
      <c r="J502" s="1001"/>
      <c r="K502" s="1081"/>
      <c r="L502" s="7">
        <v>87.468130000000016</v>
      </c>
      <c r="M502" s="320" t="s">
        <v>64</v>
      </c>
      <c r="N502" s="188"/>
      <c r="O502" s="188"/>
      <c r="P502" s="188"/>
      <c r="Q502" s="7">
        <v>87.468130000000016</v>
      </c>
      <c r="R502" s="157">
        <v>956.53650144238145</v>
      </c>
      <c r="S502" s="7">
        <v>87.468130000000016</v>
      </c>
      <c r="T502" s="157">
        <v>956.53650144238145</v>
      </c>
      <c r="U502" s="607" t="s">
        <v>64</v>
      </c>
      <c r="V502" s="7"/>
      <c r="W502" s="410">
        <v>30.520906000000004</v>
      </c>
      <c r="X502" s="507">
        <v>333.7714050373753</v>
      </c>
      <c r="Y502" s="7">
        <v>7.9120835999999999</v>
      </c>
      <c r="Z502" s="157">
        <v>86.525192271329487</v>
      </c>
      <c r="AA502" s="188"/>
      <c r="AB502" s="214"/>
      <c r="AC502" s="676">
        <v>21.578889600000004</v>
      </c>
      <c r="AD502" s="270">
        <v>235.98304391548552</v>
      </c>
      <c r="AE502" s="1010"/>
      <c r="AF502" s="1011"/>
      <c r="AG502" s="7">
        <v>87.468130000000016</v>
      </c>
      <c r="AH502" s="157">
        <v>2869.6095043271444</v>
      </c>
      <c r="AI502" s="176">
        <f t="shared" si="17"/>
        <v>2869.6095043271444</v>
      </c>
      <c r="AJ502" s="976"/>
      <c r="AK502" s="979"/>
      <c r="AL502" s="1006"/>
      <c r="AM502" s="151"/>
      <c r="AN502" s="90"/>
      <c r="AO502" s="128"/>
      <c r="AP502" s="106"/>
    </row>
    <row r="503" spans="1:42" s="69" customFormat="1" ht="12.75" customHeight="1">
      <c r="A503" s="1015"/>
      <c r="B503" s="821"/>
      <c r="C503" s="525"/>
      <c r="D503" s="223" t="s">
        <v>813</v>
      </c>
      <c r="E503" s="320" t="s">
        <v>64</v>
      </c>
      <c r="F503" s="228" t="s">
        <v>64</v>
      </c>
      <c r="G503" s="426">
        <f>G502*2</f>
        <v>4695.5240000000003</v>
      </c>
      <c r="H503" s="225" t="s">
        <v>64</v>
      </c>
      <c r="I503" s="639" t="s">
        <v>64</v>
      </c>
      <c r="J503" s="1001"/>
      <c r="K503" s="1081"/>
      <c r="L503" s="7">
        <v>146.16218000000003</v>
      </c>
      <c r="M503" s="320" t="s">
        <v>64</v>
      </c>
      <c r="N503" s="188"/>
      <c r="O503" s="188"/>
      <c r="P503" s="188"/>
      <c r="Q503" s="482">
        <v>146.16218000000003</v>
      </c>
      <c r="R503" s="157">
        <v>1598.4045880527194</v>
      </c>
      <c r="S503" s="633">
        <v>146.16218000000003</v>
      </c>
      <c r="T503" s="157">
        <v>1598.4045880527194</v>
      </c>
      <c r="U503" s="607" t="s">
        <v>64</v>
      </c>
      <c r="V503" s="7"/>
      <c r="W503" s="410">
        <v>61.041812000000007</v>
      </c>
      <c r="X503" s="507">
        <v>667.54281007475061</v>
      </c>
      <c r="Y503" s="7">
        <v>12.138055200000002</v>
      </c>
      <c r="Z503" s="157">
        <v>132.73969450727367</v>
      </c>
      <c r="AA503" s="188"/>
      <c r="AB503" s="214"/>
      <c r="AC503" s="676">
        <v>32.848147200000007</v>
      </c>
      <c r="AD503" s="176">
        <v>359.22171654467013</v>
      </c>
      <c r="AE503" s="1010"/>
      <c r="AF503" s="1011"/>
      <c r="AG503" s="633">
        <v>146.16218000000003</v>
      </c>
      <c r="AH503" s="157">
        <v>4795.2137641581585</v>
      </c>
      <c r="AI503" s="176">
        <f t="shared" si="17"/>
        <v>4795.2137641581585</v>
      </c>
      <c r="AJ503" s="976"/>
      <c r="AK503" s="979"/>
      <c r="AL503" s="1006"/>
      <c r="AM503" s="440"/>
      <c r="AN503" s="89"/>
      <c r="AO503" s="89"/>
    </row>
    <row r="504" spans="1:42" s="69" customFormat="1" ht="12.75" customHeight="1">
      <c r="A504" s="1015"/>
      <c r="B504" s="821"/>
      <c r="C504" s="525"/>
      <c r="D504" s="223" t="s">
        <v>814</v>
      </c>
      <c r="E504" s="320" t="s">
        <v>64</v>
      </c>
      <c r="F504" s="228" t="s">
        <v>64</v>
      </c>
      <c r="G504" s="426">
        <f>G502*10%</f>
        <v>234.77620000000002</v>
      </c>
      <c r="H504" s="225" t="s">
        <v>64</v>
      </c>
      <c r="I504" s="639" t="s">
        <v>64</v>
      </c>
      <c r="J504" s="1001"/>
      <c r="K504" s="1081"/>
      <c r="L504" s="7">
        <v>29</v>
      </c>
      <c r="M504" s="320" t="s">
        <v>64</v>
      </c>
      <c r="N504" s="188"/>
      <c r="O504" s="188"/>
      <c r="P504" s="188"/>
      <c r="Q504" s="482">
        <v>29</v>
      </c>
      <c r="R504" s="157">
        <v>317.13903729082881</v>
      </c>
      <c r="S504" s="633">
        <v>29</v>
      </c>
      <c r="T504" s="157">
        <v>317.13903729082881</v>
      </c>
      <c r="U504" s="607" t="s">
        <v>64</v>
      </c>
      <c r="V504" s="7"/>
      <c r="W504" s="410">
        <v>0</v>
      </c>
      <c r="X504" s="507">
        <v>0</v>
      </c>
      <c r="Y504" s="7">
        <v>4.32</v>
      </c>
      <c r="Z504" s="157">
        <v>47.242780727461401</v>
      </c>
      <c r="AA504" s="188"/>
      <c r="AB504" s="214"/>
      <c r="AC504" s="676">
        <v>10.4</v>
      </c>
      <c r="AD504" s="176">
        <v>113.73262026981443</v>
      </c>
      <c r="AE504" s="1010"/>
      <c r="AF504" s="1011"/>
      <c r="AG504" s="633">
        <v>29</v>
      </c>
      <c r="AH504" s="157">
        <v>951.41711187248643</v>
      </c>
      <c r="AI504" s="176">
        <f t="shared" si="17"/>
        <v>951.41711187248643</v>
      </c>
      <c r="AJ504" s="976"/>
      <c r="AK504" s="979"/>
      <c r="AL504" s="1006"/>
      <c r="AM504" s="440"/>
      <c r="AN504" s="89"/>
      <c r="AO504" s="89"/>
    </row>
    <row r="505" spans="1:42" s="69" customFormat="1" ht="12.75" customHeight="1">
      <c r="A505" s="1015"/>
      <c r="B505" s="821"/>
      <c r="C505" s="525"/>
      <c r="D505" s="223" t="s">
        <v>815</v>
      </c>
      <c r="E505" s="320" t="s">
        <v>64</v>
      </c>
      <c r="F505" s="228" t="s">
        <v>64</v>
      </c>
      <c r="G505" s="426">
        <f>G504*2</f>
        <v>469.55240000000003</v>
      </c>
      <c r="H505" s="225" t="s">
        <v>64</v>
      </c>
      <c r="I505" s="639" t="s">
        <v>64</v>
      </c>
      <c r="J505" s="1001"/>
      <c r="K505" s="1081"/>
      <c r="L505" s="7">
        <v>30.408708799999999</v>
      </c>
      <c r="M505" s="320" t="s">
        <v>64</v>
      </c>
      <c r="N505" s="188"/>
      <c r="O505" s="188"/>
      <c r="P505" s="188"/>
      <c r="Q505" s="482">
        <v>30.408708799999999</v>
      </c>
      <c r="R505" s="157">
        <v>332.54443565824653</v>
      </c>
      <c r="S505" s="633">
        <v>30.408708799999999</v>
      </c>
      <c r="T505" s="157">
        <v>332.54443565824653</v>
      </c>
      <c r="U505" s="607" t="s">
        <v>64</v>
      </c>
      <c r="V505" s="7"/>
      <c r="W505" s="410">
        <v>0</v>
      </c>
      <c r="X505" s="507">
        <v>0</v>
      </c>
      <c r="Y505" s="7">
        <v>4.5313063200000006</v>
      </c>
      <c r="Z505" s="157">
        <v>49.553590482574059</v>
      </c>
      <c r="AA505" s="188"/>
      <c r="AB505" s="214"/>
      <c r="AC505" s="676">
        <v>10.96348352</v>
      </c>
      <c r="AD505" s="176">
        <v>119.89477961678178</v>
      </c>
      <c r="AE505" s="1010"/>
      <c r="AF505" s="1011"/>
      <c r="AG505" s="633">
        <v>30.408708799999999</v>
      </c>
      <c r="AH505" s="157">
        <v>997.63330697473953</v>
      </c>
      <c r="AI505" s="176">
        <f t="shared" si="17"/>
        <v>997.63330697473953</v>
      </c>
      <c r="AJ505" s="976"/>
      <c r="AK505" s="979"/>
      <c r="AL505" s="1006"/>
      <c r="AM505" s="440"/>
      <c r="AN505" s="89"/>
      <c r="AO505" s="89"/>
    </row>
    <row r="506" spans="1:42" s="69" customFormat="1" ht="12.75" customHeight="1" thickBot="1">
      <c r="A506" s="1015"/>
      <c r="B506" s="745"/>
      <c r="C506" s="527"/>
      <c r="D506" s="224" t="s">
        <v>816</v>
      </c>
      <c r="E506" s="226" t="s">
        <v>64</v>
      </c>
      <c r="F506" s="229" t="s">
        <v>64</v>
      </c>
      <c r="G506" s="432">
        <f>G504*3</f>
        <v>704.32860000000005</v>
      </c>
      <c r="H506" s="226" t="s">
        <v>64</v>
      </c>
      <c r="I506" s="641" t="s">
        <v>64</v>
      </c>
      <c r="J506" s="1001"/>
      <c r="K506" s="1081"/>
      <c r="L506" s="28">
        <v>33.2260232</v>
      </c>
      <c r="M506" s="226" t="s">
        <v>64</v>
      </c>
      <c r="N506" s="116"/>
      <c r="O506" s="116"/>
      <c r="P506" s="116"/>
      <c r="Q506" s="481">
        <v>33.2260232</v>
      </c>
      <c r="R506" s="118">
        <v>363.35410381554266</v>
      </c>
      <c r="S506" s="677">
        <v>33.2260232</v>
      </c>
      <c r="T506" s="118">
        <v>363.35410381554266</v>
      </c>
      <c r="U506" s="607" t="s">
        <v>64</v>
      </c>
      <c r="V506" s="28"/>
      <c r="W506" s="98">
        <v>0</v>
      </c>
      <c r="X506" s="162">
        <v>0</v>
      </c>
      <c r="Y506" s="28">
        <v>4.9539034800000001</v>
      </c>
      <c r="Z506" s="118">
        <v>54.175040706168431</v>
      </c>
      <c r="AA506" s="116"/>
      <c r="AB506" s="175"/>
      <c r="AC506" s="677">
        <v>12.090409280000001</v>
      </c>
      <c r="AD506" s="178">
        <v>132.21864687970003</v>
      </c>
      <c r="AE506" s="1010"/>
      <c r="AF506" s="1011"/>
      <c r="AG506" s="677">
        <v>33.2260232</v>
      </c>
      <c r="AH506" s="118">
        <v>1090.062311446628</v>
      </c>
      <c r="AI506" s="180">
        <f t="shared" si="17"/>
        <v>1090.062311446628</v>
      </c>
      <c r="AJ506" s="976"/>
      <c r="AK506" s="980"/>
      <c r="AL506" s="1006"/>
      <c r="AM506" s="440"/>
      <c r="AN506" s="89"/>
      <c r="AO506" s="89"/>
    </row>
    <row r="507" spans="1:42" s="69" customFormat="1" ht="12.75" customHeight="1">
      <c r="A507" s="1015"/>
      <c r="B507" s="465" t="s">
        <v>151</v>
      </c>
      <c r="C507" s="386" t="s">
        <v>151</v>
      </c>
      <c r="D507" s="222" t="s">
        <v>664</v>
      </c>
      <c r="E507" s="240" t="s">
        <v>1</v>
      </c>
      <c r="F507" s="240" t="s">
        <v>0</v>
      </c>
      <c r="G507" s="430">
        <f>3*72*34.31</f>
        <v>7410.9600000000009</v>
      </c>
      <c r="H507" s="225" t="s">
        <v>221</v>
      </c>
      <c r="I507" s="828">
        <v>421.89</v>
      </c>
      <c r="J507" s="1001"/>
      <c r="K507" s="1081"/>
      <c r="L507" s="120">
        <v>305.13808000000006</v>
      </c>
      <c r="M507" s="120">
        <v>33</v>
      </c>
      <c r="N507" s="115"/>
      <c r="O507" s="115"/>
      <c r="P507" s="115"/>
      <c r="Q507" s="626">
        <v>272.13808000000006</v>
      </c>
      <c r="R507" s="117">
        <v>2185.3421755330055</v>
      </c>
      <c r="S507" s="676">
        <v>272.13808000000006</v>
      </c>
      <c r="T507" s="117">
        <v>2185.3421755330055</v>
      </c>
      <c r="U507" s="595">
        <v>5.48</v>
      </c>
      <c r="V507" s="120"/>
      <c r="W507" s="97">
        <v>96.342480000000023</v>
      </c>
      <c r="X507" s="161">
        <v>773.6560970792649</v>
      </c>
      <c r="Y507" s="120">
        <v>21.845840000000003</v>
      </c>
      <c r="Z507" s="117">
        <v>175.42798682178528</v>
      </c>
      <c r="AA507" s="115"/>
      <c r="AB507" s="174"/>
      <c r="AC507" s="676">
        <v>59.253460000000011</v>
      </c>
      <c r="AD507" s="177">
        <v>475.82126391226785</v>
      </c>
      <c r="AE507" s="1010"/>
      <c r="AF507" s="1011"/>
      <c r="AG507" s="676">
        <v>272.13808000000006</v>
      </c>
      <c r="AH507" s="117">
        <v>6556.0265265990165</v>
      </c>
      <c r="AI507" s="177">
        <f t="shared" si="17"/>
        <v>6556.0265265990165</v>
      </c>
      <c r="AJ507" s="976"/>
      <c r="AK507" s="981">
        <f>SUM(AI507:AI517)</f>
        <v>32185.851159382513</v>
      </c>
      <c r="AL507" s="1006"/>
      <c r="AM507" s="440"/>
      <c r="AN507" s="89"/>
      <c r="AO507" s="89"/>
    </row>
    <row r="508" spans="1:42" s="69" customFormat="1" ht="12.75" customHeight="1">
      <c r="A508" s="1015"/>
      <c r="B508" s="589"/>
      <c r="C508" s="525"/>
      <c r="D508" s="223" t="s">
        <v>809</v>
      </c>
      <c r="E508" s="320" t="s">
        <v>64</v>
      </c>
      <c r="F508" s="228" t="s">
        <v>64</v>
      </c>
      <c r="G508" s="426">
        <f>72*34.31</f>
        <v>2470.3200000000002</v>
      </c>
      <c r="H508" s="225" t="s">
        <v>64</v>
      </c>
      <c r="I508" s="639" t="s">
        <v>64</v>
      </c>
      <c r="J508" s="1001"/>
      <c r="K508" s="1081"/>
      <c r="L508" s="7">
        <v>70.417920000000009</v>
      </c>
      <c r="M508" s="320" t="s">
        <v>64</v>
      </c>
      <c r="N508" s="188"/>
      <c r="O508" s="188"/>
      <c r="P508" s="188"/>
      <c r="Q508" s="482">
        <v>70.417920000000009</v>
      </c>
      <c r="R508" s="157">
        <v>565.47488866427318</v>
      </c>
      <c r="S508" s="633">
        <v>70.417920000000009</v>
      </c>
      <c r="T508" s="157">
        <v>565.47488866427318</v>
      </c>
      <c r="U508" s="607" t="s">
        <v>64</v>
      </c>
      <c r="V508" s="7"/>
      <c r="W508" s="410">
        <v>0</v>
      </c>
      <c r="X508" s="507">
        <v>0</v>
      </c>
      <c r="Y508" s="7">
        <v>11.132688000000002</v>
      </c>
      <c r="Z508" s="157">
        <v>89.39848702338962</v>
      </c>
      <c r="AA508" s="188"/>
      <c r="AB508" s="214"/>
      <c r="AC508" s="676">
        <v>22.546272000000002</v>
      </c>
      <c r="AD508" s="176">
        <v>181.05264468184274</v>
      </c>
      <c r="AE508" s="1010"/>
      <c r="AF508" s="1011"/>
      <c r="AG508" s="633">
        <v>70.417920000000009</v>
      </c>
      <c r="AH508" s="157">
        <v>1696.4246659928194</v>
      </c>
      <c r="AI508" s="176">
        <f t="shared" si="17"/>
        <v>1696.4246659928194</v>
      </c>
      <c r="AJ508" s="976"/>
      <c r="AK508" s="982"/>
      <c r="AL508" s="1006"/>
      <c r="AM508" s="440"/>
      <c r="AN508" s="89"/>
      <c r="AO508" s="89"/>
    </row>
    <row r="509" spans="1:42" s="69" customFormat="1" ht="12.75" customHeight="1">
      <c r="A509" s="1015"/>
      <c r="B509" s="589"/>
      <c r="C509" s="525"/>
      <c r="D509" s="223" t="s">
        <v>810</v>
      </c>
      <c r="E509" s="320" t="s">
        <v>64</v>
      </c>
      <c r="F509" s="228" t="s">
        <v>64</v>
      </c>
      <c r="G509" s="426">
        <f>2*G508</f>
        <v>4940.6400000000003</v>
      </c>
      <c r="H509" s="225" t="s">
        <v>64</v>
      </c>
      <c r="I509" s="639" t="s">
        <v>64</v>
      </c>
      <c r="J509" s="1001"/>
      <c r="K509" s="1081"/>
      <c r="L509" s="7">
        <v>100.06175999999999</v>
      </c>
      <c r="M509" s="320" t="s">
        <v>64</v>
      </c>
      <c r="N509" s="188"/>
      <c r="O509" s="188"/>
      <c r="P509" s="188"/>
      <c r="Q509" s="482">
        <v>100.06175999999999</v>
      </c>
      <c r="R509" s="157">
        <v>803.52291853481665</v>
      </c>
      <c r="S509" s="633">
        <v>100.06175999999999</v>
      </c>
      <c r="T509" s="157">
        <v>803.52291853481665</v>
      </c>
      <c r="U509" s="607" t="s">
        <v>64</v>
      </c>
      <c r="V509" s="7"/>
      <c r="W509" s="410">
        <v>0</v>
      </c>
      <c r="X509" s="507">
        <v>0</v>
      </c>
      <c r="Y509" s="7">
        <v>15.579264000000002</v>
      </c>
      <c r="Z509" s="157">
        <v>125.10569150397113</v>
      </c>
      <c r="AA509" s="188"/>
      <c r="AB509" s="214"/>
      <c r="AC509" s="676">
        <v>32.921615999999993</v>
      </c>
      <c r="AD509" s="176">
        <v>264.36945513653302</v>
      </c>
      <c r="AE509" s="1010"/>
      <c r="AF509" s="1011"/>
      <c r="AG509" s="633">
        <v>100.06175999999999</v>
      </c>
      <c r="AH509" s="157">
        <v>2410.56875560445</v>
      </c>
      <c r="AI509" s="176">
        <f t="shared" si="17"/>
        <v>2410.56875560445</v>
      </c>
      <c r="AJ509" s="976"/>
      <c r="AK509" s="982"/>
      <c r="AL509" s="1006"/>
      <c r="AM509" s="440"/>
      <c r="AN509" s="89"/>
      <c r="AO509" s="89"/>
    </row>
    <row r="510" spans="1:42" s="69" customFormat="1" ht="12.75" customHeight="1">
      <c r="A510" s="1015"/>
      <c r="B510" s="589"/>
      <c r="C510" s="525"/>
      <c r="D510" s="223" t="s">
        <v>811</v>
      </c>
      <c r="E510" s="320" t="s">
        <v>64</v>
      </c>
      <c r="F510" s="228" t="s">
        <v>64</v>
      </c>
      <c r="G510" s="426">
        <f>G508*3</f>
        <v>7410.9600000000009</v>
      </c>
      <c r="H510" s="225" t="s">
        <v>64</v>
      </c>
      <c r="I510" s="639" t="s">
        <v>64</v>
      </c>
      <c r="J510" s="1001"/>
      <c r="K510" s="1081"/>
      <c r="L510" s="7">
        <v>117.70560000000002</v>
      </c>
      <c r="M510" s="320" t="s">
        <v>64</v>
      </c>
      <c r="N510" s="188"/>
      <c r="O510" s="188"/>
      <c r="P510" s="188"/>
      <c r="Q510" s="482">
        <v>117.70560000000002</v>
      </c>
      <c r="R510" s="157">
        <v>945.20771211591443</v>
      </c>
      <c r="S510" s="633">
        <v>117.70560000000002</v>
      </c>
      <c r="T510" s="157">
        <v>945.20771211591443</v>
      </c>
      <c r="U510" s="607" t="s">
        <v>64</v>
      </c>
      <c r="V510" s="7"/>
      <c r="W510" s="410">
        <v>0</v>
      </c>
      <c r="X510" s="507">
        <v>0</v>
      </c>
      <c r="Y510" s="7">
        <v>17.025840000000002</v>
      </c>
      <c r="Z510" s="157">
        <v>136.72208691219117</v>
      </c>
      <c r="AA510" s="188"/>
      <c r="AB510" s="214"/>
      <c r="AC510" s="676">
        <v>40.146960000000007</v>
      </c>
      <c r="AD510" s="176">
        <v>322.39091606524386</v>
      </c>
      <c r="AE510" s="1010"/>
      <c r="AF510" s="1011"/>
      <c r="AG510" s="633">
        <v>117.70560000000002</v>
      </c>
      <c r="AH510" s="157">
        <v>2835.6231363477432</v>
      </c>
      <c r="AI510" s="176">
        <f t="shared" si="17"/>
        <v>2835.6231363477432</v>
      </c>
      <c r="AJ510" s="976"/>
      <c r="AK510" s="982"/>
      <c r="AL510" s="1006"/>
      <c r="AM510" s="440"/>
      <c r="AN510" s="89"/>
      <c r="AO510" s="89"/>
    </row>
    <row r="511" spans="1:42" s="69" customFormat="1" ht="12.75" customHeight="1">
      <c r="A511" s="1015"/>
      <c r="B511" s="589"/>
      <c r="C511" s="525"/>
      <c r="D511" s="223" t="s">
        <v>812</v>
      </c>
      <c r="E511" s="320" t="s">
        <v>64</v>
      </c>
      <c r="F511" s="228" t="s">
        <v>64</v>
      </c>
      <c r="G511" s="426">
        <f>G502</f>
        <v>2347.7620000000002</v>
      </c>
      <c r="H511" s="225" t="s">
        <v>64</v>
      </c>
      <c r="I511" s="639" t="s">
        <v>64</v>
      </c>
      <c r="J511" s="1001"/>
      <c r="K511" s="1081"/>
      <c r="L511" s="7">
        <v>91.468130000000016</v>
      </c>
      <c r="M511" s="320" t="s">
        <v>64</v>
      </c>
      <c r="N511" s="188"/>
      <c r="O511" s="188"/>
      <c r="P511" s="188"/>
      <c r="Q511" s="7">
        <v>91.468130000000016</v>
      </c>
      <c r="R511" s="157">
        <v>734.51375201197652</v>
      </c>
      <c r="S511" s="7">
        <v>91.468130000000016</v>
      </c>
      <c r="T511" s="157">
        <v>734.51375201197652</v>
      </c>
      <c r="U511" s="607" t="s">
        <v>64</v>
      </c>
      <c r="V511" s="7"/>
      <c r="W511" s="410">
        <v>30.520906000000004</v>
      </c>
      <c r="X511" s="507">
        <v>245.09110638716308</v>
      </c>
      <c r="Y511" s="7">
        <v>7.9120835999999999</v>
      </c>
      <c r="Z511" s="157">
        <v>63.536165124053916</v>
      </c>
      <c r="AA511" s="188"/>
      <c r="AB511" s="214"/>
      <c r="AC511" s="676">
        <v>20.281528399999999</v>
      </c>
      <c r="AD511" s="176">
        <v>162.86614279335839</v>
      </c>
      <c r="AE511" s="1010"/>
      <c r="AF511" s="1011"/>
      <c r="AG511" s="7">
        <v>91.468130000000016</v>
      </c>
      <c r="AH511" s="157">
        <v>2203.5412560359296</v>
      </c>
      <c r="AI511" s="176">
        <f t="shared" si="17"/>
        <v>2203.5412560359296</v>
      </c>
      <c r="AJ511" s="976"/>
      <c r="AK511" s="982"/>
      <c r="AL511" s="1006"/>
      <c r="AM511" s="440"/>
      <c r="AN511" s="89"/>
      <c r="AO511" s="89"/>
    </row>
    <row r="512" spans="1:42" s="69" customFormat="1" ht="15" customHeight="1">
      <c r="A512" s="1015"/>
      <c r="B512" s="589"/>
      <c r="C512" s="525"/>
      <c r="D512" s="223" t="s">
        <v>813</v>
      </c>
      <c r="E512" s="320" t="s">
        <v>64</v>
      </c>
      <c r="F512" s="228" t="s">
        <v>64</v>
      </c>
      <c r="G512" s="426">
        <f>2*G511</f>
        <v>4695.5240000000003</v>
      </c>
      <c r="H512" s="225" t="s">
        <v>64</v>
      </c>
      <c r="I512" s="639" t="s">
        <v>64</v>
      </c>
      <c r="J512" s="1001"/>
      <c r="K512" s="1081"/>
      <c r="L512" s="7">
        <v>150.16218000000003</v>
      </c>
      <c r="M512" s="320" t="s">
        <v>64</v>
      </c>
      <c r="N512" s="188"/>
      <c r="O512" s="188"/>
      <c r="P512" s="188"/>
      <c r="Q512" s="7">
        <v>150.16218000000003</v>
      </c>
      <c r="R512" s="157">
        <v>1205.8428027565219</v>
      </c>
      <c r="S512" s="7">
        <v>150.16218000000003</v>
      </c>
      <c r="T512" s="157">
        <v>1205.8428027565219</v>
      </c>
      <c r="U512" s="607" t="s">
        <v>64</v>
      </c>
      <c r="V512" s="7"/>
      <c r="W512" s="410">
        <v>61.041812000000007</v>
      </c>
      <c r="X512" s="507">
        <v>490.18221277432616</v>
      </c>
      <c r="Y512" s="7">
        <v>12.138055200000002</v>
      </c>
      <c r="Z512" s="157">
        <v>97.471856777661174</v>
      </c>
      <c r="AA512" s="188"/>
      <c r="AB512" s="214"/>
      <c r="AC512" s="676">
        <v>30.142128800000002</v>
      </c>
      <c r="AD512" s="270">
        <v>242.04942331844185</v>
      </c>
      <c r="AE512" s="1010"/>
      <c r="AF512" s="1011"/>
      <c r="AG512" s="7">
        <v>150.16218000000003</v>
      </c>
      <c r="AH512" s="157">
        <v>3617.5284082695657</v>
      </c>
      <c r="AI512" s="176">
        <f t="shared" si="17"/>
        <v>3617.5284082695657</v>
      </c>
      <c r="AJ512" s="976"/>
      <c r="AK512" s="982"/>
      <c r="AL512" s="1006"/>
      <c r="AM512" s="151"/>
      <c r="AN512" s="90"/>
      <c r="AO512" s="128"/>
      <c r="AP512" s="106"/>
    </row>
    <row r="513" spans="1:42" s="69" customFormat="1" ht="15" customHeight="1">
      <c r="A513" s="1015"/>
      <c r="B513" s="589"/>
      <c r="C513" s="525"/>
      <c r="D513" s="223" t="s">
        <v>814</v>
      </c>
      <c r="E513" s="320" t="s">
        <v>64</v>
      </c>
      <c r="F513" s="228" t="s">
        <v>64</v>
      </c>
      <c r="G513" s="426">
        <f>G511*10%</f>
        <v>234.77620000000002</v>
      </c>
      <c r="H513" s="225" t="s">
        <v>64</v>
      </c>
      <c r="I513" s="639" t="s">
        <v>64</v>
      </c>
      <c r="J513" s="1001"/>
      <c r="K513" s="1048"/>
      <c r="L513" s="210">
        <v>33</v>
      </c>
      <c r="M513" s="225" t="s">
        <v>64</v>
      </c>
      <c r="N513" s="197"/>
      <c r="O513" s="197"/>
      <c r="P513" s="197"/>
      <c r="Q513" s="24">
        <v>33</v>
      </c>
      <c r="R513" s="159">
        <v>264.99889979597543</v>
      </c>
      <c r="S513" s="24">
        <v>33</v>
      </c>
      <c r="T513" s="159">
        <v>264.99889979597543</v>
      </c>
      <c r="U513" s="607" t="s">
        <v>64</v>
      </c>
      <c r="V513" s="24"/>
      <c r="W513" s="410">
        <v>0</v>
      </c>
      <c r="X513" s="507">
        <v>0</v>
      </c>
      <c r="Y513" s="24">
        <v>4.32</v>
      </c>
      <c r="Z513" s="159">
        <v>34.690765064200463</v>
      </c>
      <c r="AA513" s="197"/>
      <c r="AB513" s="213"/>
      <c r="AC513" s="676">
        <v>10.5</v>
      </c>
      <c r="AD513" s="411">
        <v>84.317831753264926</v>
      </c>
      <c r="AE513" s="1010"/>
      <c r="AF513" s="1011"/>
      <c r="AG513" s="24">
        <v>33</v>
      </c>
      <c r="AH513" s="159">
        <v>794.99669938792636</v>
      </c>
      <c r="AI513" s="176">
        <f t="shared" si="17"/>
        <v>794.99669938792636</v>
      </c>
      <c r="AJ513" s="976"/>
      <c r="AK513" s="982"/>
      <c r="AL513" s="1006"/>
      <c r="AM513" s="151"/>
      <c r="AN513" s="90"/>
      <c r="AO513" s="128"/>
      <c r="AP513" s="106"/>
    </row>
    <row r="514" spans="1:42" s="69" customFormat="1" ht="15" customHeight="1">
      <c r="A514" s="1015"/>
      <c r="B514" s="589"/>
      <c r="C514" s="525"/>
      <c r="D514" s="223" t="s">
        <v>815</v>
      </c>
      <c r="E514" s="320" t="s">
        <v>64</v>
      </c>
      <c r="F514" s="228" t="s">
        <v>64</v>
      </c>
      <c r="G514" s="426">
        <f>G513*2</f>
        <v>469.55240000000003</v>
      </c>
      <c r="H514" s="225" t="s">
        <v>64</v>
      </c>
      <c r="I514" s="639" t="s">
        <v>64</v>
      </c>
      <c r="J514" s="1001"/>
      <c r="K514" s="1048"/>
      <c r="L514" s="211">
        <v>34.408708799999999</v>
      </c>
      <c r="M514" s="225" t="s">
        <v>64</v>
      </c>
      <c r="N514" s="188"/>
      <c r="O514" s="188"/>
      <c r="P514" s="188"/>
      <c r="Q514" s="7">
        <v>34.408708799999999</v>
      </c>
      <c r="R514" s="157">
        <v>276.31121137576071</v>
      </c>
      <c r="S514" s="7">
        <v>34.408708799999999</v>
      </c>
      <c r="T514" s="157">
        <v>276.31121137576071</v>
      </c>
      <c r="U514" s="607" t="s">
        <v>64</v>
      </c>
      <c r="V514" s="7"/>
      <c r="W514" s="410"/>
      <c r="X514" s="507"/>
      <c r="Y514" s="7">
        <v>4.5313063200000006</v>
      </c>
      <c r="Z514" s="157">
        <v>36.387611801168191</v>
      </c>
      <c r="AA514" s="188"/>
      <c r="AB514" s="214"/>
      <c r="AC514" s="676">
        <v>10.993048079999999</v>
      </c>
      <c r="AD514" s="270">
        <v>88.277140806189749</v>
      </c>
      <c r="AE514" s="1010"/>
      <c r="AF514" s="1011"/>
      <c r="AG514" s="7">
        <v>34.408708799999999</v>
      </c>
      <c r="AH514" s="157">
        <v>828.93363412728218</v>
      </c>
      <c r="AI514" s="176">
        <f t="shared" si="17"/>
        <v>828.93363412728218</v>
      </c>
      <c r="AJ514" s="976"/>
      <c r="AK514" s="982"/>
      <c r="AL514" s="1006"/>
      <c r="AM514" s="151"/>
      <c r="AN514" s="90"/>
      <c r="AO514" s="128"/>
      <c r="AP514" s="106"/>
    </row>
    <row r="515" spans="1:42" s="69" customFormat="1" ht="15" customHeight="1">
      <c r="A515" s="1015"/>
      <c r="B515" s="589"/>
      <c r="C515" s="525"/>
      <c r="D515" s="223" t="s">
        <v>816</v>
      </c>
      <c r="E515" s="225" t="s">
        <v>64</v>
      </c>
      <c r="F515" s="228" t="s">
        <v>64</v>
      </c>
      <c r="G515" s="426">
        <f>G513*3</f>
        <v>704.32860000000005</v>
      </c>
      <c r="H515" s="225" t="s">
        <v>64</v>
      </c>
      <c r="I515" s="639" t="s">
        <v>64</v>
      </c>
      <c r="J515" s="1001"/>
      <c r="K515" s="1048"/>
      <c r="L515" s="211">
        <v>37.2260232</v>
      </c>
      <c r="M515" s="225" t="s">
        <v>64</v>
      </c>
      <c r="N515" s="188"/>
      <c r="O515" s="188"/>
      <c r="P515" s="188"/>
      <c r="Q515" s="7">
        <v>37.2260232</v>
      </c>
      <c r="R515" s="157">
        <v>298.9350058114988</v>
      </c>
      <c r="S515" s="7">
        <v>37.2260232</v>
      </c>
      <c r="T515" s="157">
        <v>298.9350058114988</v>
      </c>
      <c r="U515" s="607" t="s">
        <v>64</v>
      </c>
      <c r="V515" s="7"/>
      <c r="W515" s="410"/>
      <c r="X515" s="507"/>
      <c r="Y515" s="7">
        <v>4.9539034800000001</v>
      </c>
      <c r="Z515" s="157">
        <v>39.781180966528922</v>
      </c>
      <c r="AA515" s="188"/>
      <c r="AB515" s="214"/>
      <c r="AC515" s="676">
        <v>11.979108119999999</v>
      </c>
      <c r="AD515" s="270">
        <v>96.195468858697993</v>
      </c>
      <c r="AE515" s="1010"/>
      <c r="AF515" s="1011"/>
      <c r="AG515" s="7">
        <v>37.2260232</v>
      </c>
      <c r="AH515" s="157">
        <v>896.80501743449645</v>
      </c>
      <c r="AI515" s="176">
        <f t="shared" si="17"/>
        <v>896.80501743449645</v>
      </c>
      <c r="AJ515" s="976"/>
      <c r="AK515" s="982"/>
      <c r="AL515" s="1006"/>
      <c r="AM515" s="151"/>
      <c r="AN515" s="90"/>
      <c r="AO515" s="128"/>
      <c r="AP515" s="106"/>
    </row>
    <row r="516" spans="1:42" s="69" customFormat="1" ht="15" customHeight="1">
      <c r="A516" s="1015"/>
      <c r="B516" s="589"/>
      <c r="C516" s="525"/>
      <c r="D516" s="223" t="s">
        <v>820</v>
      </c>
      <c r="E516" s="225" t="s">
        <v>64</v>
      </c>
      <c r="F516" s="228" t="s">
        <v>64</v>
      </c>
      <c r="G516" s="426">
        <f>14086.57+14086.57*20%</f>
        <v>16903.883999999998</v>
      </c>
      <c r="H516" s="225" t="s">
        <v>64</v>
      </c>
      <c r="I516" s="639" t="s">
        <v>64</v>
      </c>
      <c r="J516" s="1001"/>
      <c r="K516" s="1048"/>
      <c r="L516" s="211">
        <v>231.62068799999997</v>
      </c>
      <c r="M516" s="225" t="s">
        <v>64</v>
      </c>
      <c r="N516" s="188"/>
      <c r="O516" s="188"/>
      <c r="P516" s="188"/>
      <c r="Q516" s="7">
        <v>231.62068799999997</v>
      </c>
      <c r="R516" s="157">
        <v>1859.9765906056614</v>
      </c>
      <c r="S516" s="7">
        <v>231.62068799999997</v>
      </c>
      <c r="T516" s="157">
        <v>1859.9765906056614</v>
      </c>
      <c r="U516" s="607" t="s">
        <v>64</v>
      </c>
      <c r="V516" s="7"/>
      <c r="W516" s="410"/>
      <c r="X516" s="507"/>
      <c r="Y516" s="7">
        <v>34.113103199999998</v>
      </c>
      <c r="Z516" s="157">
        <v>273.93741868565343</v>
      </c>
      <c r="AA516" s="188"/>
      <c r="AB516" s="214"/>
      <c r="AC516" s="676">
        <v>80.017240799999982</v>
      </c>
      <c r="AD516" s="270">
        <v>642.56002353665599</v>
      </c>
      <c r="AE516" s="1010"/>
      <c r="AF516" s="1011"/>
      <c r="AG516" s="7">
        <v>231.62068799999997</v>
      </c>
      <c r="AH516" s="157">
        <v>5579.9297718169837</v>
      </c>
      <c r="AI516" s="176">
        <f t="shared" si="17"/>
        <v>5579.9297718169837</v>
      </c>
      <c r="AJ516" s="976"/>
      <c r="AK516" s="982"/>
      <c r="AL516" s="1006"/>
      <c r="AM516" s="151"/>
      <c r="AN516" s="90"/>
      <c r="AO516" s="128"/>
      <c r="AP516" s="106"/>
    </row>
    <row r="517" spans="1:42" s="69" customFormat="1" ht="15" customHeight="1" thickBot="1">
      <c r="A517" s="1015"/>
      <c r="B517" s="593"/>
      <c r="C517" s="527"/>
      <c r="D517" s="224" t="s">
        <v>821</v>
      </c>
      <c r="E517" s="226" t="s">
        <v>64</v>
      </c>
      <c r="F517" s="229" t="s">
        <v>64</v>
      </c>
      <c r="G517" s="432">
        <v>14086.57</v>
      </c>
      <c r="H517" s="226" t="s">
        <v>64</v>
      </c>
      <c r="I517" s="641" t="s">
        <v>64</v>
      </c>
      <c r="J517" s="1002"/>
      <c r="K517" s="1049"/>
      <c r="L517" s="547">
        <v>197.81291999999999</v>
      </c>
      <c r="M517" s="226" t="s">
        <v>64</v>
      </c>
      <c r="N517" s="116"/>
      <c r="O517" s="116"/>
      <c r="P517" s="116"/>
      <c r="Q517" s="28">
        <v>197.81291999999999</v>
      </c>
      <c r="R517" s="118">
        <v>1588.491095922099</v>
      </c>
      <c r="S517" s="28">
        <v>197.81291999999999</v>
      </c>
      <c r="T517" s="118">
        <v>1588.491095922099</v>
      </c>
      <c r="U517" s="229" t="s">
        <v>64</v>
      </c>
      <c r="V517" s="28"/>
      <c r="W517" s="98"/>
      <c r="X517" s="162"/>
      <c r="Y517" s="28">
        <v>29.041937999999998</v>
      </c>
      <c r="Z517" s="118">
        <v>233.2145944831193</v>
      </c>
      <c r="AA517" s="116"/>
      <c r="AB517" s="175"/>
      <c r="AC517" s="28">
        <v>68.184521999999987</v>
      </c>
      <c r="AD517" s="757">
        <v>547.54010039740854</v>
      </c>
      <c r="AE517" s="1012"/>
      <c r="AF517" s="1013"/>
      <c r="AG517" s="28">
        <v>197.81291999999999</v>
      </c>
      <c r="AH517" s="118">
        <v>4765.4732877662973</v>
      </c>
      <c r="AI517" s="178">
        <f t="shared" si="17"/>
        <v>4765.4732877662973</v>
      </c>
      <c r="AJ517" s="977"/>
      <c r="AK517" s="983"/>
      <c r="AL517" s="1006"/>
      <c r="AM517" s="151"/>
      <c r="AN517" s="90"/>
      <c r="AO517" s="128"/>
      <c r="AP517" s="106"/>
    </row>
    <row r="518" spans="1:42" s="69" customFormat="1" ht="12.75" customHeight="1">
      <c r="A518" s="1015"/>
      <c r="B518" s="232" t="s">
        <v>151</v>
      </c>
      <c r="C518" s="912" t="s">
        <v>151</v>
      </c>
      <c r="D518" s="222" t="s">
        <v>674</v>
      </c>
      <c r="E518" s="240" t="s">
        <v>1</v>
      </c>
      <c r="F518" s="240" t="s">
        <v>0</v>
      </c>
      <c r="G518" s="426">
        <f>3*150*34.31</f>
        <v>15439.500000000002</v>
      </c>
      <c r="H518" s="673">
        <v>302.07</v>
      </c>
      <c r="I518" s="673">
        <v>302.07</v>
      </c>
      <c r="J518" s="1217" t="s">
        <v>665</v>
      </c>
      <c r="K518" s="1000" t="s">
        <v>666</v>
      </c>
      <c r="L518" s="209">
        <v>670.51970000000006</v>
      </c>
      <c r="M518" s="120">
        <v>94.95</v>
      </c>
      <c r="N518" s="115"/>
      <c r="O518" s="115"/>
      <c r="P518" s="115"/>
      <c r="Q518" s="676">
        <v>575.56970000000001</v>
      </c>
      <c r="R518" s="117">
        <v>3528.3167525484605</v>
      </c>
      <c r="S518" s="676">
        <v>575.56970000000001</v>
      </c>
      <c r="T518" s="117">
        <v>3528.3167525484605</v>
      </c>
      <c r="U518" s="595"/>
      <c r="V518" s="120"/>
      <c r="W518" s="97">
        <v>196.66350000000003</v>
      </c>
      <c r="X518" s="161">
        <v>1205.5727076404714</v>
      </c>
      <c r="Y518" s="120">
        <v>29.319250000000004</v>
      </c>
      <c r="Z518" s="117">
        <v>179.73079706446748</v>
      </c>
      <c r="AA518" s="676">
        <v>53.231200000000001</v>
      </c>
      <c r="AB518" s="177">
        <v>326.31414530378743</v>
      </c>
      <c r="AC518" s="676">
        <v>56.9925</v>
      </c>
      <c r="AD518" s="177">
        <v>349.37140109984534</v>
      </c>
      <c r="AE518" s="1008" t="s">
        <v>667</v>
      </c>
      <c r="AF518" s="1009"/>
      <c r="AG518" s="838">
        <v>575.56970000000001</v>
      </c>
      <c r="AH518" s="117">
        <v>10584.950257645381</v>
      </c>
      <c r="AI518" s="177">
        <f t="shared" ref="AI518:AI550" si="18">AH518</f>
        <v>10584.950257645381</v>
      </c>
      <c r="AJ518" s="975">
        <v>46245</v>
      </c>
      <c r="AK518" s="981">
        <f>SUM(AI518:AI528)</f>
        <v>32070.982165160647</v>
      </c>
      <c r="AL518" s="1006"/>
      <c r="AM518" s="440"/>
      <c r="AN518" s="89"/>
      <c r="AO518" s="89"/>
    </row>
    <row r="519" spans="1:42" s="69" customFormat="1" ht="12.75" customHeight="1">
      <c r="A519" s="1015"/>
      <c r="B519" s="840"/>
      <c r="C519" s="525"/>
      <c r="D519" s="223" t="s">
        <v>809</v>
      </c>
      <c r="E519" s="225" t="s">
        <v>64</v>
      </c>
      <c r="F519" s="228" t="s">
        <v>64</v>
      </c>
      <c r="G519" s="426">
        <f>150*34.31</f>
        <v>5146.5</v>
      </c>
      <c r="H519" s="320" t="s">
        <v>64</v>
      </c>
      <c r="I519" s="638" t="s">
        <v>64</v>
      </c>
      <c r="J519" s="1218"/>
      <c r="K519" s="1001"/>
      <c r="L519" s="211">
        <v>109.0994</v>
      </c>
      <c r="M519" s="320" t="s">
        <v>64</v>
      </c>
      <c r="N519" s="188"/>
      <c r="O519" s="188"/>
      <c r="P519" s="188"/>
      <c r="Q519" s="633">
        <v>109.0994</v>
      </c>
      <c r="R519" s="157">
        <v>668.79344189415326</v>
      </c>
      <c r="S519" s="633">
        <v>109.0994</v>
      </c>
      <c r="T519" s="157">
        <v>668.79344189415326</v>
      </c>
      <c r="U519" s="607" t="s">
        <v>64</v>
      </c>
      <c r="V519" s="7"/>
      <c r="W519" s="410">
        <v>0</v>
      </c>
      <c r="X519" s="507">
        <v>0</v>
      </c>
      <c r="Y519" s="7">
        <v>9.9197500000000005</v>
      </c>
      <c r="Z519" s="157">
        <v>60.80935133675824</v>
      </c>
      <c r="AA519" s="676">
        <v>14.634400000000001</v>
      </c>
      <c r="AB519" s="176">
        <v>89.710766017556452</v>
      </c>
      <c r="AC519" s="676">
        <v>16.463699999999999</v>
      </c>
      <c r="AD519" s="176">
        <v>100.92461176975101</v>
      </c>
      <c r="AE519" s="1010"/>
      <c r="AF519" s="1011"/>
      <c r="AG519" s="839">
        <v>109.0994</v>
      </c>
      <c r="AH519" s="157">
        <v>2006.3803256824599</v>
      </c>
      <c r="AI519" s="176">
        <f t="shared" si="18"/>
        <v>2006.3803256824599</v>
      </c>
      <c r="AJ519" s="976"/>
      <c r="AK519" s="982"/>
      <c r="AL519" s="1006"/>
      <c r="AM519" s="440"/>
      <c r="AN519" s="89"/>
      <c r="AO519" s="89"/>
    </row>
    <row r="520" spans="1:42" s="69" customFormat="1" ht="12.75" customHeight="1">
      <c r="A520" s="1015"/>
      <c r="B520" s="840"/>
      <c r="C520" s="525"/>
      <c r="D520" s="223" t="s">
        <v>810</v>
      </c>
      <c r="E520" s="225" t="s">
        <v>64</v>
      </c>
      <c r="F520" s="228" t="s">
        <v>64</v>
      </c>
      <c r="G520" s="426">
        <f>2*2470.32</f>
        <v>4940.6400000000003</v>
      </c>
      <c r="H520" s="320" t="s">
        <v>64</v>
      </c>
      <c r="I520" s="638" t="s">
        <v>64</v>
      </c>
      <c r="J520" s="1218"/>
      <c r="K520" s="1001"/>
      <c r="L520" s="211">
        <v>120.15142400000001</v>
      </c>
      <c r="M520" s="320" t="s">
        <v>64</v>
      </c>
      <c r="N520" s="188"/>
      <c r="O520" s="188"/>
      <c r="P520" s="188"/>
      <c r="Q520" s="633">
        <v>120.15142400000001</v>
      </c>
      <c r="R520" s="157">
        <v>736.54377939240544</v>
      </c>
      <c r="S520" s="633">
        <v>120.15142400000001</v>
      </c>
      <c r="T520" s="157">
        <v>736.54377939240544</v>
      </c>
      <c r="U520" s="607" t="s">
        <v>64</v>
      </c>
      <c r="V520" s="7"/>
      <c r="W520" s="410">
        <v>0</v>
      </c>
      <c r="X520" s="507">
        <v>0</v>
      </c>
      <c r="Y520" s="7">
        <v>12.610960000000002</v>
      </c>
      <c r="Z520" s="157">
        <v>77.306816939318466</v>
      </c>
      <c r="AA520" s="676">
        <v>15.745024000000001</v>
      </c>
      <c r="AB520" s="176">
        <v>96.519034877057479</v>
      </c>
      <c r="AC520" s="676">
        <v>17.713152000000001</v>
      </c>
      <c r="AD520" s="176">
        <v>108.58391423668975</v>
      </c>
      <c r="AE520" s="1010"/>
      <c r="AF520" s="1011"/>
      <c r="AG520" s="839">
        <v>120.15142400000001</v>
      </c>
      <c r="AH520" s="157">
        <v>2209.6313381772161</v>
      </c>
      <c r="AI520" s="176">
        <f t="shared" si="18"/>
        <v>2209.6313381772161</v>
      </c>
      <c r="AJ520" s="976"/>
      <c r="AK520" s="982"/>
      <c r="AL520" s="1006"/>
      <c r="AM520" s="440"/>
      <c r="AN520" s="89"/>
      <c r="AO520" s="89"/>
    </row>
    <row r="521" spans="1:42" s="69" customFormat="1" ht="12.75" customHeight="1">
      <c r="A521" s="1015"/>
      <c r="B521" s="840"/>
      <c r="C521" s="525"/>
      <c r="D521" s="223" t="s">
        <v>811</v>
      </c>
      <c r="E521" s="225" t="s">
        <v>64</v>
      </c>
      <c r="F521" s="228" t="s">
        <v>64</v>
      </c>
      <c r="G521" s="426">
        <f>3*2470.32</f>
        <v>7410.9600000000009</v>
      </c>
      <c r="H521" s="225" t="s">
        <v>64</v>
      </c>
      <c r="I521" s="638" t="s">
        <v>64</v>
      </c>
      <c r="J521" s="1218"/>
      <c r="K521" s="1001"/>
      <c r="L521" s="211">
        <v>135.36713600000002</v>
      </c>
      <c r="M521" s="320" t="s">
        <v>64</v>
      </c>
      <c r="N521" s="188"/>
      <c r="O521" s="188"/>
      <c r="P521" s="188"/>
      <c r="Q521" s="633">
        <v>135.36713600000002</v>
      </c>
      <c r="R521" s="157">
        <v>829.8180632046915</v>
      </c>
      <c r="S521" s="633">
        <v>135.36713600000002</v>
      </c>
      <c r="T521" s="157">
        <v>829.8180632046915</v>
      </c>
      <c r="U521" s="607" t="s">
        <v>64</v>
      </c>
      <c r="V521" s="7"/>
      <c r="W521" s="410">
        <v>0</v>
      </c>
      <c r="X521" s="507">
        <v>0</v>
      </c>
      <c r="Y521" s="7">
        <v>13.316440000000002</v>
      </c>
      <c r="Z521" s="157">
        <v>81.631500644155523</v>
      </c>
      <c r="AA521" s="676">
        <v>18.257536000000002</v>
      </c>
      <c r="AB521" s="176">
        <v>111.92105861211343</v>
      </c>
      <c r="AC521" s="676">
        <v>20.539728</v>
      </c>
      <c r="AD521" s="176">
        <v>125.91119093862764</v>
      </c>
      <c r="AE521" s="1010"/>
      <c r="AF521" s="1011"/>
      <c r="AG521" s="839">
        <v>135.36713600000002</v>
      </c>
      <c r="AH521" s="157">
        <v>2489.4541896140745</v>
      </c>
      <c r="AI521" s="176">
        <f t="shared" si="18"/>
        <v>2489.4541896140745</v>
      </c>
      <c r="AJ521" s="976"/>
      <c r="AK521" s="982"/>
      <c r="AL521" s="1006"/>
      <c r="AM521" s="440"/>
      <c r="AN521" s="89"/>
      <c r="AO521" s="89"/>
    </row>
    <row r="522" spans="1:42" s="69" customFormat="1" ht="12.75" customHeight="1">
      <c r="A522" s="1015"/>
      <c r="B522" s="840"/>
      <c r="C522" s="525"/>
      <c r="D522" s="223" t="s">
        <v>812</v>
      </c>
      <c r="E522" s="225" t="s">
        <v>64</v>
      </c>
      <c r="F522" s="228" t="s">
        <v>64</v>
      </c>
      <c r="G522" s="426">
        <v>2347.7600000000002</v>
      </c>
      <c r="H522" s="225" t="s">
        <v>64</v>
      </c>
      <c r="I522" s="638" t="s">
        <v>64</v>
      </c>
      <c r="J522" s="1218"/>
      <c r="K522" s="1001"/>
      <c r="L522" s="211">
        <v>118.75489599999999</v>
      </c>
      <c r="M522" s="320" t="s">
        <v>64</v>
      </c>
      <c r="N522" s="188"/>
      <c r="O522" s="188"/>
      <c r="P522" s="188"/>
      <c r="Q522" s="633">
        <v>118.75489599999999</v>
      </c>
      <c r="R522" s="157">
        <v>727.98288201055414</v>
      </c>
      <c r="S522" s="633">
        <v>118.75489599999999</v>
      </c>
      <c r="T522" s="157">
        <v>727.98288201055414</v>
      </c>
      <c r="U522" s="607" t="s">
        <v>64</v>
      </c>
      <c r="V522" s="7"/>
      <c r="W522" s="410">
        <v>30.520880000000005</v>
      </c>
      <c r="X522" s="507">
        <v>187.0969444821732</v>
      </c>
      <c r="Y522" s="7">
        <v>5.7216399999999998</v>
      </c>
      <c r="Z522" s="157">
        <v>35.074393707749678</v>
      </c>
      <c r="AA522" s="676">
        <v>11.756416</v>
      </c>
      <c r="AB522" s="176">
        <v>72.068351622277362</v>
      </c>
      <c r="AC522" s="676">
        <v>13.225967999999998</v>
      </c>
      <c r="AD522" s="176">
        <v>81.07689557506211</v>
      </c>
      <c r="AE522" s="1010"/>
      <c r="AF522" s="1011"/>
      <c r="AG522" s="839">
        <v>118.75489599999999</v>
      </c>
      <c r="AH522" s="157">
        <v>2183.9486460316625</v>
      </c>
      <c r="AI522" s="176">
        <f t="shared" si="18"/>
        <v>2183.9486460316625</v>
      </c>
      <c r="AJ522" s="976"/>
      <c r="AK522" s="982"/>
      <c r="AL522" s="1006"/>
      <c r="AM522" s="440"/>
      <c r="AN522" s="89"/>
      <c r="AO522" s="89"/>
    </row>
    <row r="523" spans="1:42" s="69" customFormat="1" ht="12.75" customHeight="1">
      <c r="A523" s="1015"/>
      <c r="B523" s="840"/>
      <c r="C523" s="525"/>
      <c r="D523" s="223" t="s">
        <v>813</v>
      </c>
      <c r="E523" s="225" t="s">
        <v>64</v>
      </c>
      <c r="F523" s="228" t="s">
        <v>64</v>
      </c>
      <c r="G523" s="426">
        <f>2*G522</f>
        <v>4695.5200000000004</v>
      </c>
      <c r="H523" s="225" t="s">
        <v>64</v>
      </c>
      <c r="I523" s="638" t="s">
        <v>64</v>
      </c>
      <c r="J523" s="1218"/>
      <c r="K523" s="1001"/>
      <c r="L523" s="211">
        <v>176.50979200000003</v>
      </c>
      <c r="M523" s="320" t="s">
        <v>64</v>
      </c>
      <c r="N523" s="188"/>
      <c r="O523" s="188"/>
      <c r="P523" s="188"/>
      <c r="Q523" s="633">
        <v>176.50979200000003</v>
      </c>
      <c r="R523" s="157">
        <v>1082.0278692614345</v>
      </c>
      <c r="S523" s="633">
        <v>176.50979200000003</v>
      </c>
      <c r="T523" s="157">
        <v>1082.0278692614345</v>
      </c>
      <c r="U523" s="607" t="s">
        <v>64</v>
      </c>
      <c r="V523" s="7"/>
      <c r="W523" s="410">
        <v>61.041760000000011</v>
      </c>
      <c r="X523" s="507">
        <v>374.1938889643464</v>
      </c>
      <c r="Y523" s="7">
        <v>9.2432800000000004</v>
      </c>
      <c r="Z523" s="157">
        <v>56.662502686462005</v>
      </c>
      <c r="AA523" s="676">
        <v>15.512832000000001</v>
      </c>
      <c r="AB523" s="176">
        <v>95.095667866237207</v>
      </c>
      <c r="AC523" s="676">
        <v>17.451936</v>
      </c>
      <c r="AD523" s="176">
        <v>106.98262634951681</v>
      </c>
      <c r="AE523" s="1010"/>
      <c r="AF523" s="1011"/>
      <c r="AG523" s="839">
        <v>176.50979200000003</v>
      </c>
      <c r="AH523" s="157">
        <v>3246.0836077843032</v>
      </c>
      <c r="AI523" s="176">
        <f t="shared" si="18"/>
        <v>3246.0836077843032</v>
      </c>
      <c r="AJ523" s="976"/>
      <c r="AK523" s="982"/>
      <c r="AL523" s="1006"/>
      <c r="AM523" s="440"/>
      <c r="AN523" s="89"/>
      <c r="AO523" s="89"/>
    </row>
    <row r="524" spans="1:42" s="69" customFormat="1" ht="12.75" customHeight="1">
      <c r="A524" s="1015"/>
      <c r="B524" s="840"/>
      <c r="C524" s="525"/>
      <c r="D524" s="223" t="s">
        <v>814</v>
      </c>
      <c r="E524" s="225" t="s">
        <v>64</v>
      </c>
      <c r="F524" s="228" t="s">
        <v>64</v>
      </c>
      <c r="G524" s="426">
        <f>G522*10%</f>
        <v>234.77600000000004</v>
      </c>
      <c r="H524" s="225" t="s">
        <v>64</v>
      </c>
      <c r="I524" s="638" t="s">
        <v>64</v>
      </c>
      <c r="J524" s="1218"/>
      <c r="K524" s="1001"/>
      <c r="L524" s="211">
        <v>52.123401600000001</v>
      </c>
      <c r="M524" s="320" t="s">
        <v>64</v>
      </c>
      <c r="N524" s="188"/>
      <c r="O524" s="188"/>
      <c r="P524" s="188"/>
      <c r="Q524" s="633">
        <v>52.123401600000001</v>
      </c>
      <c r="R524" s="157">
        <v>319.52319773798223</v>
      </c>
      <c r="S524" s="633">
        <v>52.123401600000001</v>
      </c>
      <c r="T524" s="157">
        <v>319.52319773798223</v>
      </c>
      <c r="U524" s="607" t="s">
        <v>64</v>
      </c>
      <c r="V524" s="7"/>
      <c r="W524" s="410">
        <v>0</v>
      </c>
      <c r="X524" s="507">
        <v>0</v>
      </c>
      <c r="Y524" s="7">
        <v>2.5521639999999999</v>
      </c>
      <c r="Z524" s="157">
        <v>15.645095626908573</v>
      </c>
      <c r="AA524" s="676">
        <v>6.7756416000000002</v>
      </c>
      <c r="AB524" s="176">
        <v>41.535559927050109</v>
      </c>
      <c r="AC524" s="676">
        <v>7.6225968000000002</v>
      </c>
      <c r="AD524" s="176">
        <v>46.727504917931384</v>
      </c>
      <c r="AE524" s="1010"/>
      <c r="AF524" s="1011"/>
      <c r="AG524" s="839">
        <v>52.123401600000001</v>
      </c>
      <c r="AH524" s="157">
        <v>958.56959321394675</v>
      </c>
      <c r="AI524" s="176">
        <f t="shared" si="18"/>
        <v>958.56959321394675</v>
      </c>
      <c r="AJ524" s="976"/>
      <c r="AK524" s="982"/>
      <c r="AL524" s="1006"/>
      <c r="AM524" s="440"/>
      <c r="AN524" s="89"/>
      <c r="AO524" s="89"/>
    </row>
    <row r="525" spans="1:42" s="69" customFormat="1" ht="12.75" customHeight="1">
      <c r="A525" s="1015"/>
      <c r="B525" s="840"/>
      <c r="C525" s="525"/>
      <c r="D525" s="223" t="s">
        <v>815</v>
      </c>
      <c r="E525" s="225" t="s">
        <v>64</v>
      </c>
      <c r="F525" s="228" t="s">
        <v>64</v>
      </c>
      <c r="G525" s="426">
        <f>2*G524</f>
        <v>469.55200000000008</v>
      </c>
      <c r="H525" s="225" t="s">
        <v>64</v>
      </c>
      <c r="I525" s="639" t="s">
        <v>64</v>
      </c>
      <c r="J525" s="1218"/>
      <c r="K525" s="1001"/>
      <c r="L525" s="211">
        <v>54.846803200000004</v>
      </c>
      <c r="M525" s="320" t="s">
        <v>64</v>
      </c>
      <c r="N525" s="188"/>
      <c r="O525" s="188"/>
      <c r="P525" s="188"/>
      <c r="Q525" s="633">
        <v>54.846803200000004</v>
      </c>
      <c r="R525" s="157">
        <v>336.2180020148532</v>
      </c>
      <c r="S525" s="633">
        <v>54.846803200000004</v>
      </c>
      <c r="T525" s="157">
        <v>336.2180020148532</v>
      </c>
      <c r="U525" s="607" t="s">
        <v>64</v>
      </c>
      <c r="V525" s="7"/>
      <c r="W525" s="410">
        <v>0</v>
      </c>
      <c r="X525" s="507">
        <v>0</v>
      </c>
      <c r="Y525" s="7">
        <v>2.904328</v>
      </c>
      <c r="Z525" s="157">
        <v>17.803906524779812</v>
      </c>
      <c r="AA525" s="676">
        <v>7.1512832000000008</v>
      </c>
      <c r="AB525" s="176">
        <v>43.838291551446062</v>
      </c>
      <c r="AC525" s="676">
        <v>8.0451935999999993</v>
      </c>
      <c r="AD525" s="176">
        <v>49.318077995376797</v>
      </c>
      <c r="AE525" s="1010"/>
      <c r="AF525" s="1011"/>
      <c r="AG525" s="839">
        <v>54.846803200000004</v>
      </c>
      <c r="AH525" s="157">
        <v>1008.6540060445595</v>
      </c>
      <c r="AI525" s="176">
        <f t="shared" si="18"/>
        <v>1008.6540060445595</v>
      </c>
      <c r="AJ525" s="976"/>
      <c r="AK525" s="982"/>
      <c r="AL525" s="1006"/>
      <c r="AM525" s="440"/>
      <c r="AN525" s="89"/>
      <c r="AO525" s="89"/>
    </row>
    <row r="526" spans="1:42" s="69" customFormat="1" ht="15" customHeight="1">
      <c r="A526" s="1015"/>
      <c r="B526" s="840"/>
      <c r="C526" s="525"/>
      <c r="D526" s="223" t="s">
        <v>816</v>
      </c>
      <c r="E526" s="320" t="s">
        <v>64</v>
      </c>
      <c r="F526" s="228" t="s">
        <v>64</v>
      </c>
      <c r="G526" s="426">
        <f>3*G524</f>
        <v>704.32800000000009</v>
      </c>
      <c r="H526" s="225" t="s">
        <v>64</v>
      </c>
      <c r="I526" s="639" t="s">
        <v>64</v>
      </c>
      <c r="J526" s="1218"/>
      <c r="K526" s="1001"/>
      <c r="L526" s="211">
        <v>57.570204800000006</v>
      </c>
      <c r="M526" s="320" t="s">
        <v>64</v>
      </c>
      <c r="N526" s="188"/>
      <c r="O526" s="188"/>
      <c r="P526" s="188"/>
      <c r="Q526" s="7">
        <v>57.570204800000006</v>
      </c>
      <c r="R526" s="157">
        <v>352.91280629172417</v>
      </c>
      <c r="S526" s="7">
        <v>57.570204800000006</v>
      </c>
      <c r="T526" s="157">
        <v>352.91280629172417</v>
      </c>
      <c r="U526" s="607" t="s">
        <v>64</v>
      </c>
      <c r="V526" s="7"/>
      <c r="W526" s="410">
        <v>0</v>
      </c>
      <c r="X526" s="507">
        <v>0</v>
      </c>
      <c r="Y526" s="7">
        <v>3.2564920000000002</v>
      </c>
      <c r="Z526" s="157">
        <v>19.962717422651021</v>
      </c>
      <c r="AA526" s="676">
        <v>7.5269248000000006</v>
      </c>
      <c r="AB526" s="176">
        <v>46.141023175842072</v>
      </c>
      <c r="AC526" s="676">
        <v>8.4677904000000002</v>
      </c>
      <c r="AD526" s="176">
        <v>51.908651072822245</v>
      </c>
      <c r="AE526" s="1010"/>
      <c r="AF526" s="1011"/>
      <c r="AG526" s="211">
        <v>57.570204800000006</v>
      </c>
      <c r="AH526" s="157">
        <v>1058.7384188751726</v>
      </c>
      <c r="AI526" s="176">
        <f t="shared" si="18"/>
        <v>1058.7384188751726</v>
      </c>
      <c r="AJ526" s="976"/>
      <c r="AK526" s="982"/>
      <c r="AL526" s="1006"/>
      <c r="AM526" s="440"/>
      <c r="AN526" s="89"/>
      <c r="AO526" s="89"/>
    </row>
    <row r="527" spans="1:42" s="69" customFormat="1" ht="15" customHeight="1">
      <c r="A527" s="1015"/>
      <c r="B527" s="840"/>
      <c r="C527" s="525"/>
      <c r="D527" s="223" t="s">
        <v>820</v>
      </c>
      <c r="E527" s="320" t="s">
        <v>64</v>
      </c>
      <c r="F527" s="228" t="s">
        <v>64</v>
      </c>
      <c r="G527" s="426">
        <f>35216.43-14086.57-16903.88</f>
        <v>4225.9799999999996</v>
      </c>
      <c r="H527" s="225" t="s">
        <v>64</v>
      </c>
      <c r="I527" s="639" t="s">
        <v>64</v>
      </c>
      <c r="J527" s="1218"/>
      <c r="K527" s="1001"/>
      <c r="L527" s="211">
        <v>98.421368000000001</v>
      </c>
      <c r="M527" s="320" t="s">
        <v>64</v>
      </c>
      <c r="N527" s="188"/>
      <c r="O527" s="188"/>
      <c r="P527" s="188"/>
      <c r="Q527" s="7">
        <v>98.421368000000001</v>
      </c>
      <c r="R527" s="157">
        <v>603.33572375880203</v>
      </c>
      <c r="S527" s="7">
        <v>98.421368000000001</v>
      </c>
      <c r="T527" s="157">
        <v>603.33572375880203</v>
      </c>
      <c r="U527" s="607" t="s">
        <v>64</v>
      </c>
      <c r="V527" s="7"/>
      <c r="W527" s="410">
        <v>0</v>
      </c>
      <c r="X527" s="507">
        <v>0</v>
      </c>
      <c r="Y527" s="7">
        <v>8.5389699999999991</v>
      </c>
      <c r="Z527" s="157">
        <v>52.344991233049164</v>
      </c>
      <c r="AA527" s="676">
        <v>13.161568000000003</v>
      </c>
      <c r="AB527" s="270">
        <v>80.682115240266683</v>
      </c>
      <c r="AC527" s="676">
        <v>14.806764000000001</v>
      </c>
      <c r="AD527" s="270">
        <v>90.767379645300011</v>
      </c>
      <c r="AE527" s="1010"/>
      <c r="AF527" s="1011"/>
      <c r="AG527" s="211">
        <v>98.421368000000001</v>
      </c>
      <c r="AH527" s="157">
        <v>1810.0071712764061</v>
      </c>
      <c r="AI527" s="176">
        <f t="shared" si="18"/>
        <v>1810.0071712764061</v>
      </c>
      <c r="AJ527" s="976"/>
      <c r="AK527" s="982"/>
      <c r="AL527" s="1006"/>
      <c r="AM527" s="151"/>
      <c r="AN527" s="90"/>
      <c r="AO527" s="128"/>
      <c r="AP527" s="106"/>
    </row>
    <row r="528" spans="1:42" s="69" customFormat="1" ht="15.75" customHeight="1" thickBot="1">
      <c r="A528" s="1015"/>
      <c r="B528" s="841"/>
      <c r="C528" s="527"/>
      <c r="D528" s="224" t="s">
        <v>821</v>
      </c>
      <c r="E528" s="226" t="s">
        <v>64</v>
      </c>
      <c r="F528" s="229" t="s">
        <v>64</v>
      </c>
      <c r="G528" s="432">
        <v>16903.88</v>
      </c>
      <c r="H528" s="226" t="s">
        <v>64</v>
      </c>
      <c r="I528" s="834" t="s">
        <v>64</v>
      </c>
      <c r="J528" s="1219"/>
      <c r="K528" s="1002"/>
      <c r="L528" s="547">
        <v>245.48500800000002</v>
      </c>
      <c r="M528" s="226" t="s">
        <v>64</v>
      </c>
      <c r="N528" s="116"/>
      <c r="O528" s="116"/>
      <c r="P528" s="116"/>
      <c r="Q528" s="28">
        <v>245.48500800000002</v>
      </c>
      <c r="R528" s="118">
        <v>1504.8548702718235</v>
      </c>
      <c r="S528" s="28">
        <v>245.48500800000002</v>
      </c>
      <c r="T528" s="118">
        <v>1504.8548702718235</v>
      </c>
      <c r="U528" s="229" t="s">
        <v>64</v>
      </c>
      <c r="V528" s="28"/>
      <c r="W528" s="98">
        <v>0</v>
      </c>
      <c r="X528" s="162">
        <v>0</v>
      </c>
      <c r="Y528" s="28">
        <v>27.555820000000004</v>
      </c>
      <c r="Z528" s="118">
        <v>168.92074293731929</v>
      </c>
      <c r="AA528" s="677">
        <v>33.446207999999999</v>
      </c>
      <c r="AB528" s="571">
        <v>205.02958372482144</v>
      </c>
      <c r="AC528" s="677">
        <v>37.626984</v>
      </c>
      <c r="AD528" s="571">
        <v>230.65828169042402</v>
      </c>
      <c r="AE528" s="1010"/>
      <c r="AF528" s="1011"/>
      <c r="AG528" s="547">
        <v>245.48500800000002</v>
      </c>
      <c r="AH528" s="118">
        <v>4514.5646108154706</v>
      </c>
      <c r="AI528" s="180">
        <f t="shared" si="18"/>
        <v>4514.5646108154706</v>
      </c>
      <c r="AJ528" s="976"/>
      <c r="AK528" s="983"/>
      <c r="AL528" s="1006"/>
      <c r="AM528" s="151"/>
      <c r="AN528" s="90"/>
      <c r="AO528" s="128"/>
      <c r="AP528" s="106"/>
    </row>
    <row r="529" spans="1:42" s="69" customFormat="1" ht="15" customHeight="1">
      <c r="A529" s="1015"/>
      <c r="B529" s="465" t="s">
        <v>151</v>
      </c>
      <c r="C529" s="386" t="s">
        <v>151</v>
      </c>
      <c r="D529" s="222" t="s">
        <v>675</v>
      </c>
      <c r="E529" s="240" t="s">
        <v>1</v>
      </c>
      <c r="F529" s="240" t="s">
        <v>0</v>
      </c>
      <c r="G529" s="430">
        <f>3*150*21.753</f>
        <v>9788.85</v>
      </c>
      <c r="H529" s="430">
        <v>4829.17</v>
      </c>
      <c r="I529" s="640">
        <v>4829.17</v>
      </c>
      <c r="J529" s="1220" t="s">
        <v>679</v>
      </c>
      <c r="K529" s="1000" t="s">
        <v>668</v>
      </c>
      <c r="L529" s="209">
        <v>466.71370999999999</v>
      </c>
      <c r="M529" s="209">
        <v>120.02</v>
      </c>
      <c r="N529" s="115"/>
      <c r="O529" s="115"/>
      <c r="P529" s="115"/>
      <c r="Q529" s="120">
        <v>346.69371000000001</v>
      </c>
      <c r="R529" s="117">
        <v>1995.3390862759775</v>
      </c>
      <c r="S529" s="120">
        <v>346.69371000000001</v>
      </c>
      <c r="T529" s="117">
        <v>1995.3390862759775</v>
      </c>
      <c r="U529" s="595">
        <v>64.66</v>
      </c>
      <c r="V529" s="120"/>
      <c r="W529" s="97">
        <v>62.595050000000015</v>
      </c>
      <c r="X529" s="161">
        <v>360.25559815434565</v>
      </c>
      <c r="Y529" s="120">
        <v>18.643275000000003</v>
      </c>
      <c r="Z529" s="117">
        <v>107.29832769014409</v>
      </c>
      <c r="AA529" s="676">
        <v>38.910160000000005</v>
      </c>
      <c r="AB529" s="269">
        <v>223.94107785010604</v>
      </c>
      <c r="AC529" s="676">
        <v>62.969010000000011</v>
      </c>
      <c r="AD529" s="269">
        <v>362.40786392433535</v>
      </c>
      <c r="AE529" s="1010"/>
      <c r="AF529" s="1011"/>
      <c r="AG529" s="209">
        <v>346.69371000000001</v>
      </c>
      <c r="AH529" s="117">
        <v>5986.0172588279329</v>
      </c>
      <c r="AI529" s="177">
        <f t="shared" si="18"/>
        <v>5986.0172588279329</v>
      </c>
      <c r="AJ529" s="976"/>
      <c r="AK529" s="981">
        <f>SUM(AI529:AI556)</f>
        <v>27906.948585537775</v>
      </c>
      <c r="AL529" s="1006"/>
      <c r="AM529" s="151"/>
      <c r="AN529" s="90"/>
      <c r="AO529" s="128"/>
      <c r="AP529" s="106"/>
    </row>
    <row r="530" spans="1:42" s="69" customFormat="1" ht="15" customHeight="1">
      <c r="A530" s="1015"/>
      <c r="B530" s="589"/>
      <c r="C530" s="525"/>
      <c r="D530" s="223" t="s">
        <v>809</v>
      </c>
      <c r="E530" s="320" t="s">
        <v>64</v>
      </c>
      <c r="F530" s="228" t="s">
        <v>64</v>
      </c>
      <c r="G530" s="430">
        <f>150*21.753</f>
        <v>3262.95</v>
      </c>
      <c r="H530" s="225" t="s">
        <v>64</v>
      </c>
      <c r="I530" s="639" t="s">
        <v>64</v>
      </c>
      <c r="J530" s="1221"/>
      <c r="K530" s="1001"/>
      <c r="L530" s="211">
        <v>90.250219999999999</v>
      </c>
      <c r="M530" s="320" t="s">
        <v>64</v>
      </c>
      <c r="N530" s="188"/>
      <c r="O530" s="188"/>
      <c r="P530" s="188"/>
      <c r="Q530" s="7">
        <v>90.250219999999999</v>
      </c>
      <c r="R530" s="157">
        <v>519.42041726400464</v>
      </c>
      <c r="S530" s="7">
        <v>90.250219999999999</v>
      </c>
      <c r="T530" s="157">
        <v>519.42041726400464</v>
      </c>
      <c r="U530" s="607" t="s">
        <v>64</v>
      </c>
      <c r="V530" s="7"/>
      <c r="W530" s="410">
        <v>0</v>
      </c>
      <c r="X530" s="507">
        <v>0</v>
      </c>
      <c r="Y530" s="7">
        <v>10.094425000000001</v>
      </c>
      <c r="Z530" s="157">
        <v>58.096816224272978</v>
      </c>
      <c r="AA530" s="676">
        <v>11.62072</v>
      </c>
      <c r="AB530" s="270">
        <v>66.881158088126213</v>
      </c>
      <c r="AC530" s="676">
        <v>18.883669999999999</v>
      </c>
      <c r="AD530" s="270">
        <v>108.6818818932051</v>
      </c>
      <c r="AE530" s="1010"/>
      <c r="AF530" s="1011"/>
      <c r="AG530" s="211">
        <v>90.250219999999999</v>
      </c>
      <c r="AH530" s="157">
        <v>1558.2612517920138</v>
      </c>
      <c r="AI530" s="176">
        <f t="shared" si="18"/>
        <v>1558.2612517920138</v>
      </c>
      <c r="AJ530" s="976"/>
      <c r="AK530" s="982"/>
      <c r="AL530" s="1006"/>
      <c r="AM530" s="151"/>
      <c r="AN530" s="90"/>
      <c r="AO530" s="128"/>
      <c r="AP530" s="106"/>
    </row>
    <row r="531" spans="1:42" s="69" customFormat="1" ht="15.75" customHeight="1">
      <c r="A531" s="1015"/>
      <c r="B531" s="589"/>
      <c r="C531" s="525"/>
      <c r="D531" s="223" t="s">
        <v>810</v>
      </c>
      <c r="E531" s="320" t="s">
        <v>64</v>
      </c>
      <c r="F531" s="228" t="s">
        <v>64</v>
      </c>
      <c r="G531" s="426">
        <f>G530*2</f>
        <v>6525.9</v>
      </c>
      <c r="H531" s="225" t="s">
        <v>64</v>
      </c>
      <c r="I531" s="639" t="s">
        <v>64</v>
      </c>
      <c r="J531" s="1221"/>
      <c r="K531" s="1104"/>
      <c r="L531" s="7">
        <v>128.10043999999999</v>
      </c>
      <c r="M531" s="320" t="s">
        <v>64</v>
      </c>
      <c r="N531" s="188"/>
      <c r="O531" s="188"/>
      <c r="P531" s="188"/>
      <c r="Q531" s="7">
        <v>128.10043999999999</v>
      </c>
      <c r="R531" s="157">
        <v>737.26118336889033</v>
      </c>
      <c r="S531" s="7">
        <v>128.10043999999999</v>
      </c>
      <c r="T531" s="157">
        <v>737.26118336889033</v>
      </c>
      <c r="U531" s="607" t="s">
        <v>64</v>
      </c>
      <c r="V531" s="7"/>
      <c r="W531" s="410">
        <v>0</v>
      </c>
      <c r="X531" s="507">
        <v>0</v>
      </c>
      <c r="Y531" s="7">
        <v>14.988849999999999</v>
      </c>
      <c r="Z531" s="157">
        <v>86.26588080680115</v>
      </c>
      <c r="AA531" s="633">
        <v>16.841440000000002</v>
      </c>
      <c r="AB531" s="7">
        <v>96.92816030948967</v>
      </c>
      <c r="AC531" s="633">
        <v>27.367340000000002</v>
      </c>
      <c r="AD531" s="270">
        <v>157.50826050292062</v>
      </c>
      <c r="AE531" s="1010"/>
      <c r="AF531" s="1011"/>
      <c r="AG531" s="211">
        <v>128.10043999999999</v>
      </c>
      <c r="AH531" s="157">
        <v>2211.7835501066711</v>
      </c>
      <c r="AI531" s="176">
        <f t="shared" si="18"/>
        <v>2211.7835501066711</v>
      </c>
      <c r="AJ531" s="976"/>
      <c r="AK531" s="982"/>
      <c r="AL531" s="1006"/>
      <c r="AM531" s="151"/>
      <c r="AN531" s="90"/>
      <c r="AO531" s="128"/>
      <c r="AP531" s="106"/>
    </row>
    <row r="532" spans="1:42" s="69" customFormat="1" ht="15" customHeight="1">
      <c r="A532" s="1015"/>
      <c r="B532" s="589"/>
      <c r="C532" s="525"/>
      <c r="D532" s="223" t="s">
        <v>811</v>
      </c>
      <c r="E532" s="320" t="s">
        <v>64</v>
      </c>
      <c r="F532" s="228" t="s">
        <v>64</v>
      </c>
      <c r="G532" s="426">
        <f>1609.72+G531</f>
        <v>8135.62</v>
      </c>
      <c r="H532" s="225" t="s">
        <v>64</v>
      </c>
      <c r="I532" s="639" t="s">
        <v>64</v>
      </c>
      <c r="J532" s="1221"/>
      <c r="K532" s="1104"/>
      <c r="L532" s="7">
        <v>137.97319199999998</v>
      </c>
      <c r="M532" s="320" t="s">
        <v>64</v>
      </c>
      <c r="N532" s="188"/>
      <c r="O532" s="188"/>
      <c r="P532" s="188"/>
      <c r="Q532" s="7">
        <v>137.97319199999998</v>
      </c>
      <c r="R532" s="157">
        <v>794.08219680668572</v>
      </c>
      <c r="S532" s="7">
        <v>137.97319199999998</v>
      </c>
      <c r="T532" s="157">
        <v>794.08219680668572</v>
      </c>
      <c r="U532" s="607" t="s">
        <v>64</v>
      </c>
      <c r="V532" s="7"/>
      <c r="W532" s="410">
        <v>0</v>
      </c>
      <c r="X532" s="507">
        <v>0</v>
      </c>
      <c r="Y532" s="7">
        <v>14.40343</v>
      </c>
      <c r="Z532" s="157">
        <v>82.896591505626205</v>
      </c>
      <c r="AA532" s="633">
        <v>18.616992</v>
      </c>
      <c r="AB532" s="7">
        <v>107.14706017160567</v>
      </c>
      <c r="AC532" s="633">
        <v>30.252612000000003</v>
      </c>
      <c r="AD532" s="270">
        <v>174.11397277885908</v>
      </c>
      <c r="AE532" s="1010"/>
      <c r="AF532" s="1011"/>
      <c r="AG532" s="211">
        <v>137.97319199999998</v>
      </c>
      <c r="AH532" s="157">
        <v>2382.2465904200571</v>
      </c>
      <c r="AI532" s="176">
        <f t="shared" si="18"/>
        <v>2382.2465904200571</v>
      </c>
      <c r="AJ532" s="976"/>
      <c r="AK532" s="982"/>
      <c r="AL532" s="1006"/>
      <c r="AM532" s="151"/>
      <c r="AN532" s="90"/>
      <c r="AO532" s="128"/>
      <c r="AP532" s="106"/>
    </row>
    <row r="533" spans="1:42" s="69" customFormat="1" ht="15" customHeight="1">
      <c r="A533" s="1015"/>
      <c r="B533" s="589"/>
      <c r="C533" s="525"/>
      <c r="D533" s="223" t="s">
        <v>812</v>
      </c>
      <c r="E533" s="320" t="s">
        <v>64</v>
      </c>
      <c r="F533" s="228" t="s">
        <v>64</v>
      </c>
      <c r="G533" s="426">
        <v>3200</v>
      </c>
      <c r="H533" s="225" t="s">
        <v>64</v>
      </c>
      <c r="I533" s="639" t="s">
        <v>64</v>
      </c>
      <c r="J533" s="1221"/>
      <c r="K533" s="1104"/>
      <c r="L533" s="7">
        <v>133.91999999999999</v>
      </c>
      <c r="M533" s="320" t="s">
        <v>64</v>
      </c>
      <c r="N533" s="188"/>
      <c r="O533" s="188"/>
      <c r="P533" s="188"/>
      <c r="Q533" s="7">
        <v>133.91999999999999</v>
      </c>
      <c r="R533" s="157">
        <v>770.75471151201123</v>
      </c>
      <c r="S533" s="7">
        <v>133.91999999999999</v>
      </c>
      <c r="T533" s="157">
        <v>770.75471151201123</v>
      </c>
      <c r="U533" s="607" t="s">
        <v>64</v>
      </c>
      <c r="V533" s="7"/>
      <c r="W533" s="410">
        <v>41.6</v>
      </c>
      <c r="X533" s="507">
        <v>239.42201313395813</v>
      </c>
      <c r="Y533" s="7">
        <v>7</v>
      </c>
      <c r="Z533" s="157">
        <v>40.287357979271796</v>
      </c>
      <c r="AA533" s="633">
        <v>12.32</v>
      </c>
      <c r="AB533" s="7">
        <v>70.905750043518381</v>
      </c>
      <c r="AC533" s="633">
        <v>20.02</v>
      </c>
      <c r="AD533" s="270">
        <v>115.2218438207174</v>
      </c>
      <c r="AE533" s="1010"/>
      <c r="AF533" s="1011"/>
      <c r="AG533" s="211">
        <v>133.91999999999999</v>
      </c>
      <c r="AH533" s="157">
        <v>2312.2641345360335</v>
      </c>
      <c r="AI533" s="176">
        <f t="shared" si="18"/>
        <v>2312.2641345360335</v>
      </c>
      <c r="AJ533" s="976"/>
      <c r="AK533" s="982"/>
      <c r="AL533" s="1006"/>
      <c r="AM533" s="151"/>
      <c r="AN533" s="90"/>
      <c r="AO533" s="128"/>
      <c r="AP533" s="106"/>
    </row>
    <row r="534" spans="1:42" s="69" customFormat="1" ht="15" customHeight="1">
      <c r="A534" s="1015"/>
      <c r="B534" s="589"/>
      <c r="C534" s="525"/>
      <c r="D534" s="223" t="s">
        <v>813</v>
      </c>
      <c r="E534" s="320" t="s">
        <v>64</v>
      </c>
      <c r="F534" s="228" t="s">
        <v>64</v>
      </c>
      <c r="G534" s="426">
        <v>2133.33</v>
      </c>
      <c r="H534" s="225" t="s">
        <v>64</v>
      </c>
      <c r="I534" s="639" t="s">
        <v>64</v>
      </c>
      <c r="J534" s="1221"/>
      <c r="K534" s="1104"/>
      <c r="L534" s="7">
        <v>107.679918</v>
      </c>
      <c r="M534" s="320" t="s">
        <v>64</v>
      </c>
      <c r="N534" s="188"/>
      <c r="O534" s="188"/>
      <c r="P534" s="188"/>
      <c r="Q534" s="7">
        <v>107.679918</v>
      </c>
      <c r="R534" s="157">
        <v>619.7342005206616</v>
      </c>
      <c r="S534" s="7">
        <v>107.679918</v>
      </c>
      <c r="T534" s="157">
        <v>619.7342005206616</v>
      </c>
      <c r="U534" s="607" t="s">
        <v>64</v>
      </c>
      <c r="V534" s="7"/>
      <c r="W534" s="410">
        <v>27.73329</v>
      </c>
      <c r="X534" s="507">
        <v>159.61442602470825</v>
      </c>
      <c r="Y534" s="7">
        <v>5.3999949999999997</v>
      </c>
      <c r="Z534" s="157">
        <v>31.078790235896836</v>
      </c>
      <c r="AA534" s="633">
        <v>10.613327999999999</v>
      </c>
      <c r="AB534" s="7">
        <v>61.083277783918419</v>
      </c>
      <c r="AC534" s="633">
        <v>17.246658000000004</v>
      </c>
      <c r="AD534" s="270">
        <v>99.260326398867505</v>
      </c>
      <c r="AE534" s="1010"/>
      <c r="AF534" s="1011"/>
      <c r="AG534" s="211">
        <v>107.679918</v>
      </c>
      <c r="AH534" s="157">
        <v>1859.2026015619849</v>
      </c>
      <c r="AI534" s="176">
        <f t="shared" si="18"/>
        <v>1859.2026015619849</v>
      </c>
      <c r="AJ534" s="976"/>
      <c r="AK534" s="982"/>
      <c r="AL534" s="1006"/>
      <c r="AM534" s="151"/>
      <c r="AN534" s="90"/>
      <c r="AO534" s="128"/>
      <c r="AP534" s="106"/>
    </row>
    <row r="535" spans="1:42" s="69" customFormat="1" ht="15" customHeight="1">
      <c r="A535" s="1015"/>
      <c r="B535" s="589"/>
      <c r="C535" s="525"/>
      <c r="D535" s="223" t="s">
        <v>814</v>
      </c>
      <c r="E535" s="320" t="s">
        <v>64</v>
      </c>
      <c r="F535" s="228" t="s">
        <v>64</v>
      </c>
      <c r="G535" s="426">
        <v>106.67</v>
      </c>
      <c r="H535" s="225" t="s">
        <v>64</v>
      </c>
      <c r="I535" s="639" t="s">
        <v>64</v>
      </c>
      <c r="J535" s="1221"/>
      <c r="K535" s="1104"/>
      <c r="L535" s="7">
        <v>44.837371999999995</v>
      </c>
      <c r="M535" s="320" t="s">
        <v>64</v>
      </c>
      <c r="N535" s="188"/>
      <c r="O535" s="188"/>
      <c r="P535" s="188"/>
      <c r="Q535" s="7">
        <v>44.837371999999995</v>
      </c>
      <c r="R535" s="157">
        <v>258.05417951625407</v>
      </c>
      <c r="S535" s="7">
        <v>44.837371999999995</v>
      </c>
      <c r="T535" s="157">
        <v>258.05417951625407</v>
      </c>
      <c r="U535" s="607" t="s">
        <v>64</v>
      </c>
      <c r="V535" s="7"/>
      <c r="W535" s="410">
        <v>0</v>
      </c>
      <c r="X535" s="507">
        <v>0</v>
      </c>
      <c r="Y535" s="7">
        <v>2.3600050000000001</v>
      </c>
      <c r="Z535" s="157">
        <v>13.582623752553049</v>
      </c>
      <c r="AA535" s="633">
        <v>5.7706719999999994</v>
      </c>
      <c r="AB535" s="7">
        <v>33.212161234994383</v>
      </c>
      <c r="AC535" s="633">
        <v>9.3773420000000005</v>
      </c>
      <c r="AD535" s="270">
        <v>53.969762006865835</v>
      </c>
      <c r="AE535" s="1010"/>
      <c r="AF535" s="1011"/>
      <c r="AG535" s="211">
        <v>44.837371999999995</v>
      </c>
      <c r="AH535" s="157">
        <v>774.1625385487622</v>
      </c>
      <c r="AI535" s="176">
        <f t="shared" si="18"/>
        <v>774.1625385487622</v>
      </c>
      <c r="AJ535" s="976"/>
      <c r="AK535" s="982"/>
      <c r="AL535" s="1006"/>
      <c r="AM535" s="151"/>
      <c r="AN535" s="90"/>
      <c r="AO535" s="128"/>
      <c r="AP535" s="106"/>
    </row>
    <row r="536" spans="1:42" s="69" customFormat="1" ht="15" customHeight="1">
      <c r="A536" s="1015"/>
      <c r="B536" s="589"/>
      <c r="C536" s="525"/>
      <c r="D536" s="223" t="s">
        <v>815</v>
      </c>
      <c r="E536" s="320" t="s">
        <v>64</v>
      </c>
      <c r="F536" s="228" t="s">
        <v>64</v>
      </c>
      <c r="G536" s="426">
        <f>G535*2</f>
        <v>213.34</v>
      </c>
      <c r="H536" s="225" t="s">
        <v>64</v>
      </c>
      <c r="I536" s="639" t="s">
        <v>64</v>
      </c>
      <c r="J536" s="1221"/>
      <c r="K536" s="1104"/>
      <c r="L536" s="7">
        <v>46.074744000000003</v>
      </c>
      <c r="M536" s="320" t="s">
        <v>64</v>
      </c>
      <c r="N536" s="188"/>
      <c r="O536" s="188"/>
      <c r="P536" s="188"/>
      <c r="Q536" s="7">
        <v>46.074744000000003</v>
      </c>
      <c r="R536" s="157">
        <v>265.17567219018628</v>
      </c>
      <c r="S536" s="7">
        <v>46.074744000000003</v>
      </c>
      <c r="T536" s="157">
        <v>265.17567219018628</v>
      </c>
      <c r="U536" s="607" t="s">
        <v>64</v>
      </c>
      <c r="V536" s="7"/>
      <c r="W536" s="410">
        <v>0</v>
      </c>
      <c r="X536" s="507">
        <v>0</v>
      </c>
      <c r="Y536" s="7">
        <v>2.5200100000000001</v>
      </c>
      <c r="Z536" s="157">
        <v>14.5035064259064</v>
      </c>
      <c r="AA536" s="633">
        <v>5.941344</v>
      </c>
      <c r="AB536" s="7">
        <v>34.194436086571265</v>
      </c>
      <c r="AC536" s="633">
        <v>9.6546840000000014</v>
      </c>
      <c r="AD536" s="270">
        <v>55.565958640678275</v>
      </c>
      <c r="AE536" s="1010"/>
      <c r="AF536" s="1011"/>
      <c r="AG536" s="211">
        <v>46.074744000000003</v>
      </c>
      <c r="AH536" s="157">
        <v>795.52701657055877</v>
      </c>
      <c r="AI536" s="176">
        <f t="shared" si="18"/>
        <v>795.52701657055877</v>
      </c>
      <c r="AJ536" s="976"/>
      <c r="AK536" s="982"/>
      <c r="AL536" s="1006"/>
      <c r="AM536" s="151"/>
      <c r="AN536" s="90"/>
      <c r="AO536" s="128"/>
      <c r="AP536" s="106"/>
    </row>
    <row r="537" spans="1:42" s="69" customFormat="1" ht="15" customHeight="1">
      <c r="A537" s="1015"/>
      <c r="B537" s="589"/>
      <c r="C537" s="525"/>
      <c r="D537" s="223" t="s">
        <v>816</v>
      </c>
      <c r="E537" s="320" t="s">
        <v>64</v>
      </c>
      <c r="F537" s="228" t="s">
        <v>64</v>
      </c>
      <c r="G537" s="426">
        <f>3*G535</f>
        <v>320.01</v>
      </c>
      <c r="H537" s="225" t="s">
        <v>64</v>
      </c>
      <c r="I537" s="639" t="s">
        <v>64</v>
      </c>
      <c r="J537" s="1221"/>
      <c r="K537" s="1104"/>
      <c r="L537" s="7">
        <v>47.312115999999989</v>
      </c>
      <c r="M537" s="320" t="s">
        <v>64</v>
      </c>
      <c r="N537" s="188"/>
      <c r="O537" s="188"/>
      <c r="P537" s="188"/>
      <c r="Q537" s="633">
        <v>47.312115999999989</v>
      </c>
      <c r="R537" s="157">
        <v>272.29716486411883</v>
      </c>
      <c r="S537" s="633">
        <v>47.312115999999989</v>
      </c>
      <c r="T537" s="157">
        <v>272.29716486411883</v>
      </c>
      <c r="U537" s="607" t="s">
        <v>64</v>
      </c>
      <c r="V537" s="7"/>
      <c r="W537" s="410">
        <v>0</v>
      </c>
      <c r="X537" s="507">
        <v>0</v>
      </c>
      <c r="Y537" s="7">
        <v>2.6800149999999996</v>
      </c>
      <c r="Z537" s="157">
        <v>15.424389099259724</v>
      </c>
      <c r="AA537" s="633">
        <v>6.1120159999999988</v>
      </c>
      <c r="AB537" s="157">
        <v>35.176710938148148</v>
      </c>
      <c r="AC537" s="633">
        <v>9.9320259999999987</v>
      </c>
      <c r="AD537" s="176">
        <v>57.162155274490743</v>
      </c>
      <c r="AE537" s="1010"/>
      <c r="AF537" s="1011"/>
      <c r="AG537" s="839">
        <v>47.312115999999989</v>
      </c>
      <c r="AH537" s="157">
        <v>816.89149459235648</v>
      </c>
      <c r="AI537" s="176">
        <f t="shared" si="18"/>
        <v>816.89149459235648</v>
      </c>
      <c r="AJ537" s="976"/>
      <c r="AK537" s="982"/>
      <c r="AL537" s="1006"/>
      <c r="AM537" s="440"/>
      <c r="AN537" s="89"/>
      <c r="AO537" s="89"/>
    </row>
    <row r="538" spans="1:42" s="69" customFormat="1" ht="15" customHeight="1">
      <c r="A538" s="1015"/>
      <c r="B538" s="589"/>
      <c r="C538" s="525"/>
      <c r="D538" s="223" t="s">
        <v>820</v>
      </c>
      <c r="E538" s="320" t="s">
        <v>64</v>
      </c>
      <c r="F538" s="228" t="s">
        <v>64</v>
      </c>
      <c r="G538" s="426">
        <f>16000-6400-8960</f>
        <v>640</v>
      </c>
      <c r="H538" s="225" t="s">
        <v>64</v>
      </c>
      <c r="I538" s="639" t="s">
        <v>64</v>
      </c>
      <c r="J538" s="1221"/>
      <c r="K538" s="1104"/>
      <c r="L538" s="7">
        <v>51.023999999999987</v>
      </c>
      <c r="M538" s="320" t="s">
        <v>64</v>
      </c>
      <c r="N538" s="188"/>
      <c r="O538" s="188"/>
      <c r="P538" s="188"/>
      <c r="Q538" s="633">
        <v>51.023999999999987</v>
      </c>
      <c r="R538" s="157">
        <v>293.66030764776639</v>
      </c>
      <c r="S538" s="633">
        <v>51.023999999999987</v>
      </c>
      <c r="T538" s="157">
        <v>293.66030764776639</v>
      </c>
      <c r="U538" s="607" t="s">
        <v>64</v>
      </c>
      <c r="V538" s="7"/>
      <c r="W538" s="410">
        <v>0</v>
      </c>
      <c r="X538" s="507">
        <v>0</v>
      </c>
      <c r="Y538" s="7">
        <v>3.16</v>
      </c>
      <c r="Z538" s="157">
        <v>18.186864459214132</v>
      </c>
      <c r="AA538" s="633">
        <v>6.6239999999999988</v>
      </c>
      <c r="AB538" s="157">
        <v>38.123351322099516</v>
      </c>
      <c r="AC538" s="633">
        <v>10.763999999999998</v>
      </c>
      <c r="AD538" s="176">
        <v>61.950445898411658</v>
      </c>
      <c r="AE538" s="1010"/>
      <c r="AF538" s="1011"/>
      <c r="AG538" s="839">
        <v>51.023999999999987</v>
      </c>
      <c r="AH538" s="157">
        <v>880.98092294329922</v>
      </c>
      <c r="AI538" s="176">
        <f t="shared" si="18"/>
        <v>880.98092294329922</v>
      </c>
      <c r="AJ538" s="976"/>
      <c r="AK538" s="982"/>
      <c r="AL538" s="1006"/>
      <c r="AM538" s="440"/>
      <c r="AN538" s="89"/>
      <c r="AO538" s="89"/>
    </row>
    <row r="539" spans="1:42" s="69" customFormat="1" ht="15" customHeight="1">
      <c r="A539" s="1015"/>
      <c r="B539" s="589"/>
      <c r="C539" s="525"/>
      <c r="D539" s="223" t="s">
        <v>821</v>
      </c>
      <c r="E539" s="320" t="s">
        <v>64</v>
      </c>
      <c r="F539" s="228" t="s">
        <v>64</v>
      </c>
      <c r="G539" s="426">
        <v>8960</v>
      </c>
      <c r="H539" s="225" t="s">
        <v>64</v>
      </c>
      <c r="I539" s="639" t="s">
        <v>64</v>
      </c>
      <c r="J539" s="1221"/>
      <c r="K539" s="1104"/>
      <c r="L539" s="7">
        <v>147.536</v>
      </c>
      <c r="M539" s="320" t="s">
        <v>64</v>
      </c>
      <c r="N539" s="188"/>
      <c r="O539" s="188"/>
      <c r="P539" s="188"/>
      <c r="Q539" s="633">
        <v>147.536</v>
      </c>
      <c r="R539" s="157">
        <v>849.11937811854909</v>
      </c>
      <c r="S539" s="633">
        <v>147.536</v>
      </c>
      <c r="T539" s="157">
        <v>849.11937811854909</v>
      </c>
      <c r="U539" s="607" t="s">
        <v>64</v>
      </c>
      <c r="V539" s="7"/>
      <c r="W539" s="410">
        <v>0</v>
      </c>
      <c r="X539" s="507">
        <v>0</v>
      </c>
      <c r="Y539" s="7">
        <v>15.64</v>
      </c>
      <c r="Z539" s="157">
        <v>90.01346839940166</v>
      </c>
      <c r="AA539" s="633">
        <v>19.936000000000003</v>
      </c>
      <c r="AB539" s="157">
        <v>114.73839552496618</v>
      </c>
      <c r="AC539" s="633">
        <v>32.396000000000001</v>
      </c>
      <c r="AD539" s="176">
        <v>186.44989272807004</v>
      </c>
      <c r="AE539" s="1010"/>
      <c r="AF539" s="1011"/>
      <c r="AG539" s="839">
        <v>147.536</v>
      </c>
      <c r="AH539" s="157">
        <v>2547.3581343556471</v>
      </c>
      <c r="AI539" s="176">
        <f t="shared" si="18"/>
        <v>2547.3581343556471</v>
      </c>
      <c r="AJ539" s="976"/>
      <c r="AK539" s="982"/>
      <c r="AL539" s="1006"/>
      <c r="AM539" s="440"/>
      <c r="AN539" s="89"/>
      <c r="AO539" s="89"/>
    </row>
    <row r="540" spans="1:42" s="69" customFormat="1" ht="15.75" customHeight="1">
      <c r="A540" s="1015"/>
      <c r="B540" s="589"/>
      <c r="C540" s="525"/>
      <c r="D540" s="518" t="s">
        <v>676</v>
      </c>
      <c r="E540" s="320" t="s">
        <v>64</v>
      </c>
      <c r="F540" s="228" t="s">
        <v>64</v>
      </c>
      <c r="G540" s="835">
        <v>91047.57</v>
      </c>
      <c r="H540" s="225" t="s">
        <v>64</v>
      </c>
      <c r="I540" s="639" t="s">
        <v>64</v>
      </c>
      <c r="J540" s="1221"/>
      <c r="K540" s="1104"/>
      <c r="L540" s="924" t="s">
        <v>681</v>
      </c>
      <c r="M540" s="925"/>
      <c r="N540" s="926"/>
      <c r="O540" s="924" t="s">
        <v>681</v>
      </c>
      <c r="P540" s="925"/>
      <c r="Q540" s="926"/>
      <c r="R540" s="924" t="s">
        <v>681</v>
      </c>
      <c r="S540" s="925"/>
      <c r="T540" s="926"/>
      <c r="U540" s="924" t="s">
        <v>681</v>
      </c>
      <c r="V540" s="925"/>
      <c r="W540" s="926"/>
      <c r="X540" s="924" t="s">
        <v>681</v>
      </c>
      <c r="Y540" s="925"/>
      <c r="Z540" s="926"/>
      <c r="AA540" s="924" t="s">
        <v>681</v>
      </c>
      <c r="AB540" s="925"/>
      <c r="AC540" s="925"/>
      <c r="AD540" s="935"/>
      <c r="AE540" s="1010"/>
      <c r="AF540" s="1011"/>
      <c r="AG540" s="924" t="s">
        <v>681</v>
      </c>
      <c r="AH540" s="925"/>
      <c r="AI540" s="926"/>
      <c r="AJ540" s="976"/>
      <c r="AK540" s="982"/>
      <c r="AL540" s="1006"/>
      <c r="AM540" s="440"/>
      <c r="AN540" s="89"/>
      <c r="AO540" s="89"/>
    </row>
    <row r="541" spans="1:42" s="69" customFormat="1" ht="15" customHeight="1">
      <c r="A541" s="1015"/>
      <c r="B541" s="589"/>
      <c r="C541" s="525"/>
      <c r="D541" s="518" t="s">
        <v>793</v>
      </c>
      <c r="E541" s="320" t="s">
        <v>64</v>
      </c>
      <c r="F541" s="228" t="s">
        <v>64</v>
      </c>
      <c r="G541" s="835">
        <v>14447.54</v>
      </c>
      <c r="H541" s="225" t="s">
        <v>64</v>
      </c>
      <c r="I541" s="639" t="s">
        <v>64</v>
      </c>
      <c r="J541" s="1221"/>
      <c r="K541" s="1104"/>
      <c r="L541" s="971"/>
      <c r="M541" s="932"/>
      <c r="N541" s="933"/>
      <c r="O541" s="971"/>
      <c r="P541" s="932"/>
      <c r="Q541" s="933"/>
      <c r="R541" s="971"/>
      <c r="S541" s="932"/>
      <c r="T541" s="933"/>
      <c r="U541" s="971"/>
      <c r="V541" s="932"/>
      <c r="W541" s="933"/>
      <c r="X541" s="971"/>
      <c r="Y541" s="932"/>
      <c r="Z541" s="933"/>
      <c r="AA541" s="971"/>
      <c r="AB541" s="932"/>
      <c r="AC541" s="932"/>
      <c r="AD541" s="937"/>
      <c r="AE541" s="1010"/>
      <c r="AF541" s="1011"/>
      <c r="AG541" s="971"/>
      <c r="AH541" s="932"/>
      <c r="AI541" s="933"/>
      <c r="AJ541" s="976"/>
      <c r="AK541" s="982"/>
      <c r="AL541" s="1006"/>
      <c r="AM541" s="440"/>
      <c r="AN541" s="89"/>
      <c r="AO541" s="89"/>
    </row>
    <row r="542" spans="1:42" s="69" customFormat="1" ht="15" customHeight="1">
      <c r="A542" s="1015"/>
      <c r="B542" s="589"/>
      <c r="C542" s="525"/>
      <c r="D542" s="518" t="s">
        <v>794</v>
      </c>
      <c r="E542" s="320" t="s">
        <v>64</v>
      </c>
      <c r="F542" s="228" t="s">
        <v>64</v>
      </c>
      <c r="G542" s="835">
        <v>9600.0300000000007</v>
      </c>
      <c r="H542" s="225" t="s">
        <v>64</v>
      </c>
      <c r="I542" s="639" t="s">
        <v>64</v>
      </c>
      <c r="J542" s="1221"/>
      <c r="K542" s="1104"/>
      <c r="L542" s="971"/>
      <c r="M542" s="932"/>
      <c r="N542" s="933"/>
      <c r="O542" s="971"/>
      <c r="P542" s="932"/>
      <c r="Q542" s="933"/>
      <c r="R542" s="971"/>
      <c r="S542" s="932"/>
      <c r="T542" s="933"/>
      <c r="U542" s="971"/>
      <c r="V542" s="932"/>
      <c r="W542" s="933"/>
      <c r="X542" s="971"/>
      <c r="Y542" s="932"/>
      <c r="Z542" s="933"/>
      <c r="AA542" s="971"/>
      <c r="AB542" s="932"/>
      <c r="AC542" s="932"/>
      <c r="AD542" s="937"/>
      <c r="AE542" s="1010"/>
      <c r="AF542" s="1011"/>
      <c r="AG542" s="971"/>
      <c r="AH542" s="932"/>
      <c r="AI542" s="933"/>
      <c r="AJ542" s="976"/>
      <c r="AK542" s="982"/>
      <c r="AL542" s="1006"/>
      <c r="AM542" s="440"/>
      <c r="AN542" s="89"/>
      <c r="AO542" s="89"/>
    </row>
    <row r="543" spans="1:42" s="69" customFormat="1" ht="15" customHeight="1">
      <c r="A543" s="1015"/>
      <c r="B543" s="589"/>
      <c r="C543" s="525"/>
      <c r="D543" s="518" t="s">
        <v>795</v>
      </c>
      <c r="E543" s="320" t="s">
        <v>64</v>
      </c>
      <c r="F543" s="228" t="s">
        <v>64</v>
      </c>
      <c r="G543" s="835">
        <v>76000</v>
      </c>
      <c r="H543" s="225" t="s">
        <v>64</v>
      </c>
      <c r="I543" s="639" t="s">
        <v>64</v>
      </c>
      <c r="J543" s="1221"/>
      <c r="K543" s="1104"/>
      <c r="L543" s="971"/>
      <c r="M543" s="932"/>
      <c r="N543" s="933"/>
      <c r="O543" s="971"/>
      <c r="P543" s="932"/>
      <c r="Q543" s="933"/>
      <c r="R543" s="971"/>
      <c r="S543" s="932"/>
      <c r="T543" s="933"/>
      <c r="U543" s="971"/>
      <c r="V543" s="932"/>
      <c r="W543" s="933"/>
      <c r="X543" s="971"/>
      <c r="Y543" s="932"/>
      <c r="Z543" s="933"/>
      <c r="AA543" s="971"/>
      <c r="AB543" s="932"/>
      <c r="AC543" s="932"/>
      <c r="AD543" s="937"/>
      <c r="AE543" s="1010"/>
      <c r="AF543" s="1011"/>
      <c r="AG543" s="971"/>
      <c r="AH543" s="932"/>
      <c r="AI543" s="933"/>
      <c r="AJ543" s="976"/>
      <c r="AK543" s="982"/>
      <c r="AL543" s="1006"/>
      <c r="AM543" s="440"/>
      <c r="AN543" s="89"/>
      <c r="AO543" s="89"/>
    </row>
    <row r="544" spans="1:42" s="69" customFormat="1" ht="15" customHeight="1">
      <c r="A544" s="1015"/>
      <c r="B544" s="589"/>
      <c r="C544" s="525"/>
      <c r="D544" s="518" t="s">
        <v>796</v>
      </c>
      <c r="E544" s="320" t="s">
        <v>64</v>
      </c>
      <c r="F544" s="228" t="s">
        <v>64</v>
      </c>
      <c r="G544" s="835">
        <v>16000</v>
      </c>
      <c r="H544" s="225" t="s">
        <v>64</v>
      </c>
      <c r="I544" s="639" t="s">
        <v>64</v>
      </c>
      <c r="J544" s="1221"/>
      <c r="K544" s="1104"/>
      <c r="L544" s="971"/>
      <c r="M544" s="932"/>
      <c r="N544" s="933"/>
      <c r="O544" s="971"/>
      <c r="P544" s="932"/>
      <c r="Q544" s="933"/>
      <c r="R544" s="971"/>
      <c r="S544" s="932"/>
      <c r="T544" s="933"/>
      <c r="U544" s="971"/>
      <c r="V544" s="932"/>
      <c r="W544" s="933"/>
      <c r="X544" s="971"/>
      <c r="Y544" s="932"/>
      <c r="Z544" s="933"/>
      <c r="AA544" s="971"/>
      <c r="AB544" s="932"/>
      <c r="AC544" s="932"/>
      <c r="AD544" s="937"/>
      <c r="AE544" s="1010"/>
      <c r="AF544" s="1011"/>
      <c r="AG544" s="971"/>
      <c r="AH544" s="932"/>
      <c r="AI544" s="933"/>
      <c r="AJ544" s="976"/>
      <c r="AK544" s="982"/>
      <c r="AL544" s="1006"/>
      <c r="AM544" s="440"/>
      <c r="AN544" s="89"/>
      <c r="AO544" s="89"/>
    </row>
    <row r="545" spans="1:42" s="69" customFormat="1" ht="15" customHeight="1">
      <c r="A545" s="1015"/>
      <c r="B545" s="589"/>
      <c r="C545" s="525"/>
      <c r="D545" s="518" t="s">
        <v>797</v>
      </c>
      <c r="E545" s="320" t="s">
        <v>64</v>
      </c>
      <c r="F545" s="228" t="s">
        <v>64</v>
      </c>
      <c r="G545" s="835">
        <v>1111.1099999999999</v>
      </c>
      <c r="H545" s="225" t="s">
        <v>64</v>
      </c>
      <c r="I545" s="639" t="s">
        <v>64</v>
      </c>
      <c r="J545" s="1221"/>
      <c r="K545" s="1104"/>
      <c r="L545" s="971"/>
      <c r="M545" s="932"/>
      <c r="N545" s="933"/>
      <c r="O545" s="971"/>
      <c r="P545" s="932"/>
      <c r="Q545" s="933"/>
      <c r="R545" s="971"/>
      <c r="S545" s="932"/>
      <c r="T545" s="933"/>
      <c r="U545" s="971"/>
      <c r="V545" s="932"/>
      <c r="W545" s="933"/>
      <c r="X545" s="971"/>
      <c r="Y545" s="932"/>
      <c r="Z545" s="933"/>
      <c r="AA545" s="971"/>
      <c r="AB545" s="932"/>
      <c r="AC545" s="932"/>
      <c r="AD545" s="937"/>
      <c r="AE545" s="1010"/>
      <c r="AF545" s="1011"/>
      <c r="AG545" s="971"/>
      <c r="AH545" s="932"/>
      <c r="AI545" s="933"/>
      <c r="AJ545" s="976"/>
      <c r="AK545" s="982"/>
      <c r="AL545" s="1006"/>
      <c r="AM545" s="440"/>
      <c r="AN545" s="89"/>
      <c r="AO545" s="89"/>
    </row>
    <row r="546" spans="1:42" s="69" customFormat="1" ht="15" customHeight="1">
      <c r="A546" s="1015"/>
      <c r="B546" s="589"/>
      <c r="C546" s="525"/>
      <c r="D546" s="518" t="s">
        <v>798</v>
      </c>
      <c r="E546" s="320" t="s">
        <v>64</v>
      </c>
      <c r="F546" s="228" t="s">
        <v>64</v>
      </c>
      <c r="G546" s="835">
        <v>2222.2199999999998</v>
      </c>
      <c r="H546" s="225" t="s">
        <v>64</v>
      </c>
      <c r="I546" s="639" t="s">
        <v>64</v>
      </c>
      <c r="J546" s="1221"/>
      <c r="K546" s="1104"/>
      <c r="L546" s="971"/>
      <c r="M546" s="932"/>
      <c r="N546" s="933"/>
      <c r="O546" s="971"/>
      <c r="P546" s="932"/>
      <c r="Q546" s="933"/>
      <c r="R546" s="971"/>
      <c r="S546" s="932"/>
      <c r="T546" s="933"/>
      <c r="U546" s="971"/>
      <c r="V546" s="932"/>
      <c r="W546" s="933"/>
      <c r="X546" s="971"/>
      <c r="Y546" s="932"/>
      <c r="Z546" s="933"/>
      <c r="AA546" s="971"/>
      <c r="AB546" s="932"/>
      <c r="AC546" s="932"/>
      <c r="AD546" s="937"/>
      <c r="AE546" s="1010"/>
      <c r="AF546" s="1011"/>
      <c r="AG546" s="971"/>
      <c r="AH546" s="932"/>
      <c r="AI546" s="933"/>
      <c r="AJ546" s="976"/>
      <c r="AK546" s="982"/>
      <c r="AL546" s="1006"/>
      <c r="AM546" s="151"/>
      <c r="AN546" s="90"/>
      <c r="AO546" s="128"/>
      <c r="AP546" s="106"/>
    </row>
    <row r="547" spans="1:42" s="69" customFormat="1" ht="15" customHeight="1">
      <c r="A547" s="1015"/>
      <c r="B547" s="589"/>
      <c r="C547" s="525"/>
      <c r="D547" s="518" t="s">
        <v>799</v>
      </c>
      <c r="E547" s="320" t="s">
        <v>64</v>
      </c>
      <c r="F547" s="228" t="s">
        <v>64</v>
      </c>
      <c r="G547" s="835">
        <v>3333.33</v>
      </c>
      <c r="H547" s="225" t="s">
        <v>64</v>
      </c>
      <c r="I547" s="639" t="s">
        <v>64</v>
      </c>
      <c r="J547" s="1221"/>
      <c r="K547" s="1104"/>
      <c r="L547" s="971"/>
      <c r="M547" s="932"/>
      <c r="N547" s="933"/>
      <c r="O547" s="971"/>
      <c r="P547" s="932"/>
      <c r="Q547" s="933"/>
      <c r="R547" s="971"/>
      <c r="S547" s="932"/>
      <c r="T547" s="933"/>
      <c r="U547" s="971"/>
      <c r="V547" s="932"/>
      <c r="W547" s="933"/>
      <c r="X547" s="971"/>
      <c r="Y547" s="932"/>
      <c r="Z547" s="933"/>
      <c r="AA547" s="971"/>
      <c r="AB547" s="932"/>
      <c r="AC547" s="932"/>
      <c r="AD547" s="937"/>
      <c r="AE547" s="1010"/>
      <c r="AF547" s="1011"/>
      <c r="AG547" s="971"/>
      <c r="AH547" s="932"/>
      <c r="AI547" s="933"/>
      <c r="AJ547" s="976"/>
      <c r="AK547" s="982"/>
      <c r="AL547" s="1006"/>
      <c r="AM547" s="151"/>
      <c r="AN547" s="90"/>
      <c r="AO547" s="128"/>
      <c r="AP547" s="106"/>
    </row>
    <row r="548" spans="1:42" s="69" customFormat="1" ht="15" customHeight="1">
      <c r="A548" s="1015"/>
      <c r="B548" s="589"/>
      <c r="C548" s="525"/>
      <c r="D548" s="518" t="s">
        <v>800</v>
      </c>
      <c r="E548" s="320" t="s">
        <v>64</v>
      </c>
      <c r="F548" s="228" t="s">
        <v>64</v>
      </c>
      <c r="G548" s="835">
        <v>2222.2199999999998</v>
      </c>
      <c r="H548" s="225" t="s">
        <v>64</v>
      </c>
      <c r="I548" s="639" t="s">
        <v>64</v>
      </c>
      <c r="J548" s="1221"/>
      <c r="K548" s="1104"/>
      <c r="L548" s="968"/>
      <c r="M548" s="969"/>
      <c r="N548" s="993"/>
      <c r="O548" s="968"/>
      <c r="P548" s="969"/>
      <c r="Q548" s="993"/>
      <c r="R548" s="968"/>
      <c r="S548" s="969"/>
      <c r="T548" s="993"/>
      <c r="U548" s="968"/>
      <c r="V548" s="969"/>
      <c r="W548" s="993"/>
      <c r="X548" s="968"/>
      <c r="Y548" s="969"/>
      <c r="Z548" s="993"/>
      <c r="AA548" s="968"/>
      <c r="AB548" s="969"/>
      <c r="AC548" s="969"/>
      <c r="AD548" s="970"/>
      <c r="AE548" s="1010"/>
      <c r="AF548" s="1011"/>
      <c r="AG548" s="968"/>
      <c r="AH548" s="969"/>
      <c r="AI548" s="993"/>
      <c r="AJ548" s="976"/>
      <c r="AK548" s="982"/>
      <c r="AL548" s="1006"/>
      <c r="AM548" s="151"/>
      <c r="AN548" s="90"/>
      <c r="AO548" s="128"/>
      <c r="AP548" s="106"/>
    </row>
    <row r="549" spans="1:42" s="69" customFormat="1" ht="15" customHeight="1">
      <c r="A549" s="1015"/>
      <c r="B549" s="589"/>
      <c r="C549" s="525"/>
      <c r="D549" s="518" t="s">
        <v>801</v>
      </c>
      <c r="E549" s="225" t="s">
        <v>64</v>
      </c>
      <c r="F549" s="228" t="s">
        <v>64</v>
      </c>
      <c r="G549" s="835">
        <f>1609.72+106.67+8960</f>
        <v>10676.39</v>
      </c>
      <c r="H549" s="225" t="s">
        <v>64</v>
      </c>
      <c r="I549" s="639" t="s">
        <v>64</v>
      </c>
      <c r="J549" s="1221"/>
      <c r="K549" s="1104"/>
      <c r="L549" s="7">
        <v>167.446124</v>
      </c>
      <c r="M549" s="320" t="s">
        <v>64</v>
      </c>
      <c r="N549" s="188"/>
      <c r="O549" s="188"/>
      <c r="P549" s="188"/>
      <c r="Q549" s="7">
        <v>167.446124</v>
      </c>
      <c r="R549" s="157">
        <v>963.70884854707674</v>
      </c>
      <c r="S549" s="7">
        <v>167.446124</v>
      </c>
      <c r="T549" s="157">
        <v>963.70884854707674</v>
      </c>
      <c r="U549" s="607" t="s">
        <v>64</v>
      </c>
      <c r="V549" s="7"/>
      <c r="W549" s="410">
        <v>0</v>
      </c>
      <c r="X549" s="507">
        <v>0</v>
      </c>
      <c r="Y549" s="7">
        <v>18.214585</v>
      </c>
      <c r="Z549" s="157">
        <v>104.83107233412491</v>
      </c>
      <c r="AA549" s="633">
        <v>22.682223999999998</v>
      </c>
      <c r="AB549" s="7">
        <v>130.54383972200424</v>
      </c>
      <c r="AC549" s="633">
        <v>36.858613999999996</v>
      </c>
      <c r="AD549" s="270">
        <v>212.13373954825701</v>
      </c>
      <c r="AE549" s="1010"/>
      <c r="AF549" s="1011"/>
      <c r="AG549" s="211">
        <v>167.446124</v>
      </c>
      <c r="AH549" s="157">
        <v>2891.1265456412302</v>
      </c>
      <c r="AI549" s="176">
        <f t="shared" si="18"/>
        <v>2891.1265456412302</v>
      </c>
      <c r="AJ549" s="976"/>
      <c r="AK549" s="982"/>
      <c r="AL549" s="1006"/>
      <c r="AM549" s="151"/>
      <c r="AN549" s="90"/>
      <c r="AO549" s="128"/>
      <c r="AP549" s="106"/>
    </row>
    <row r="550" spans="1:42" s="69" customFormat="1" ht="15" customHeight="1">
      <c r="A550" s="1015"/>
      <c r="B550" s="589"/>
      <c r="C550" s="525"/>
      <c r="D550" s="518" t="s">
        <v>802</v>
      </c>
      <c r="E550" s="225" t="s">
        <v>64</v>
      </c>
      <c r="F550" s="228" t="s">
        <v>64</v>
      </c>
      <c r="G550" s="835">
        <f>1609.72+106.67+8960</f>
        <v>10676.39</v>
      </c>
      <c r="H550" s="225" t="s">
        <v>64</v>
      </c>
      <c r="I550" s="639" t="s">
        <v>64</v>
      </c>
      <c r="J550" s="1221"/>
      <c r="K550" s="1104"/>
      <c r="L550" s="7">
        <v>167.446124</v>
      </c>
      <c r="M550" s="320" t="s">
        <v>64</v>
      </c>
      <c r="N550" s="188"/>
      <c r="O550" s="188"/>
      <c r="P550" s="188"/>
      <c r="Q550" s="7">
        <v>167.446124</v>
      </c>
      <c r="R550" s="157">
        <v>963.70884854707674</v>
      </c>
      <c r="S550" s="7">
        <v>167.446124</v>
      </c>
      <c r="T550" s="157">
        <v>963.70884854707674</v>
      </c>
      <c r="U550" s="607" t="s">
        <v>64</v>
      </c>
      <c r="V550" s="7"/>
      <c r="W550" s="410">
        <v>0</v>
      </c>
      <c r="X550" s="507">
        <v>0</v>
      </c>
      <c r="Y550" s="7">
        <v>18.214585</v>
      </c>
      <c r="Z550" s="157">
        <v>104.83107233412491</v>
      </c>
      <c r="AA550" s="633">
        <v>22.682223999999998</v>
      </c>
      <c r="AB550" s="7">
        <v>130.54383972200424</v>
      </c>
      <c r="AC550" s="633">
        <v>36.858613999999996</v>
      </c>
      <c r="AD550" s="270">
        <v>212.13373954825701</v>
      </c>
      <c r="AE550" s="1010"/>
      <c r="AF550" s="1011"/>
      <c r="AG550" s="211">
        <v>167.446124</v>
      </c>
      <c r="AH550" s="157">
        <v>2891.1265456412302</v>
      </c>
      <c r="AI550" s="176">
        <f t="shared" si="18"/>
        <v>2891.1265456412302</v>
      </c>
      <c r="AJ550" s="976"/>
      <c r="AK550" s="982"/>
      <c r="AL550" s="1006"/>
      <c r="AM550" s="151"/>
      <c r="AN550" s="90"/>
      <c r="AO550" s="128"/>
      <c r="AP550" s="106"/>
    </row>
    <row r="551" spans="1:42" s="69" customFormat="1" ht="15.75" customHeight="1">
      <c r="A551" s="1015"/>
      <c r="B551" s="589"/>
      <c r="C551" s="525"/>
      <c r="D551" s="833" t="s">
        <v>677</v>
      </c>
      <c r="E551" s="225" t="s">
        <v>64</v>
      </c>
      <c r="F551" s="228" t="s">
        <v>64</v>
      </c>
      <c r="G551" s="836"/>
      <c r="H551" s="225" t="s">
        <v>64</v>
      </c>
      <c r="I551" s="639" t="s">
        <v>64</v>
      </c>
      <c r="J551" s="1221"/>
      <c r="K551" s="1104"/>
      <c r="L551" s="924" t="s">
        <v>681</v>
      </c>
      <c r="M551" s="925"/>
      <c r="N551" s="926"/>
      <c r="O551" s="924" t="s">
        <v>681</v>
      </c>
      <c r="P551" s="925"/>
      <c r="Q551" s="926"/>
      <c r="R551" s="924" t="s">
        <v>681</v>
      </c>
      <c r="S551" s="925"/>
      <c r="T551" s="926"/>
      <c r="U551" s="924" t="s">
        <v>681</v>
      </c>
      <c r="V551" s="925"/>
      <c r="W551" s="926"/>
      <c r="X551" s="924" t="s">
        <v>681</v>
      </c>
      <c r="Y551" s="925"/>
      <c r="Z551" s="926"/>
      <c r="AA551" s="924" t="s">
        <v>681</v>
      </c>
      <c r="AB551" s="925"/>
      <c r="AC551" s="925"/>
      <c r="AD551" s="935"/>
      <c r="AE551" s="1010"/>
      <c r="AF551" s="1011"/>
      <c r="AG551" s="924" t="s">
        <v>681</v>
      </c>
      <c r="AH551" s="925"/>
      <c r="AI551" s="926"/>
      <c r="AJ551" s="976"/>
      <c r="AK551" s="982"/>
      <c r="AL551" s="1006"/>
      <c r="AM551" s="151"/>
      <c r="AN551" s="90"/>
      <c r="AO551" s="128"/>
      <c r="AP551" s="106"/>
    </row>
    <row r="552" spans="1:42" s="69" customFormat="1" ht="15" customHeight="1">
      <c r="A552" s="1015"/>
      <c r="B552" s="589"/>
      <c r="C552" s="525"/>
      <c r="D552" s="833" t="s">
        <v>856</v>
      </c>
      <c r="E552" s="225" t="s">
        <v>64</v>
      </c>
      <c r="F552" s="228" t="s">
        <v>64</v>
      </c>
      <c r="G552" s="836"/>
      <c r="H552" s="225" t="s">
        <v>64</v>
      </c>
      <c r="I552" s="639" t="s">
        <v>64</v>
      </c>
      <c r="J552" s="1221"/>
      <c r="K552" s="1104"/>
      <c r="L552" s="971"/>
      <c r="M552" s="932"/>
      <c r="N552" s="933"/>
      <c r="O552" s="971"/>
      <c r="P552" s="932"/>
      <c r="Q552" s="933"/>
      <c r="R552" s="971"/>
      <c r="S552" s="932"/>
      <c r="T552" s="933"/>
      <c r="U552" s="971"/>
      <c r="V552" s="932"/>
      <c r="W552" s="933"/>
      <c r="X552" s="971"/>
      <c r="Y552" s="932"/>
      <c r="Z552" s="933"/>
      <c r="AA552" s="971"/>
      <c r="AB552" s="932"/>
      <c r="AC552" s="932"/>
      <c r="AD552" s="937"/>
      <c r="AE552" s="1010"/>
      <c r="AF552" s="1011"/>
      <c r="AG552" s="971"/>
      <c r="AH552" s="932"/>
      <c r="AI552" s="933"/>
      <c r="AJ552" s="976"/>
      <c r="AK552" s="982"/>
      <c r="AL552" s="1006"/>
      <c r="AM552" s="151"/>
      <c r="AN552" s="90"/>
      <c r="AO552" s="128"/>
      <c r="AP552" s="106"/>
    </row>
    <row r="553" spans="1:42" s="69" customFormat="1" ht="15" customHeight="1">
      <c r="A553" s="1015"/>
      <c r="B553" s="589"/>
      <c r="C553" s="525"/>
      <c r="D553" s="833" t="s">
        <v>857</v>
      </c>
      <c r="E553" s="320" t="s">
        <v>64</v>
      </c>
      <c r="F553" s="228" t="s">
        <v>64</v>
      </c>
      <c r="G553" s="836">
        <v>12000</v>
      </c>
      <c r="H553" s="225" t="s">
        <v>64</v>
      </c>
      <c r="I553" s="639" t="s">
        <v>64</v>
      </c>
      <c r="J553" s="1221"/>
      <c r="K553" s="1104"/>
      <c r="L553" s="971"/>
      <c r="M553" s="932"/>
      <c r="N553" s="933"/>
      <c r="O553" s="971"/>
      <c r="P553" s="932"/>
      <c r="Q553" s="933"/>
      <c r="R553" s="971"/>
      <c r="S553" s="932"/>
      <c r="T553" s="933"/>
      <c r="U553" s="971"/>
      <c r="V553" s="932"/>
      <c r="W553" s="933"/>
      <c r="X553" s="971"/>
      <c r="Y553" s="932"/>
      <c r="Z553" s="933"/>
      <c r="AA553" s="971"/>
      <c r="AB553" s="932"/>
      <c r="AC553" s="932"/>
      <c r="AD553" s="937"/>
      <c r="AE553" s="1010"/>
      <c r="AF553" s="1011"/>
      <c r="AG553" s="971"/>
      <c r="AH553" s="932"/>
      <c r="AI553" s="933"/>
      <c r="AJ553" s="976"/>
      <c r="AK553" s="982"/>
      <c r="AL553" s="1006"/>
      <c r="AM553" s="151"/>
      <c r="AN553" s="90"/>
      <c r="AO553" s="128"/>
      <c r="AP553" s="106"/>
    </row>
    <row r="554" spans="1:42" s="69" customFormat="1" ht="15" customHeight="1">
      <c r="A554" s="1015"/>
      <c r="B554" s="589"/>
      <c r="C554" s="525"/>
      <c r="D554" s="518" t="s">
        <v>678</v>
      </c>
      <c r="E554" s="320" t="s">
        <v>64</v>
      </c>
      <c r="F554" s="228" t="s">
        <v>64</v>
      </c>
      <c r="G554" s="835"/>
      <c r="H554" s="225" t="s">
        <v>64</v>
      </c>
      <c r="I554" s="639" t="s">
        <v>64</v>
      </c>
      <c r="J554" s="1221"/>
      <c r="K554" s="1104"/>
      <c r="L554" s="971"/>
      <c r="M554" s="932"/>
      <c r="N554" s="933"/>
      <c r="O554" s="971"/>
      <c r="P554" s="932"/>
      <c r="Q554" s="933"/>
      <c r="R554" s="971"/>
      <c r="S554" s="932"/>
      <c r="T554" s="933"/>
      <c r="U554" s="971"/>
      <c r="V554" s="932"/>
      <c r="W554" s="933"/>
      <c r="X554" s="971"/>
      <c r="Y554" s="932"/>
      <c r="Z554" s="933"/>
      <c r="AA554" s="971"/>
      <c r="AB554" s="932"/>
      <c r="AC554" s="932"/>
      <c r="AD554" s="937"/>
      <c r="AE554" s="1010"/>
      <c r="AF554" s="1011"/>
      <c r="AG554" s="971"/>
      <c r="AH554" s="932"/>
      <c r="AI554" s="933"/>
      <c r="AJ554" s="976"/>
      <c r="AK554" s="982"/>
      <c r="AL554" s="1006"/>
      <c r="AM554" s="151"/>
      <c r="AN554" s="90"/>
      <c r="AO554" s="128"/>
      <c r="AP554" s="106"/>
    </row>
    <row r="555" spans="1:42" s="69" customFormat="1" ht="15" customHeight="1">
      <c r="A555" s="1015"/>
      <c r="B555" s="589"/>
      <c r="C555" s="525"/>
      <c r="D555" s="518" t="s">
        <v>858</v>
      </c>
      <c r="E555" s="320" t="s">
        <v>64</v>
      </c>
      <c r="F555" s="228" t="s">
        <v>64</v>
      </c>
      <c r="G555" s="835"/>
      <c r="H555" s="225" t="s">
        <v>64</v>
      </c>
      <c r="I555" s="639" t="s">
        <v>64</v>
      </c>
      <c r="J555" s="1221"/>
      <c r="K555" s="1104"/>
      <c r="L555" s="971"/>
      <c r="M555" s="932"/>
      <c r="N555" s="933"/>
      <c r="O555" s="971"/>
      <c r="P555" s="932"/>
      <c r="Q555" s="933"/>
      <c r="R555" s="971"/>
      <c r="S555" s="932"/>
      <c r="T555" s="933"/>
      <c r="U555" s="971"/>
      <c r="V555" s="932"/>
      <c r="W555" s="933"/>
      <c r="X555" s="971"/>
      <c r="Y555" s="932"/>
      <c r="Z555" s="933"/>
      <c r="AA555" s="971"/>
      <c r="AB555" s="932"/>
      <c r="AC555" s="932"/>
      <c r="AD555" s="937"/>
      <c r="AE555" s="1010"/>
      <c r="AF555" s="1011"/>
      <c r="AG555" s="971"/>
      <c r="AH555" s="932"/>
      <c r="AI555" s="933"/>
      <c r="AJ555" s="976"/>
      <c r="AK555" s="982"/>
      <c r="AL555" s="1006"/>
      <c r="AM555" s="151"/>
      <c r="AN555" s="90"/>
      <c r="AO555" s="128"/>
      <c r="AP555" s="106"/>
    </row>
    <row r="556" spans="1:42" s="69" customFormat="1" ht="15.75" customHeight="1" thickBot="1">
      <c r="A556" s="1015"/>
      <c r="B556" s="593"/>
      <c r="C556" s="527"/>
      <c r="D556" s="789" t="s">
        <v>859</v>
      </c>
      <c r="E556" s="226" t="s">
        <v>64</v>
      </c>
      <c r="F556" s="229" t="s">
        <v>64</v>
      </c>
      <c r="G556" s="837">
        <v>2700</v>
      </c>
      <c r="H556" s="226" t="s">
        <v>64</v>
      </c>
      <c r="I556" s="641" t="s">
        <v>64</v>
      </c>
      <c r="J556" s="1222"/>
      <c r="K556" s="1105"/>
      <c r="L556" s="927"/>
      <c r="M556" s="928"/>
      <c r="N556" s="929"/>
      <c r="O556" s="927"/>
      <c r="P556" s="928"/>
      <c r="Q556" s="929"/>
      <c r="R556" s="927"/>
      <c r="S556" s="928"/>
      <c r="T556" s="929"/>
      <c r="U556" s="927"/>
      <c r="V556" s="928"/>
      <c r="W556" s="929"/>
      <c r="X556" s="927"/>
      <c r="Y556" s="928"/>
      <c r="Z556" s="929"/>
      <c r="AA556" s="927"/>
      <c r="AB556" s="928"/>
      <c r="AC556" s="928"/>
      <c r="AD556" s="936"/>
      <c r="AE556" s="1010"/>
      <c r="AF556" s="1011"/>
      <c r="AG556" s="927"/>
      <c r="AH556" s="928"/>
      <c r="AI556" s="929"/>
      <c r="AJ556" s="976"/>
      <c r="AK556" s="983"/>
      <c r="AL556" s="1006"/>
      <c r="AM556" s="151"/>
      <c r="AN556" s="90"/>
      <c r="AO556" s="128"/>
      <c r="AP556" s="106"/>
    </row>
    <row r="557" spans="1:42" s="69" customFormat="1" ht="15" customHeight="1">
      <c r="A557" s="1015"/>
      <c r="B557" s="232" t="s">
        <v>151</v>
      </c>
      <c r="C557" s="912" t="s">
        <v>151</v>
      </c>
      <c r="D557" s="222" t="s">
        <v>860</v>
      </c>
      <c r="E557" s="240" t="s">
        <v>1</v>
      </c>
      <c r="F557" s="240" t="s">
        <v>0</v>
      </c>
      <c r="G557" s="426">
        <f>3*150*34.31</f>
        <v>15439.500000000002</v>
      </c>
      <c r="H557" s="673">
        <v>302.07</v>
      </c>
      <c r="I557" s="265" t="s">
        <v>21</v>
      </c>
      <c r="J557" s="1000" t="s">
        <v>665</v>
      </c>
      <c r="K557" s="1103" t="s">
        <v>666</v>
      </c>
      <c r="L557" s="120">
        <v>615.01970000000006</v>
      </c>
      <c r="M557" s="120">
        <v>92.9</v>
      </c>
      <c r="N557" s="115"/>
      <c r="O557" s="115"/>
      <c r="P557" s="115"/>
      <c r="Q557" s="676">
        <v>522.11970000000008</v>
      </c>
      <c r="R557" s="117">
        <v>2551.8655884149857</v>
      </c>
      <c r="S557" s="676">
        <v>522.11970000000008</v>
      </c>
      <c r="T557" s="117">
        <v>2551.8655884149857</v>
      </c>
      <c r="U557" s="245" t="s">
        <v>21</v>
      </c>
      <c r="V557" s="120"/>
      <c r="W557" s="97">
        <v>200.71350000000004</v>
      </c>
      <c r="X557" s="161">
        <v>980.989366576919</v>
      </c>
      <c r="Y557" s="120">
        <v>29.319250000000004</v>
      </c>
      <c r="Z557" s="117">
        <v>143.29814629315086</v>
      </c>
      <c r="AA557" s="676">
        <v>46.031199999999998</v>
      </c>
      <c r="AB557" s="117">
        <v>224.97797971125757</v>
      </c>
      <c r="AC557" s="676">
        <v>89.058750000000003</v>
      </c>
      <c r="AD557" s="177">
        <v>435.27558809264036</v>
      </c>
      <c r="AE557" s="1010"/>
      <c r="AF557" s="1011"/>
      <c r="AG557" s="838">
        <v>522.11970000000008</v>
      </c>
      <c r="AH557" s="117">
        <v>7655.5967652449572</v>
      </c>
      <c r="AI557" s="177">
        <f t="shared" ref="AI557:AI566" si="19">AH557</f>
        <v>7655.5967652449572</v>
      </c>
      <c r="AJ557" s="976"/>
      <c r="AK557" s="981">
        <f>SUM(AI557:AI566)</f>
        <v>23468.000586083053</v>
      </c>
      <c r="AL557" s="1006"/>
      <c r="AM557" s="440"/>
      <c r="AN557" s="89"/>
      <c r="AO557" s="89"/>
    </row>
    <row r="558" spans="1:42" s="69" customFormat="1" ht="15" customHeight="1">
      <c r="A558" s="1015"/>
      <c r="B558" s="821"/>
      <c r="C558" s="525"/>
      <c r="D558" s="223" t="s">
        <v>809</v>
      </c>
      <c r="E558" s="320" t="s">
        <v>64</v>
      </c>
      <c r="F558" s="228" t="s">
        <v>64</v>
      </c>
      <c r="G558" s="426">
        <f>150*34.31</f>
        <v>5146.5</v>
      </c>
      <c r="H558" s="225" t="s">
        <v>64</v>
      </c>
      <c r="I558" s="265" t="s">
        <v>21</v>
      </c>
      <c r="J558" s="1001"/>
      <c r="K558" s="1104"/>
      <c r="L558" s="7">
        <v>109.0994</v>
      </c>
      <c r="M558" s="320" t="s">
        <v>64</v>
      </c>
      <c r="N558" s="188"/>
      <c r="O558" s="188"/>
      <c r="P558" s="188"/>
      <c r="Q558" s="633">
        <v>109.0994</v>
      </c>
      <c r="R558" s="157">
        <v>533.22447817372438</v>
      </c>
      <c r="S558" s="633">
        <v>109.0994</v>
      </c>
      <c r="T558" s="157">
        <v>533.22447817372438</v>
      </c>
      <c r="U558" s="245" t="s">
        <v>21</v>
      </c>
      <c r="V558" s="7"/>
      <c r="W558" s="410">
        <v>0</v>
      </c>
      <c r="X558" s="507">
        <v>0</v>
      </c>
      <c r="Y558" s="7">
        <v>9.9197500000000005</v>
      </c>
      <c r="Z558" s="157">
        <v>48.482883658056807</v>
      </c>
      <c r="AA558" s="633">
        <v>14.634400000000001</v>
      </c>
      <c r="AB558" s="157">
        <v>71.525785690714642</v>
      </c>
      <c r="AC558" s="633">
        <v>30.183450000000004</v>
      </c>
      <c r="AD558" s="176">
        <v>147.52193298709906</v>
      </c>
      <c r="AE558" s="1010"/>
      <c r="AF558" s="1011"/>
      <c r="AG558" s="839">
        <v>109.0994</v>
      </c>
      <c r="AH558" s="157">
        <v>1599.673434521173</v>
      </c>
      <c r="AI558" s="176">
        <f t="shared" si="19"/>
        <v>1599.673434521173</v>
      </c>
      <c r="AJ558" s="976"/>
      <c r="AK558" s="982"/>
      <c r="AL558" s="1006"/>
      <c r="AM558" s="440"/>
      <c r="AN558" s="89"/>
      <c r="AO558" s="89"/>
    </row>
    <row r="559" spans="1:42" s="69" customFormat="1" ht="15" customHeight="1">
      <c r="A559" s="1015"/>
      <c r="B559" s="821"/>
      <c r="C559" s="525"/>
      <c r="D559" s="223" t="s">
        <v>810</v>
      </c>
      <c r="E559" s="320" t="s">
        <v>64</v>
      </c>
      <c r="F559" s="228" t="s">
        <v>64</v>
      </c>
      <c r="G559" s="426">
        <f>G558*2</f>
        <v>10293</v>
      </c>
      <c r="H559" s="225" t="s">
        <v>64</v>
      </c>
      <c r="I559" s="265" t="s">
        <v>21</v>
      </c>
      <c r="J559" s="1001"/>
      <c r="K559" s="1104"/>
      <c r="L559" s="7">
        <v>182.2388</v>
      </c>
      <c r="M559" s="320" t="s">
        <v>64</v>
      </c>
      <c r="N559" s="188"/>
      <c r="O559" s="188"/>
      <c r="P559" s="188"/>
      <c r="Q559" s="633">
        <v>182.2388</v>
      </c>
      <c r="R559" s="157">
        <v>890.69407378047629</v>
      </c>
      <c r="S559" s="633">
        <v>182.2388</v>
      </c>
      <c r="T559" s="157">
        <v>890.69407378047629</v>
      </c>
      <c r="U559" s="245" t="s">
        <v>21</v>
      </c>
      <c r="V559" s="7"/>
      <c r="W559" s="410">
        <v>0</v>
      </c>
      <c r="X559" s="507">
        <v>0</v>
      </c>
      <c r="Y559" s="7">
        <v>20.639499999999998</v>
      </c>
      <c r="Z559" s="157">
        <v>100.8757758270585</v>
      </c>
      <c r="AA559" s="633">
        <v>24.308800000000002</v>
      </c>
      <c r="AB559" s="157">
        <v>118.80951861357106</v>
      </c>
      <c r="AC559" s="633">
        <v>50.136900000000004</v>
      </c>
      <c r="AD559" s="176">
        <v>245.04463214049051</v>
      </c>
      <c r="AE559" s="1010"/>
      <c r="AF559" s="1011"/>
      <c r="AG559" s="839">
        <v>182.2388</v>
      </c>
      <c r="AH559" s="157">
        <v>2672.082221341429</v>
      </c>
      <c r="AI559" s="176">
        <f t="shared" si="19"/>
        <v>2672.082221341429</v>
      </c>
      <c r="AJ559" s="976"/>
      <c r="AK559" s="982"/>
      <c r="AL559" s="1006"/>
      <c r="AM559" s="440"/>
      <c r="AN559" s="89"/>
      <c r="AO559" s="89"/>
    </row>
    <row r="560" spans="1:42" s="69" customFormat="1" ht="15.75" customHeight="1">
      <c r="A560" s="1015"/>
      <c r="B560" s="821"/>
      <c r="C560" s="525"/>
      <c r="D560" s="223" t="s">
        <v>811</v>
      </c>
      <c r="E560" s="320" t="s">
        <v>64</v>
      </c>
      <c r="F560" s="228" t="s">
        <v>64</v>
      </c>
      <c r="G560" s="426">
        <f>G558*3</f>
        <v>15439.5</v>
      </c>
      <c r="H560" s="225" t="s">
        <v>64</v>
      </c>
      <c r="I560" s="265" t="s">
        <v>21</v>
      </c>
      <c r="J560" s="1001"/>
      <c r="K560" s="1104"/>
      <c r="L560" s="7">
        <v>228.49820000000003</v>
      </c>
      <c r="M560" s="320" t="s">
        <v>64</v>
      </c>
      <c r="N560" s="188"/>
      <c r="O560" s="188"/>
      <c r="P560" s="188"/>
      <c r="Q560" s="633">
        <v>228.49820000000003</v>
      </c>
      <c r="R560" s="157">
        <v>1116.7873834194813</v>
      </c>
      <c r="S560" s="633">
        <v>228.49820000000003</v>
      </c>
      <c r="T560" s="157">
        <v>1116.7873834194813</v>
      </c>
      <c r="U560" s="245" t="s">
        <v>21</v>
      </c>
      <c r="V560" s="7"/>
      <c r="W560" s="410">
        <v>0</v>
      </c>
      <c r="X560" s="507">
        <v>0</v>
      </c>
      <c r="Y560" s="7">
        <v>25.359250000000003</v>
      </c>
      <c r="Z560" s="157">
        <v>123.94360416397366</v>
      </c>
      <c r="AA560" s="633">
        <v>31.103200000000001</v>
      </c>
      <c r="AB560" s="157">
        <v>152.01722089702591</v>
      </c>
      <c r="AC560" s="633">
        <v>64.150350000000003</v>
      </c>
      <c r="AD560" s="176">
        <v>313.53551810011606</v>
      </c>
      <c r="AE560" s="1010"/>
      <c r="AF560" s="1011"/>
      <c r="AG560" s="839">
        <v>228.49820000000003</v>
      </c>
      <c r="AH560" s="157">
        <v>3350.3621502584438</v>
      </c>
      <c r="AI560" s="176">
        <f t="shared" si="19"/>
        <v>3350.3621502584438</v>
      </c>
      <c r="AJ560" s="976"/>
      <c r="AK560" s="982"/>
      <c r="AL560" s="1006"/>
      <c r="AM560" s="440"/>
      <c r="AN560" s="89"/>
      <c r="AO560" s="89"/>
    </row>
    <row r="561" spans="1:42" s="69" customFormat="1" ht="15" customHeight="1">
      <c r="A561" s="1015"/>
      <c r="B561" s="821"/>
      <c r="C561" s="525"/>
      <c r="D561" s="223" t="s">
        <v>812</v>
      </c>
      <c r="E561" s="320" t="s">
        <v>64</v>
      </c>
      <c r="F561" s="228" t="s">
        <v>64</v>
      </c>
      <c r="G561" s="426">
        <v>2347.7600000000002</v>
      </c>
      <c r="H561" s="225" t="s">
        <v>64</v>
      </c>
      <c r="I561" s="265" t="s">
        <v>21</v>
      </c>
      <c r="J561" s="1001"/>
      <c r="K561" s="1104"/>
      <c r="L561" s="7">
        <v>118.75489599999999</v>
      </c>
      <c r="M561" s="320" t="s">
        <v>64</v>
      </c>
      <c r="N561" s="188"/>
      <c r="O561" s="188"/>
      <c r="P561" s="188"/>
      <c r="Q561" s="633">
        <v>118.75489599999999</v>
      </c>
      <c r="R561" s="157">
        <v>580.41581759546682</v>
      </c>
      <c r="S561" s="633">
        <v>118.75489599999999</v>
      </c>
      <c r="T561" s="157">
        <v>580.41581759546682</v>
      </c>
      <c r="U561" s="245" t="s">
        <v>21</v>
      </c>
      <c r="V561" s="7"/>
      <c r="W561" s="410">
        <v>30.520880000000005</v>
      </c>
      <c r="X561" s="507">
        <v>149.17112570190923</v>
      </c>
      <c r="Y561" s="7">
        <v>5.7216399999999998</v>
      </c>
      <c r="Z561" s="157">
        <v>27.96457637070333</v>
      </c>
      <c r="AA561" s="633">
        <v>11.756416</v>
      </c>
      <c r="AB561" s="157">
        <v>57.459608272760654</v>
      </c>
      <c r="AC561" s="633">
        <v>24.247608</v>
      </c>
      <c r="AD561" s="176">
        <v>118.51044206256888</v>
      </c>
      <c r="AE561" s="1010"/>
      <c r="AF561" s="1011"/>
      <c r="AG561" s="839">
        <v>118.75489599999999</v>
      </c>
      <c r="AH561" s="157">
        <v>1741.2474527864006</v>
      </c>
      <c r="AI561" s="176">
        <f t="shared" si="19"/>
        <v>1741.2474527864006</v>
      </c>
      <c r="AJ561" s="976"/>
      <c r="AK561" s="982"/>
      <c r="AL561" s="1006"/>
      <c r="AM561" s="440"/>
      <c r="AN561" s="89"/>
      <c r="AO561" s="89"/>
    </row>
    <row r="562" spans="1:42" s="69" customFormat="1" ht="15" customHeight="1">
      <c r="A562" s="1015"/>
      <c r="B562" s="821"/>
      <c r="C562" s="525"/>
      <c r="D562" s="223" t="s">
        <v>813</v>
      </c>
      <c r="E562" s="320" t="s">
        <v>64</v>
      </c>
      <c r="F562" s="228" t="s">
        <v>64</v>
      </c>
      <c r="G562" s="426">
        <f>2*G561</f>
        <v>4695.5200000000004</v>
      </c>
      <c r="H562" s="225" t="s">
        <v>64</v>
      </c>
      <c r="I562" s="265" t="s">
        <v>21</v>
      </c>
      <c r="J562" s="1001"/>
      <c r="K562" s="1001"/>
      <c r="L562" s="211">
        <v>176.50979200000003</v>
      </c>
      <c r="M562" s="320" t="s">
        <v>64</v>
      </c>
      <c r="N562" s="188"/>
      <c r="O562" s="188"/>
      <c r="P562" s="188"/>
      <c r="Q562" s="633">
        <v>176.50979200000003</v>
      </c>
      <c r="R562" s="157">
        <v>862.69348623138762</v>
      </c>
      <c r="S562" s="633">
        <v>176.50979200000003</v>
      </c>
      <c r="T562" s="157">
        <v>862.69348623138762</v>
      </c>
      <c r="U562" s="245" t="s">
        <v>21</v>
      </c>
      <c r="V562" s="7"/>
      <c r="W562" s="410">
        <v>61.041760000000011</v>
      </c>
      <c r="X562" s="507">
        <v>298.34225140381847</v>
      </c>
      <c r="Y562" s="7">
        <v>9.2432800000000004</v>
      </c>
      <c r="Z562" s="157">
        <v>45.176629336308267</v>
      </c>
      <c r="AA562" s="676">
        <v>15.512832000000001</v>
      </c>
      <c r="AB562" s="176">
        <v>75.819131436072567</v>
      </c>
      <c r="AC562" s="676">
        <v>31.995216000000003</v>
      </c>
      <c r="AD562" s="176">
        <v>156.3769585868998</v>
      </c>
      <c r="AE562" s="1010"/>
      <c r="AF562" s="1011"/>
      <c r="AG562" s="839">
        <v>176.50979200000003</v>
      </c>
      <c r="AH562" s="157">
        <v>2588.0804586941631</v>
      </c>
      <c r="AI562" s="176">
        <f t="shared" si="19"/>
        <v>2588.0804586941631</v>
      </c>
      <c r="AJ562" s="976"/>
      <c r="AK562" s="982"/>
      <c r="AL562" s="1006"/>
      <c r="AM562" s="440"/>
      <c r="AN562" s="89"/>
      <c r="AO562" s="89"/>
    </row>
    <row r="563" spans="1:42" s="69" customFormat="1" ht="15" customHeight="1">
      <c r="A563" s="1015"/>
      <c r="B563" s="821"/>
      <c r="C563" s="525"/>
      <c r="D563" s="223" t="s">
        <v>814</v>
      </c>
      <c r="E563" s="320" t="s">
        <v>64</v>
      </c>
      <c r="F563" s="228" t="s">
        <v>64</v>
      </c>
      <c r="G563" s="426">
        <f>G561*10%</f>
        <v>234.77600000000004</v>
      </c>
      <c r="H563" s="225" t="s">
        <v>64</v>
      </c>
      <c r="I563" s="265" t="s">
        <v>21</v>
      </c>
      <c r="J563" s="1001"/>
      <c r="K563" s="1001"/>
      <c r="L563" s="211">
        <v>52.123401600000001</v>
      </c>
      <c r="M563" s="320" t="s">
        <v>64</v>
      </c>
      <c r="N563" s="188"/>
      <c r="O563" s="188"/>
      <c r="P563" s="188"/>
      <c r="Q563" s="633">
        <v>52.123401600000001</v>
      </c>
      <c r="R563" s="157">
        <v>254.75367984424756</v>
      </c>
      <c r="S563" s="633">
        <v>52.123401600000001</v>
      </c>
      <c r="T563" s="157">
        <v>254.75367984424756</v>
      </c>
      <c r="U563" s="245" t="s">
        <v>21</v>
      </c>
      <c r="V563" s="7"/>
      <c r="W563" s="410">
        <v>0</v>
      </c>
      <c r="X563" s="507">
        <v>0</v>
      </c>
      <c r="Y563" s="7">
        <v>2.5521639999999999</v>
      </c>
      <c r="Z563" s="157">
        <v>12.473728701658905</v>
      </c>
      <c r="AA563" s="676">
        <v>6.7756416000000002</v>
      </c>
      <c r="AB563" s="176">
        <v>33.116020403890225</v>
      </c>
      <c r="AC563" s="676">
        <v>13.9747608</v>
      </c>
      <c r="AD563" s="176">
        <v>68.301792083023571</v>
      </c>
      <c r="AE563" s="1010"/>
      <c r="AF563" s="1011"/>
      <c r="AG563" s="839">
        <v>52.123401600000001</v>
      </c>
      <c r="AH563" s="157">
        <v>764.26103953274264</v>
      </c>
      <c r="AI563" s="176">
        <f t="shared" si="19"/>
        <v>764.26103953274264</v>
      </c>
      <c r="AJ563" s="976"/>
      <c r="AK563" s="982"/>
      <c r="AL563" s="1006"/>
      <c r="AM563" s="440"/>
      <c r="AN563" s="89"/>
      <c r="AO563" s="89"/>
    </row>
    <row r="564" spans="1:42" s="69" customFormat="1" ht="15" customHeight="1">
      <c r="A564" s="1015"/>
      <c r="B564" s="821"/>
      <c r="C564" s="525"/>
      <c r="D564" s="223" t="s">
        <v>815</v>
      </c>
      <c r="E564" s="320" t="s">
        <v>64</v>
      </c>
      <c r="F564" s="228" t="s">
        <v>64</v>
      </c>
      <c r="G564" s="426">
        <f>G563*2</f>
        <v>469.55200000000008</v>
      </c>
      <c r="H564" s="225" t="s">
        <v>64</v>
      </c>
      <c r="I564" s="265" t="s">
        <v>21</v>
      </c>
      <c r="J564" s="1001"/>
      <c r="K564" s="1001"/>
      <c r="L564" s="211">
        <v>54.846803200000004</v>
      </c>
      <c r="M564" s="320" t="s">
        <v>64</v>
      </c>
      <c r="N564" s="188"/>
      <c r="O564" s="188"/>
      <c r="P564" s="188"/>
      <c r="Q564" s="633">
        <v>54.846803200000004</v>
      </c>
      <c r="R564" s="157">
        <v>268.06433413764876</v>
      </c>
      <c r="S564" s="633">
        <v>54.846803200000004</v>
      </c>
      <c r="T564" s="157">
        <v>268.06433413764876</v>
      </c>
      <c r="U564" s="245" t="s">
        <v>21</v>
      </c>
      <c r="V564" s="7"/>
      <c r="W564" s="410">
        <v>0</v>
      </c>
      <c r="X564" s="507">
        <v>0</v>
      </c>
      <c r="Y564" s="7">
        <v>2.904328</v>
      </c>
      <c r="Z564" s="157">
        <v>14.194933998219406</v>
      </c>
      <c r="AA564" s="676">
        <v>7.1512832000000008</v>
      </c>
      <c r="AB564" s="176">
        <v>34.951972720221441</v>
      </c>
      <c r="AC564" s="676">
        <v>14.749521600000001</v>
      </c>
      <c r="AD564" s="176">
        <v>72.088443735456678</v>
      </c>
      <c r="AE564" s="1010"/>
      <c r="AF564" s="1011"/>
      <c r="AG564" s="839">
        <v>54.846803200000004</v>
      </c>
      <c r="AH564" s="157">
        <v>804.19300241294627</v>
      </c>
      <c r="AI564" s="176">
        <f t="shared" si="19"/>
        <v>804.19300241294627</v>
      </c>
      <c r="AJ564" s="976"/>
      <c r="AK564" s="982"/>
      <c r="AL564" s="1006"/>
      <c r="AM564" s="440"/>
      <c r="AN564" s="89"/>
      <c r="AO564" s="89"/>
    </row>
    <row r="565" spans="1:42" s="69" customFormat="1" ht="15" customHeight="1">
      <c r="A565" s="1015"/>
      <c r="B565" s="821"/>
      <c r="C565" s="525"/>
      <c r="D565" s="223" t="s">
        <v>816</v>
      </c>
      <c r="E565" s="320" t="s">
        <v>64</v>
      </c>
      <c r="F565" s="228" t="s">
        <v>64</v>
      </c>
      <c r="G565" s="426">
        <f>G563*3</f>
        <v>704.32800000000009</v>
      </c>
      <c r="H565" s="225" t="s">
        <v>64</v>
      </c>
      <c r="I565" s="265" t="s">
        <v>21</v>
      </c>
      <c r="J565" s="1001"/>
      <c r="K565" s="1001"/>
      <c r="L565" s="211">
        <v>57.570204800000006</v>
      </c>
      <c r="M565" s="320" t="s">
        <v>64</v>
      </c>
      <c r="N565" s="188"/>
      <c r="O565" s="188"/>
      <c r="P565" s="188"/>
      <c r="Q565" s="7">
        <v>57.570204800000006</v>
      </c>
      <c r="R565" s="157">
        <v>281.37498843104964</v>
      </c>
      <c r="S565" s="7">
        <v>57.570204800000006</v>
      </c>
      <c r="T565" s="157">
        <v>281.37498843104964</v>
      </c>
      <c r="U565" s="245" t="s">
        <v>21</v>
      </c>
      <c r="V565" s="7"/>
      <c r="W565" s="410">
        <v>0</v>
      </c>
      <c r="X565" s="507">
        <v>0</v>
      </c>
      <c r="Y565" s="7">
        <v>3.2564920000000002</v>
      </c>
      <c r="Z565" s="157">
        <v>15.916139294779883</v>
      </c>
      <c r="AA565" s="676">
        <v>7.5269248000000006</v>
      </c>
      <c r="AB565" s="176">
        <v>36.787925036552608</v>
      </c>
      <c r="AC565" s="676">
        <v>15.524282400000002</v>
      </c>
      <c r="AD565" s="176">
        <v>75.875095387889715</v>
      </c>
      <c r="AE565" s="1010"/>
      <c r="AF565" s="1011"/>
      <c r="AG565" s="211">
        <v>57.570204800000006</v>
      </c>
      <c r="AH565" s="157">
        <v>844.12496529314899</v>
      </c>
      <c r="AI565" s="176">
        <f t="shared" si="19"/>
        <v>844.12496529314899</v>
      </c>
      <c r="AJ565" s="976"/>
      <c r="AK565" s="982"/>
      <c r="AL565" s="1006"/>
      <c r="AM565" s="440"/>
      <c r="AN565" s="89"/>
      <c r="AO565" s="89"/>
    </row>
    <row r="566" spans="1:42" s="69" customFormat="1" ht="15.75" customHeight="1" thickBot="1">
      <c r="A566" s="1016"/>
      <c r="B566" s="745"/>
      <c r="C566" s="527"/>
      <c r="D566" s="224" t="s">
        <v>820</v>
      </c>
      <c r="E566" s="226" t="s">
        <v>64</v>
      </c>
      <c r="F566" s="229" t="s">
        <v>64</v>
      </c>
      <c r="G566" s="432">
        <v>4256.9799999999996</v>
      </c>
      <c r="H566" s="226" t="s">
        <v>64</v>
      </c>
      <c r="I566" s="266" t="s">
        <v>21</v>
      </c>
      <c r="J566" s="1002"/>
      <c r="K566" s="1002"/>
      <c r="L566" s="199">
        <v>98.780968000000001</v>
      </c>
      <c r="M566" s="226" t="s">
        <v>64</v>
      </c>
      <c r="N566" s="116"/>
      <c r="O566" s="116"/>
      <c r="P566" s="116"/>
      <c r="Q566" s="28">
        <v>98.780968000000001</v>
      </c>
      <c r="R566" s="118">
        <v>482.79303199921713</v>
      </c>
      <c r="S566" s="28">
        <v>98.780968000000001</v>
      </c>
      <c r="T566" s="118">
        <v>482.79303199921713</v>
      </c>
      <c r="U566" s="246" t="s">
        <v>21</v>
      </c>
      <c r="V566" s="28"/>
      <c r="W566" s="98">
        <v>0</v>
      </c>
      <c r="X566" s="162">
        <v>0</v>
      </c>
      <c r="Y566" s="28">
        <v>8.585469999999999</v>
      </c>
      <c r="Z566" s="118">
        <v>41.961575963077415</v>
      </c>
      <c r="AA566" s="28">
        <v>13.211168000000001</v>
      </c>
      <c r="AB566" s="757">
        <v>64.569724149403314</v>
      </c>
      <c r="AC566" s="28">
        <v>27.248034000000001</v>
      </c>
      <c r="AD566" s="571">
        <v>133.17505605814435</v>
      </c>
      <c r="AE566" s="1012"/>
      <c r="AF566" s="1013"/>
      <c r="AG566" s="199">
        <v>98.780968000000001</v>
      </c>
      <c r="AH566" s="118">
        <v>1448.3790959976513</v>
      </c>
      <c r="AI566" s="180">
        <f t="shared" si="19"/>
        <v>1448.3790959976513</v>
      </c>
      <c r="AJ566" s="977"/>
      <c r="AK566" s="983"/>
      <c r="AL566" s="1007"/>
      <c r="AM566" s="151"/>
      <c r="AN566" s="90"/>
      <c r="AO566" s="128"/>
      <c r="AP566" s="106"/>
    </row>
    <row r="567" spans="1:42" s="69" customFormat="1">
      <c r="A567" s="66"/>
      <c r="B567" s="66"/>
      <c r="C567" s="67"/>
      <c r="D567" s="128"/>
      <c r="E567" s="128"/>
      <c r="F567" s="128"/>
      <c r="G567" s="59"/>
      <c r="H567" s="59"/>
      <c r="I567" s="59"/>
      <c r="J567" s="128"/>
      <c r="K567" s="128"/>
      <c r="L567" s="61"/>
      <c r="M567" s="60"/>
      <c r="N567" s="61"/>
      <c r="O567" s="61"/>
      <c r="P567" s="61"/>
      <c r="Q567" s="61"/>
      <c r="R567" s="160"/>
      <c r="S567" s="61"/>
      <c r="T567" s="160"/>
      <c r="U567" s="61"/>
      <c r="V567" s="61"/>
      <c r="W567" s="61"/>
      <c r="X567" s="151"/>
      <c r="Y567" s="60"/>
      <c r="Z567" s="151"/>
      <c r="AA567" s="60"/>
      <c r="AB567" s="60"/>
      <c r="AC567" s="60"/>
      <c r="AD567" s="60"/>
      <c r="AE567" s="60"/>
      <c r="AF567" s="60"/>
      <c r="AG567" s="60"/>
      <c r="AH567" s="151"/>
      <c r="AI567" s="151"/>
      <c r="AJ567" s="60"/>
      <c r="AM567" s="850"/>
      <c r="AN567" s="128"/>
      <c r="AO567" s="106"/>
    </row>
    <row r="568" spans="1:42" s="144" customFormat="1">
      <c r="A568" s="139"/>
      <c r="B568" s="139"/>
      <c r="C568" s="140"/>
      <c r="D568" s="141"/>
      <c r="E568" s="141"/>
      <c r="F568" s="141"/>
      <c r="G568" s="142"/>
      <c r="H568" s="142"/>
      <c r="I568" s="142"/>
      <c r="J568" s="141"/>
      <c r="K568" s="141"/>
      <c r="L568" s="143"/>
      <c r="M568" s="137"/>
      <c r="N568" s="143"/>
      <c r="O568" s="143"/>
      <c r="P568" s="143"/>
      <c r="Q568" s="143"/>
      <c r="R568" s="169"/>
      <c r="S568" s="143"/>
      <c r="T568" s="169"/>
      <c r="U568" s="143"/>
      <c r="V568" s="143"/>
      <c r="W568" s="143"/>
      <c r="X568" s="155"/>
      <c r="Y568" s="137"/>
      <c r="Z568" s="155"/>
      <c r="AA568" s="137"/>
      <c r="AB568" s="137"/>
      <c r="AC568" s="137"/>
      <c r="AD568" s="137"/>
      <c r="AE568" s="137"/>
      <c r="AF568" s="137"/>
      <c r="AG568" s="137"/>
      <c r="AH568" s="155"/>
      <c r="AI568" s="155"/>
      <c r="AJ568" s="137"/>
      <c r="AM568" s="851"/>
      <c r="AN568" s="141"/>
      <c r="AO568" s="145"/>
    </row>
    <row r="569" spans="1:42" s="69" customFormat="1" ht="13.5" thickBot="1">
      <c r="A569" s="70"/>
      <c r="B569" s="70"/>
      <c r="C569" s="71"/>
      <c r="D569" s="63"/>
      <c r="E569" s="63"/>
      <c r="F569" s="63"/>
      <c r="G569" s="59"/>
      <c r="H569" s="59"/>
      <c r="I569" s="59"/>
      <c r="J569" s="128"/>
      <c r="K569" s="128"/>
      <c r="L569" s="61"/>
      <c r="M569" s="60"/>
      <c r="N569" s="61"/>
      <c r="O569" s="61"/>
      <c r="P569" s="61"/>
      <c r="Q569" s="61"/>
      <c r="R569" s="160"/>
      <c r="S569" s="61"/>
      <c r="T569" s="160"/>
      <c r="U569" s="61"/>
      <c r="V569" s="61"/>
      <c r="W569" s="61"/>
      <c r="X569" s="151"/>
      <c r="Y569" s="60"/>
      <c r="Z569" s="151"/>
      <c r="AA569" s="60"/>
      <c r="AB569" s="60"/>
      <c r="AC569" s="60"/>
      <c r="AD569" s="60"/>
      <c r="AE569" s="60"/>
      <c r="AF569" s="60"/>
      <c r="AG569" s="60"/>
      <c r="AH569" s="151"/>
      <c r="AI569" s="151"/>
      <c r="AJ569" s="60"/>
      <c r="AM569" s="850"/>
      <c r="AN569" s="128"/>
      <c r="AO569" s="106"/>
    </row>
    <row r="570" spans="1:42" s="69" customFormat="1" ht="12.75" customHeight="1">
      <c r="A570" s="997" t="s">
        <v>580</v>
      </c>
      <c r="B570" s="608">
        <v>4596</v>
      </c>
      <c r="C570" s="529">
        <v>29262</v>
      </c>
      <c r="D570" s="222" t="s">
        <v>558</v>
      </c>
      <c r="E570" s="222" t="s">
        <v>566</v>
      </c>
      <c r="F570" s="710" t="s">
        <v>151</v>
      </c>
      <c r="G570" s="1106" t="s">
        <v>582</v>
      </c>
      <c r="H570" s="1107"/>
      <c r="I570" s="1107"/>
      <c r="J570" s="1107"/>
      <c r="K570" s="1108"/>
      <c r="L570" s="1106" t="s">
        <v>582</v>
      </c>
      <c r="M570" s="1107"/>
      <c r="N570" s="1107"/>
      <c r="O570" s="1107"/>
      <c r="P570" s="1108"/>
      <c r="Q570" s="1106" t="s">
        <v>582</v>
      </c>
      <c r="R570" s="1107"/>
      <c r="S570" s="1107"/>
      <c r="T570" s="1107"/>
      <c r="U570" s="1108"/>
      <c r="V570" s="1106" t="s">
        <v>582</v>
      </c>
      <c r="W570" s="1107"/>
      <c r="X570" s="1107"/>
      <c r="Y570" s="1107"/>
      <c r="Z570" s="1108"/>
      <c r="AA570" s="1106" t="s">
        <v>582</v>
      </c>
      <c r="AB570" s="1107"/>
      <c r="AC570" s="1107"/>
      <c r="AD570" s="1107"/>
      <c r="AE570" s="1324" t="s">
        <v>19</v>
      </c>
      <c r="AF570" s="1325"/>
      <c r="AG570" s="1110" t="s">
        <v>582</v>
      </c>
      <c r="AH570" s="1110"/>
      <c r="AI570" s="1110"/>
      <c r="AJ570" s="975">
        <v>46215</v>
      </c>
      <c r="AK570" s="1121" t="s">
        <v>583</v>
      </c>
      <c r="AL570" s="1122"/>
      <c r="AM570" s="440"/>
      <c r="AN570" s="90"/>
      <c r="AO570" s="128"/>
    </row>
    <row r="571" spans="1:42" s="69" customFormat="1" ht="15" customHeight="1">
      <c r="A571" s="998"/>
      <c r="B571" s="610"/>
      <c r="C571" s="525"/>
      <c r="D571" s="223" t="s">
        <v>559</v>
      </c>
      <c r="E571" s="320" t="s">
        <v>64</v>
      </c>
      <c r="F571" s="711" t="s">
        <v>151</v>
      </c>
      <c r="G571" s="1109"/>
      <c r="H571" s="1110"/>
      <c r="I571" s="1110"/>
      <c r="J571" s="1110"/>
      <c r="K571" s="1111"/>
      <c r="L571" s="1109"/>
      <c r="M571" s="1110"/>
      <c r="N571" s="1110"/>
      <c r="O571" s="1110"/>
      <c r="P571" s="1111"/>
      <c r="Q571" s="1109"/>
      <c r="R571" s="1110"/>
      <c r="S571" s="1110"/>
      <c r="T571" s="1110"/>
      <c r="U571" s="1111"/>
      <c r="V571" s="1109"/>
      <c r="W571" s="1110"/>
      <c r="X571" s="1110"/>
      <c r="Y571" s="1110"/>
      <c r="Z571" s="1111"/>
      <c r="AA571" s="1109"/>
      <c r="AB571" s="1110"/>
      <c r="AC571" s="1110"/>
      <c r="AD571" s="1110"/>
      <c r="AE571" s="1326"/>
      <c r="AF571" s="1327"/>
      <c r="AG571" s="1110"/>
      <c r="AH571" s="1110"/>
      <c r="AI571" s="1110"/>
      <c r="AJ571" s="976"/>
      <c r="AK571" s="1123"/>
      <c r="AL571" s="1124"/>
      <c r="AM571" s="440"/>
      <c r="AN571" s="128"/>
      <c r="AO571" s="128"/>
    </row>
    <row r="572" spans="1:42" s="69" customFormat="1" ht="15" customHeight="1">
      <c r="A572" s="998"/>
      <c r="B572" s="610"/>
      <c r="C572" s="525"/>
      <c r="D572" s="223" t="s">
        <v>560</v>
      </c>
      <c r="E572" s="320" t="s">
        <v>64</v>
      </c>
      <c r="F572" s="711" t="s">
        <v>151</v>
      </c>
      <c r="G572" s="1109"/>
      <c r="H572" s="1110"/>
      <c r="I572" s="1110"/>
      <c r="J572" s="1110"/>
      <c r="K572" s="1111"/>
      <c r="L572" s="1109"/>
      <c r="M572" s="1110"/>
      <c r="N572" s="1110"/>
      <c r="O572" s="1110"/>
      <c r="P572" s="1111"/>
      <c r="Q572" s="1109"/>
      <c r="R572" s="1110"/>
      <c r="S572" s="1110"/>
      <c r="T572" s="1110"/>
      <c r="U572" s="1111"/>
      <c r="V572" s="1109"/>
      <c r="W572" s="1110"/>
      <c r="X572" s="1110"/>
      <c r="Y572" s="1110"/>
      <c r="Z572" s="1111"/>
      <c r="AA572" s="1109"/>
      <c r="AB572" s="1110"/>
      <c r="AC572" s="1110"/>
      <c r="AD572" s="1110"/>
      <c r="AE572" s="1326"/>
      <c r="AF572" s="1327"/>
      <c r="AG572" s="1110"/>
      <c r="AH572" s="1110"/>
      <c r="AI572" s="1110"/>
      <c r="AJ572" s="976"/>
      <c r="AK572" s="1123"/>
      <c r="AL572" s="1124"/>
      <c r="AM572" s="440"/>
      <c r="AN572" s="90"/>
      <c r="AO572" s="128"/>
    </row>
    <row r="573" spans="1:42" s="69" customFormat="1" ht="15" customHeight="1" thickBot="1">
      <c r="A573" s="998"/>
      <c r="B573" s="667"/>
      <c r="C573" s="527"/>
      <c r="D573" s="224" t="s">
        <v>561</v>
      </c>
      <c r="E573" s="226" t="s">
        <v>64</v>
      </c>
      <c r="F573" s="712" t="s">
        <v>151</v>
      </c>
      <c r="G573" s="1109"/>
      <c r="H573" s="1110"/>
      <c r="I573" s="1110"/>
      <c r="J573" s="1110"/>
      <c r="K573" s="1111"/>
      <c r="L573" s="1109"/>
      <c r="M573" s="1110"/>
      <c r="N573" s="1110"/>
      <c r="O573" s="1110"/>
      <c r="P573" s="1111"/>
      <c r="Q573" s="1109"/>
      <c r="R573" s="1110"/>
      <c r="S573" s="1110"/>
      <c r="T573" s="1110"/>
      <c r="U573" s="1111"/>
      <c r="V573" s="1109"/>
      <c r="W573" s="1110"/>
      <c r="X573" s="1110"/>
      <c r="Y573" s="1110"/>
      <c r="Z573" s="1111"/>
      <c r="AA573" s="1109"/>
      <c r="AB573" s="1110"/>
      <c r="AC573" s="1110"/>
      <c r="AD573" s="1110"/>
      <c r="AE573" s="1326"/>
      <c r="AF573" s="1327"/>
      <c r="AG573" s="1110"/>
      <c r="AH573" s="1110"/>
      <c r="AI573" s="1110"/>
      <c r="AJ573" s="976"/>
      <c r="AK573" s="1123"/>
      <c r="AL573" s="1124"/>
      <c r="AM573" s="440"/>
      <c r="AN573" s="107" t="s">
        <v>77</v>
      </c>
      <c r="AO573" s="128"/>
    </row>
    <row r="574" spans="1:42" s="69" customFormat="1" ht="15" customHeight="1">
      <c r="A574" s="998"/>
      <c r="B574" s="668">
        <v>6716</v>
      </c>
      <c r="C574" s="529">
        <v>30880</v>
      </c>
      <c r="D574" s="222" t="s">
        <v>576</v>
      </c>
      <c r="E574" s="222" t="s">
        <v>576</v>
      </c>
      <c r="F574" s="710" t="s">
        <v>151</v>
      </c>
      <c r="G574" s="1109"/>
      <c r="H574" s="1110"/>
      <c r="I574" s="1110"/>
      <c r="J574" s="1110"/>
      <c r="K574" s="1111"/>
      <c r="L574" s="1109"/>
      <c r="M574" s="1110"/>
      <c r="N574" s="1110"/>
      <c r="O574" s="1110"/>
      <c r="P574" s="1111"/>
      <c r="Q574" s="1109"/>
      <c r="R574" s="1110"/>
      <c r="S574" s="1110"/>
      <c r="T574" s="1110"/>
      <c r="U574" s="1111"/>
      <c r="V574" s="1109"/>
      <c r="W574" s="1110"/>
      <c r="X574" s="1110"/>
      <c r="Y574" s="1110"/>
      <c r="Z574" s="1111"/>
      <c r="AA574" s="1109"/>
      <c r="AB574" s="1110"/>
      <c r="AC574" s="1110"/>
      <c r="AD574" s="1110"/>
      <c r="AE574" s="1326"/>
      <c r="AF574" s="1327"/>
      <c r="AG574" s="1110"/>
      <c r="AH574" s="1110"/>
      <c r="AI574" s="1110"/>
      <c r="AJ574" s="976"/>
      <c r="AK574" s="1123"/>
      <c r="AL574" s="1124"/>
      <c r="AM574" s="440"/>
      <c r="AN574" s="90"/>
      <c r="AO574" s="128"/>
    </row>
    <row r="575" spans="1:42" s="69" customFormat="1" ht="15" customHeight="1">
      <c r="A575" s="998"/>
      <c r="B575" s="669"/>
      <c r="C575" s="525"/>
      <c r="D575" s="223" t="s">
        <v>577</v>
      </c>
      <c r="E575" s="320" t="s">
        <v>64</v>
      </c>
      <c r="F575" s="711" t="s">
        <v>151</v>
      </c>
      <c r="G575" s="1109"/>
      <c r="H575" s="1110"/>
      <c r="I575" s="1110"/>
      <c r="J575" s="1110"/>
      <c r="K575" s="1111"/>
      <c r="L575" s="1109"/>
      <c r="M575" s="1110"/>
      <c r="N575" s="1110"/>
      <c r="O575" s="1110"/>
      <c r="P575" s="1111"/>
      <c r="Q575" s="1109"/>
      <c r="R575" s="1110"/>
      <c r="S575" s="1110"/>
      <c r="T575" s="1110"/>
      <c r="U575" s="1111"/>
      <c r="V575" s="1109"/>
      <c r="W575" s="1110"/>
      <c r="X575" s="1110"/>
      <c r="Y575" s="1110"/>
      <c r="Z575" s="1111"/>
      <c r="AA575" s="1109"/>
      <c r="AB575" s="1110"/>
      <c r="AC575" s="1110"/>
      <c r="AD575" s="1110"/>
      <c r="AE575" s="1326"/>
      <c r="AF575" s="1327"/>
      <c r="AG575" s="1110"/>
      <c r="AH575" s="1110"/>
      <c r="AI575" s="1110"/>
      <c r="AJ575" s="976"/>
      <c r="AK575" s="1123"/>
      <c r="AL575" s="1124"/>
      <c r="AM575" s="440"/>
      <c r="AN575" s="90"/>
      <c r="AO575" s="128"/>
    </row>
    <row r="576" spans="1:42" s="69" customFormat="1" ht="15" customHeight="1" thickBot="1">
      <c r="A576" s="998"/>
      <c r="B576" s="670"/>
      <c r="C576" s="527"/>
      <c r="D576" s="224" t="s">
        <v>578</v>
      </c>
      <c r="E576" s="226" t="s">
        <v>64</v>
      </c>
      <c r="F576" s="712" t="s">
        <v>151</v>
      </c>
      <c r="G576" s="1109"/>
      <c r="H576" s="1110"/>
      <c r="I576" s="1110"/>
      <c r="J576" s="1110"/>
      <c r="K576" s="1111"/>
      <c r="L576" s="1109"/>
      <c r="M576" s="1110"/>
      <c r="N576" s="1110"/>
      <c r="O576" s="1110"/>
      <c r="P576" s="1111"/>
      <c r="Q576" s="1109"/>
      <c r="R576" s="1110"/>
      <c r="S576" s="1110"/>
      <c r="T576" s="1110"/>
      <c r="U576" s="1111"/>
      <c r="V576" s="1109"/>
      <c r="W576" s="1110"/>
      <c r="X576" s="1110"/>
      <c r="Y576" s="1110"/>
      <c r="Z576" s="1111"/>
      <c r="AA576" s="1109"/>
      <c r="AB576" s="1110"/>
      <c r="AC576" s="1110"/>
      <c r="AD576" s="1110"/>
      <c r="AE576" s="1326"/>
      <c r="AF576" s="1327"/>
      <c r="AG576" s="1110"/>
      <c r="AH576" s="1110"/>
      <c r="AI576" s="1110"/>
      <c r="AJ576" s="976"/>
      <c r="AK576" s="1123"/>
      <c r="AL576" s="1124"/>
      <c r="AM576" s="440"/>
      <c r="AN576" s="90"/>
      <c r="AO576" s="128"/>
    </row>
    <row r="577" spans="1:41" s="69" customFormat="1" ht="15" customHeight="1">
      <c r="A577" s="998"/>
      <c r="B577" s="782">
        <v>8754</v>
      </c>
      <c r="C577" s="529">
        <v>32480</v>
      </c>
      <c r="D577" s="223" t="s">
        <v>562</v>
      </c>
      <c r="E577" s="222" t="s">
        <v>489</v>
      </c>
      <c r="F577" s="710" t="s">
        <v>151</v>
      </c>
      <c r="G577" s="1109"/>
      <c r="H577" s="1110"/>
      <c r="I577" s="1110"/>
      <c r="J577" s="1110"/>
      <c r="K577" s="1111"/>
      <c r="L577" s="1109"/>
      <c r="M577" s="1110"/>
      <c r="N577" s="1110"/>
      <c r="O577" s="1110"/>
      <c r="P577" s="1111"/>
      <c r="Q577" s="1109"/>
      <c r="R577" s="1110"/>
      <c r="S577" s="1110"/>
      <c r="T577" s="1110"/>
      <c r="U577" s="1111"/>
      <c r="V577" s="1109"/>
      <c r="W577" s="1110"/>
      <c r="X577" s="1110"/>
      <c r="Y577" s="1110"/>
      <c r="Z577" s="1111"/>
      <c r="AA577" s="1109"/>
      <c r="AB577" s="1110"/>
      <c r="AC577" s="1110"/>
      <c r="AD577" s="1110"/>
      <c r="AE577" s="1326"/>
      <c r="AF577" s="1327"/>
      <c r="AG577" s="1110"/>
      <c r="AH577" s="1110"/>
      <c r="AI577" s="1110"/>
      <c r="AJ577" s="976"/>
      <c r="AK577" s="1123"/>
      <c r="AL577" s="1124"/>
      <c r="AM577" s="440"/>
      <c r="AN577" s="90"/>
      <c r="AO577" s="128"/>
    </row>
    <row r="578" spans="1:41" s="69" customFormat="1" ht="15" customHeight="1" thickBot="1">
      <c r="A578" s="998"/>
      <c r="B578" s="781">
        <v>10089</v>
      </c>
      <c r="C578" s="527">
        <v>33494</v>
      </c>
      <c r="D578" s="224" t="s">
        <v>563</v>
      </c>
      <c r="E578" s="224" t="s">
        <v>489</v>
      </c>
      <c r="F578" s="712" t="s">
        <v>151</v>
      </c>
      <c r="G578" s="1112"/>
      <c r="H578" s="1113"/>
      <c r="I578" s="1113"/>
      <c r="J578" s="1113"/>
      <c r="K578" s="1114"/>
      <c r="L578" s="1112"/>
      <c r="M578" s="1113"/>
      <c r="N578" s="1113"/>
      <c r="O578" s="1113"/>
      <c r="P578" s="1114"/>
      <c r="Q578" s="1112"/>
      <c r="R578" s="1113"/>
      <c r="S578" s="1113"/>
      <c r="T578" s="1113"/>
      <c r="U578" s="1114"/>
      <c r="V578" s="1112"/>
      <c r="W578" s="1113"/>
      <c r="X578" s="1113"/>
      <c r="Y578" s="1113"/>
      <c r="Z578" s="1114"/>
      <c r="AA578" s="1112"/>
      <c r="AB578" s="1113"/>
      <c r="AC578" s="1113"/>
      <c r="AD578" s="1113"/>
      <c r="AE578" s="1326"/>
      <c r="AF578" s="1327"/>
      <c r="AG578" s="1332"/>
      <c r="AH578" s="1332"/>
      <c r="AI578" s="1332"/>
      <c r="AJ578" s="976"/>
      <c r="AK578" s="1125"/>
      <c r="AL578" s="1126"/>
      <c r="AM578" s="440"/>
      <c r="AN578" s="90"/>
      <c r="AO578" s="128"/>
    </row>
    <row r="579" spans="1:41" s="69" customFormat="1" ht="15" customHeight="1">
      <c r="A579" s="998"/>
      <c r="B579" s="608">
        <v>11622</v>
      </c>
      <c r="C579" s="529">
        <v>34494</v>
      </c>
      <c r="D579" s="222" t="s">
        <v>564</v>
      </c>
      <c r="E579" s="222" t="s">
        <v>489</v>
      </c>
      <c r="F579" s="594" t="s">
        <v>151</v>
      </c>
      <c r="G579" s="120">
        <v>1071.2839325018342</v>
      </c>
      <c r="H579" s="225" t="s">
        <v>221</v>
      </c>
      <c r="I579" s="710" t="s">
        <v>151</v>
      </c>
      <c r="J579" s="1214" t="s">
        <v>581</v>
      </c>
      <c r="K579" s="1047" t="s">
        <v>586</v>
      </c>
      <c r="L579" s="631">
        <v>99.988261188554659</v>
      </c>
      <c r="M579" s="595">
        <v>6.64</v>
      </c>
      <c r="N579" s="601"/>
      <c r="O579" s="601"/>
      <c r="P579" s="601"/>
      <c r="Q579" s="601"/>
      <c r="R579" s="601"/>
      <c r="S579" s="595">
        <v>93.349963316214229</v>
      </c>
      <c r="T579" s="604">
        <v>9046.5566627716071</v>
      </c>
      <c r="U579" s="721" t="s">
        <v>151</v>
      </c>
      <c r="V579" s="595"/>
      <c r="W579" s="595">
        <v>13.926691122523845</v>
      </c>
      <c r="X579" s="604">
        <v>572.91146441483158</v>
      </c>
      <c r="Y579" s="595">
        <v>4.6517153338224499</v>
      </c>
      <c r="Z579" s="595">
        <v>450.79831690945105</v>
      </c>
      <c r="AA579" s="601"/>
      <c r="AB579" s="601"/>
      <c r="AC579" s="595">
        <v>23.034611885546589</v>
      </c>
      <c r="AD579" s="714">
        <v>2232.2871292586196</v>
      </c>
      <c r="AE579" s="1326"/>
      <c r="AF579" s="1327"/>
      <c r="AG579" s="631">
        <v>93.349963316214229</v>
      </c>
      <c r="AH579" s="604">
        <v>18093.113325543214</v>
      </c>
      <c r="AI579" s="177">
        <f>AH579</f>
        <v>18093.113325543214</v>
      </c>
      <c r="AJ579" s="976"/>
      <c r="AK579" s="981">
        <f>SUM(AI579:AI589)</f>
        <v>50569.448933734537</v>
      </c>
      <c r="AL579" s="994">
        <f>AK579+AK590</f>
        <v>76153.782034790667</v>
      </c>
      <c r="AM579" s="440"/>
      <c r="AN579" s="90"/>
      <c r="AO579" s="128"/>
    </row>
    <row r="580" spans="1:41" s="69" customFormat="1" ht="15" customHeight="1">
      <c r="A580" s="998"/>
      <c r="B580" s="610"/>
      <c r="C580" s="525"/>
      <c r="D580" s="223" t="s">
        <v>809</v>
      </c>
      <c r="E580" s="320" t="s">
        <v>64</v>
      </c>
      <c r="F580" s="515" t="s">
        <v>151</v>
      </c>
      <c r="G580" s="7">
        <v>357.09464416727809</v>
      </c>
      <c r="H580" s="320" t="s">
        <v>64</v>
      </c>
      <c r="I580" s="711" t="s">
        <v>151</v>
      </c>
      <c r="J580" s="1215"/>
      <c r="K580" s="1048"/>
      <c r="L580" s="631">
        <v>13.265326485693324</v>
      </c>
      <c r="M580" s="225" t="s">
        <v>64</v>
      </c>
      <c r="N580" s="601"/>
      <c r="O580" s="601"/>
      <c r="P580" s="601"/>
      <c r="Q580" s="601"/>
      <c r="R580" s="601"/>
      <c r="S580" s="595">
        <v>13.265326485693324</v>
      </c>
      <c r="T580" s="604">
        <v>1285.544454864777</v>
      </c>
      <c r="U580" s="721" t="s">
        <v>151</v>
      </c>
      <c r="V580" s="595"/>
      <c r="W580" s="595">
        <v>0</v>
      </c>
      <c r="X580" s="604">
        <v>0</v>
      </c>
      <c r="Y580" s="595">
        <v>3.9942010271460013</v>
      </c>
      <c r="Z580" s="595">
        <v>387.07852291464883</v>
      </c>
      <c r="AA580" s="601"/>
      <c r="AB580" s="601"/>
      <c r="AC580" s="595">
        <v>3.0991870873074103</v>
      </c>
      <c r="AD580" s="714">
        <v>300.34260965785296</v>
      </c>
      <c r="AE580" s="1326"/>
      <c r="AF580" s="1327"/>
      <c r="AG580" s="631">
        <v>13.265326485693324</v>
      </c>
      <c r="AH580" s="604">
        <v>2571.088909729554</v>
      </c>
      <c r="AI580" s="177">
        <f t="shared" ref="AI580:AI609" si="20">AH580</f>
        <v>2571.088909729554</v>
      </c>
      <c r="AJ580" s="976"/>
      <c r="AK580" s="982"/>
      <c r="AL580" s="995"/>
      <c r="AM580" s="440"/>
      <c r="AN580" s="90"/>
      <c r="AO580" s="128"/>
    </row>
    <row r="581" spans="1:41" s="69" customFormat="1" ht="15" customHeight="1">
      <c r="A581" s="998"/>
      <c r="B581" s="610"/>
      <c r="C581" s="525"/>
      <c r="D581" s="223" t="s">
        <v>810</v>
      </c>
      <c r="E581" s="320" t="s">
        <v>64</v>
      </c>
      <c r="F581" s="515" t="s">
        <v>151</v>
      </c>
      <c r="G581" s="7">
        <v>535.64196625091711</v>
      </c>
      <c r="H581" s="320" t="s">
        <v>64</v>
      </c>
      <c r="I581" s="711" t="s">
        <v>151</v>
      </c>
      <c r="J581" s="1215"/>
      <c r="K581" s="1048"/>
      <c r="L581" s="631">
        <v>15.407894350696992</v>
      </c>
      <c r="M581" s="320" t="s">
        <v>64</v>
      </c>
      <c r="N581" s="601"/>
      <c r="O581" s="601"/>
      <c r="P581" s="601"/>
      <c r="Q581" s="601"/>
      <c r="R581" s="601"/>
      <c r="S581" s="595">
        <v>15.407894350696992</v>
      </c>
      <c r="T581" s="604">
        <v>1493.1809756091068</v>
      </c>
      <c r="U581" s="783" t="s">
        <v>151</v>
      </c>
      <c r="V581" s="595"/>
      <c r="W581" s="595">
        <v>0</v>
      </c>
      <c r="X581" s="604">
        <v>0</v>
      </c>
      <c r="Y581" s="595">
        <v>4.315586206896552</v>
      </c>
      <c r="Z581" s="595">
        <v>418.22400102629746</v>
      </c>
      <c r="AA581" s="601"/>
      <c r="AB581" s="601"/>
      <c r="AC581" s="595">
        <v>3.7419574468085104</v>
      </c>
      <c r="AD581" s="714">
        <v>362.63356588115028</v>
      </c>
      <c r="AE581" s="1326"/>
      <c r="AF581" s="1327"/>
      <c r="AG581" s="631">
        <v>15.407894350696992</v>
      </c>
      <c r="AH581" s="604">
        <v>2986.3619512182136</v>
      </c>
      <c r="AI581" s="177">
        <f t="shared" si="20"/>
        <v>2986.3619512182136</v>
      </c>
      <c r="AJ581" s="976"/>
      <c r="AK581" s="982"/>
      <c r="AL581" s="995"/>
      <c r="AM581" s="440"/>
      <c r="AN581" s="90"/>
      <c r="AO581" s="128"/>
    </row>
    <row r="582" spans="1:41" s="69" customFormat="1" ht="15" customHeight="1">
      <c r="A582" s="998"/>
      <c r="B582" s="610"/>
      <c r="C582" s="525"/>
      <c r="D582" s="223" t="s">
        <v>811</v>
      </c>
      <c r="E582" s="320" t="s">
        <v>64</v>
      </c>
      <c r="F582" s="515" t="s">
        <v>151</v>
      </c>
      <c r="G582" s="7">
        <v>803.4629493763756</v>
      </c>
      <c r="H582" s="320" t="s">
        <v>64</v>
      </c>
      <c r="I582" s="711" t="s">
        <v>151</v>
      </c>
      <c r="J582" s="1215"/>
      <c r="K582" s="1048"/>
      <c r="L582" s="631">
        <v>16.860924431401322</v>
      </c>
      <c r="M582" s="320" t="s">
        <v>64</v>
      </c>
      <c r="N582" s="601"/>
      <c r="O582" s="601"/>
      <c r="P582" s="601"/>
      <c r="Q582" s="601"/>
      <c r="R582" s="601"/>
      <c r="S582" s="595">
        <v>16.860924431401322</v>
      </c>
      <c r="T582" s="604">
        <v>1633.9943031224327</v>
      </c>
      <c r="U582" s="783" t="s">
        <v>151</v>
      </c>
      <c r="V582" s="595"/>
      <c r="W582" s="595">
        <v>0</v>
      </c>
      <c r="X582" s="604">
        <v>0</v>
      </c>
      <c r="Y582" s="595">
        <v>4.7976639765223776</v>
      </c>
      <c r="Z582" s="595">
        <v>464.94221819377145</v>
      </c>
      <c r="AA582" s="601"/>
      <c r="AB582" s="601"/>
      <c r="AC582" s="595">
        <v>4.1778664710198097</v>
      </c>
      <c r="AD582" s="714">
        <v>404.87756413514933</v>
      </c>
      <c r="AE582" s="1326"/>
      <c r="AF582" s="1327"/>
      <c r="AG582" s="631">
        <v>16.860924431401322</v>
      </c>
      <c r="AH582" s="604">
        <v>3267.9886062448654</v>
      </c>
      <c r="AI582" s="177">
        <f t="shared" si="20"/>
        <v>3267.9886062448654</v>
      </c>
      <c r="AJ582" s="976"/>
      <c r="AK582" s="982"/>
      <c r="AL582" s="995"/>
      <c r="AM582" s="440"/>
      <c r="AN582" s="90"/>
      <c r="AO582" s="128"/>
    </row>
    <row r="583" spans="1:41" s="69" customFormat="1" ht="15" customHeight="1">
      <c r="A583" s="998"/>
      <c r="B583" s="610"/>
      <c r="C583" s="525"/>
      <c r="D583" s="223" t="s">
        <v>812</v>
      </c>
      <c r="E583" s="320" t="s">
        <v>64</v>
      </c>
      <c r="F583" s="515" t="s">
        <v>151</v>
      </c>
      <c r="G583" s="7">
        <v>217.38517975055026</v>
      </c>
      <c r="H583" s="320" t="s">
        <v>64</v>
      </c>
      <c r="I583" s="711" t="s">
        <v>151</v>
      </c>
      <c r="J583" s="1215"/>
      <c r="K583" s="1048"/>
      <c r="L583" s="631">
        <v>17.499521643433599</v>
      </c>
      <c r="M583" s="320" t="s">
        <v>64</v>
      </c>
      <c r="N583" s="601"/>
      <c r="O583" s="601"/>
      <c r="P583" s="601"/>
      <c r="Q583" s="601"/>
      <c r="R583" s="601"/>
      <c r="S583" s="595">
        <v>17.499521643433599</v>
      </c>
      <c r="T583" s="604">
        <v>1695.8808391006894</v>
      </c>
      <c r="U583" s="783" t="s">
        <v>151</v>
      </c>
      <c r="V583" s="595"/>
      <c r="W583" s="595">
        <v>2.8260073367571534</v>
      </c>
      <c r="X583" s="604">
        <v>116.25532493716908</v>
      </c>
      <c r="Y583" s="595">
        <v>3.9853264856933235</v>
      </c>
      <c r="Z583" s="595">
        <v>386.21848998848867</v>
      </c>
      <c r="AA583" s="601"/>
      <c r="AB583" s="601"/>
      <c r="AC583" s="595">
        <v>3.5216434336023479</v>
      </c>
      <c r="AD583" s="714">
        <v>341.28290720632276</v>
      </c>
      <c r="AE583" s="1326"/>
      <c r="AF583" s="1327"/>
      <c r="AG583" s="631">
        <v>17.499521643433599</v>
      </c>
      <c r="AH583" s="604">
        <v>3391.7616782013788</v>
      </c>
      <c r="AI583" s="177">
        <f t="shared" si="20"/>
        <v>3391.7616782013788</v>
      </c>
      <c r="AJ583" s="976"/>
      <c r="AK583" s="982"/>
      <c r="AL583" s="995"/>
      <c r="AM583" s="440"/>
      <c r="AN583" s="90"/>
      <c r="AO583" s="128"/>
    </row>
    <row r="584" spans="1:41" s="69" customFormat="1" ht="15" customHeight="1">
      <c r="A584" s="998"/>
      <c r="B584" s="610"/>
      <c r="C584" s="525"/>
      <c r="D584" s="223" t="s">
        <v>813</v>
      </c>
      <c r="E584" s="320" t="s">
        <v>64</v>
      </c>
      <c r="F584" s="515" t="s">
        <v>151</v>
      </c>
      <c r="G584" s="7">
        <v>434.77035950110053</v>
      </c>
      <c r="H584" s="320" t="s">
        <v>64</v>
      </c>
      <c r="I584" s="711" t="s">
        <v>151</v>
      </c>
      <c r="J584" s="1215"/>
      <c r="K584" s="1048"/>
      <c r="L584" s="631">
        <v>21.316801173881142</v>
      </c>
      <c r="M584" s="320" t="s">
        <v>64</v>
      </c>
      <c r="N584" s="601"/>
      <c r="O584" s="601"/>
      <c r="P584" s="601"/>
      <c r="Q584" s="601"/>
      <c r="R584" s="601"/>
      <c r="S584" s="595">
        <v>21.316801173881142</v>
      </c>
      <c r="T584" s="604">
        <v>2065.8138775621369</v>
      </c>
      <c r="U584" s="783" t="s">
        <v>151</v>
      </c>
      <c r="V584" s="595"/>
      <c r="W584" s="595">
        <v>5.6520146735143069</v>
      </c>
      <c r="X584" s="604">
        <v>232.51064987433816</v>
      </c>
      <c r="Y584" s="595">
        <v>4.1340173147468819</v>
      </c>
      <c r="Z584" s="595">
        <v>400.62813689655462</v>
      </c>
      <c r="AA584" s="601"/>
      <c r="AB584" s="601"/>
      <c r="AC584" s="595">
        <v>3.8190250917094644</v>
      </c>
      <c r="AD584" s="714">
        <v>370.10220102245393</v>
      </c>
      <c r="AE584" s="1326"/>
      <c r="AF584" s="1327"/>
      <c r="AG584" s="631">
        <v>21.316801173881142</v>
      </c>
      <c r="AH584" s="604">
        <v>4131.6277551242738</v>
      </c>
      <c r="AI584" s="177">
        <f t="shared" si="20"/>
        <v>4131.6277551242738</v>
      </c>
      <c r="AJ584" s="976"/>
      <c r="AK584" s="982"/>
      <c r="AL584" s="995"/>
      <c r="AM584" s="440"/>
      <c r="AN584" s="90"/>
      <c r="AO584" s="128"/>
    </row>
    <row r="585" spans="1:41" s="69" customFormat="1" ht="15" customHeight="1">
      <c r="A585" s="998"/>
      <c r="B585" s="610"/>
      <c r="C585" s="525"/>
      <c r="D585" s="223" t="s">
        <v>814</v>
      </c>
      <c r="E585" s="320" t="s">
        <v>64</v>
      </c>
      <c r="F585" s="515" t="s">
        <v>151</v>
      </c>
      <c r="G585" s="7">
        <v>21.738517975055029</v>
      </c>
      <c r="H585" s="320" t="s">
        <v>64</v>
      </c>
      <c r="I585" s="711" t="s">
        <v>151</v>
      </c>
      <c r="J585" s="1215"/>
      <c r="K585" s="1048"/>
      <c r="L585" s="631">
        <v>11.445341159207631</v>
      </c>
      <c r="M585" s="320" t="s">
        <v>64</v>
      </c>
      <c r="N585" s="601"/>
      <c r="O585" s="601"/>
      <c r="P585" s="601"/>
      <c r="Q585" s="601"/>
      <c r="R585" s="601"/>
      <c r="S585" s="595">
        <v>11.445341159207631</v>
      </c>
      <c r="T585" s="604">
        <v>1109.1694484205489</v>
      </c>
      <c r="U585" s="783" t="s">
        <v>151</v>
      </c>
      <c r="V585" s="595"/>
      <c r="W585" s="595">
        <v>0</v>
      </c>
      <c r="X585" s="604">
        <v>0</v>
      </c>
      <c r="Y585" s="595">
        <v>3.9853264856933235</v>
      </c>
      <c r="Z585" s="595">
        <v>386.21848998848867</v>
      </c>
      <c r="AA585" s="601"/>
      <c r="AB585" s="601"/>
      <c r="AC585" s="595">
        <v>2.5531914893617023</v>
      </c>
      <c r="AD585" s="714">
        <v>247.43010772458399</v>
      </c>
      <c r="AE585" s="1326"/>
      <c r="AF585" s="1327"/>
      <c r="AG585" s="631">
        <v>11.445341159207631</v>
      </c>
      <c r="AH585" s="604">
        <v>2218.3388968410977</v>
      </c>
      <c r="AI585" s="177">
        <f t="shared" si="20"/>
        <v>2218.3388968410977</v>
      </c>
      <c r="AJ585" s="976"/>
      <c r="AK585" s="982"/>
      <c r="AL585" s="995"/>
      <c r="AM585" s="440"/>
      <c r="AN585" s="90"/>
      <c r="AO585" s="128"/>
    </row>
    <row r="586" spans="1:41" s="69" customFormat="1" ht="15" customHeight="1">
      <c r="A586" s="998"/>
      <c r="B586" s="610"/>
      <c r="C586" s="525"/>
      <c r="D586" s="223" t="s">
        <v>815</v>
      </c>
      <c r="E586" s="320" t="s">
        <v>64</v>
      </c>
      <c r="F586" s="515" t="s">
        <v>151</v>
      </c>
      <c r="G586" s="7">
        <v>43.477035950110057</v>
      </c>
      <c r="H586" s="320" t="s">
        <v>64</v>
      </c>
      <c r="I586" s="711" t="s">
        <v>151</v>
      </c>
      <c r="J586" s="1215"/>
      <c r="K586" s="1048"/>
      <c r="L586" s="631">
        <v>11.445341159207631</v>
      </c>
      <c r="M586" s="320" t="s">
        <v>64</v>
      </c>
      <c r="N586" s="601"/>
      <c r="O586" s="601"/>
      <c r="P586" s="601"/>
      <c r="Q586" s="601"/>
      <c r="R586" s="601"/>
      <c r="S586" s="595">
        <v>11.445341159207631</v>
      </c>
      <c r="T586" s="604">
        <v>1109.1694484205489</v>
      </c>
      <c r="U586" s="783" t="s">
        <v>151</v>
      </c>
      <c r="V586" s="595"/>
      <c r="W586" s="595">
        <v>0</v>
      </c>
      <c r="X586" s="604">
        <v>0</v>
      </c>
      <c r="Y586" s="595">
        <v>3.9853264856933235</v>
      </c>
      <c r="Z586" s="595">
        <v>386.21848998848867</v>
      </c>
      <c r="AA586" s="601"/>
      <c r="AB586" s="601"/>
      <c r="AC586" s="595">
        <v>2.5531914893617023</v>
      </c>
      <c r="AD586" s="714">
        <v>247.43010772458399</v>
      </c>
      <c r="AE586" s="1326"/>
      <c r="AF586" s="1327"/>
      <c r="AG586" s="631">
        <v>11.445341159207631</v>
      </c>
      <c r="AH586" s="604">
        <v>2218.3388968410977</v>
      </c>
      <c r="AI586" s="177">
        <f t="shared" si="20"/>
        <v>2218.3388968410977</v>
      </c>
      <c r="AJ586" s="976"/>
      <c r="AK586" s="982"/>
      <c r="AL586" s="995"/>
      <c r="AM586" s="440">
        <v>76154</v>
      </c>
      <c r="AN586" s="107" t="s">
        <v>77</v>
      </c>
      <c r="AO586" s="128"/>
    </row>
    <row r="587" spans="1:41" s="69" customFormat="1" ht="15" customHeight="1">
      <c r="A587" s="998"/>
      <c r="B587" s="610"/>
      <c r="C587" s="525"/>
      <c r="D587" s="223" t="s">
        <v>816</v>
      </c>
      <c r="E587" s="320" t="s">
        <v>64</v>
      </c>
      <c r="F587" s="515" t="s">
        <v>151</v>
      </c>
      <c r="G587" s="7">
        <v>65.215553925165082</v>
      </c>
      <c r="H587" s="320" t="s">
        <v>64</v>
      </c>
      <c r="I587" s="711" t="s">
        <v>151</v>
      </c>
      <c r="J587" s="1215"/>
      <c r="K587" s="1048"/>
      <c r="L587" s="631">
        <v>11.445341159207631</v>
      </c>
      <c r="M587" s="320" t="s">
        <v>64</v>
      </c>
      <c r="N587" s="601"/>
      <c r="O587" s="601"/>
      <c r="P587" s="601"/>
      <c r="Q587" s="601"/>
      <c r="R587" s="601"/>
      <c r="S587" s="595">
        <v>11.445341159207631</v>
      </c>
      <c r="T587" s="604">
        <v>1109.1694484205489</v>
      </c>
      <c r="U587" s="783" t="s">
        <v>151</v>
      </c>
      <c r="V587" s="595"/>
      <c r="W587" s="595">
        <v>0</v>
      </c>
      <c r="X587" s="604">
        <v>0</v>
      </c>
      <c r="Y587" s="595">
        <v>3.9853264856933235</v>
      </c>
      <c r="Z587" s="595">
        <v>386.21848998848867</v>
      </c>
      <c r="AA587" s="601"/>
      <c r="AB587" s="601"/>
      <c r="AC587" s="595">
        <v>2.5531914893617023</v>
      </c>
      <c r="AD587" s="714">
        <v>247.43010772458399</v>
      </c>
      <c r="AE587" s="1326"/>
      <c r="AF587" s="1327"/>
      <c r="AG587" s="631">
        <v>11.445341159207631</v>
      </c>
      <c r="AH587" s="604">
        <v>2218.3388968410977</v>
      </c>
      <c r="AI587" s="177">
        <f t="shared" si="20"/>
        <v>2218.3388968410977</v>
      </c>
      <c r="AJ587" s="976"/>
      <c r="AK587" s="982"/>
      <c r="AL587" s="995"/>
      <c r="AM587" s="440"/>
      <c r="AN587" s="90"/>
      <c r="AO587" s="128"/>
    </row>
    <row r="588" spans="1:41" s="69" customFormat="1" ht="15" customHeight="1">
      <c r="A588" s="998"/>
      <c r="B588" s="610"/>
      <c r="C588" s="525"/>
      <c r="D588" s="223" t="s">
        <v>820</v>
      </c>
      <c r="E588" s="320" t="s">
        <v>64</v>
      </c>
      <c r="F588" s="515" t="s">
        <v>151</v>
      </c>
      <c r="G588" s="7">
        <v>1565.1732942039621</v>
      </c>
      <c r="H588" s="320" t="s">
        <v>64</v>
      </c>
      <c r="I588" s="711" t="s">
        <v>151</v>
      </c>
      <c r="J588" s="1215"/>
      <c r="K588" s="1048"/>
      <c r="L588" s="631">
        <v>26.001448569332361</v>
      </c>
      <c r="M588" s="320" t="s">
        <v>64</v>
      </c>
      <c r="N588" s="601"/>
      <c r="O588" s="601"/>
      <c r="P588" s="601"/>
      <c r="Q588" s="601"/>
      <c r="R588" s="601"/>
      <c r="S588" s="595">
        <v>26.001448569332361</v>
      </c>
      <c r="T588" s="604">
        <v>2519.8036446978476</v>
      </c>
      <c r="U588" s="783" t="s">
        <v>151</v>
      </c>
      <c r="V588" s="595"/>
      <c r="W588" s="595">
        <v>0</v>
      </c>
      <c r="X588" s="604">
        <v>0</v>
      </c>
      <c r="Y588" s="595">
        <v>6.1687425972120327</v>
      </c>
      <c r="Z588" s="595">
        <v>597.81361943008346</v>
      </c>
      <c r="AA588" s="601"/>
      <c r="AB588" s="601"/>
      <c r="AC588" s="595">
        <v>6.9200237123991206</v>
      </c>
      <c r="AD588" s="714">
        <v>670.62036660777369</v>
      </c>
      <c r="AE588" s="1326"/>
      <c r="AF588" s="1327"/>
      <c r="AG588" s="631">
        <v>26.001448569332361</v>
      </c>
      <c r="AH588" s="604">
        <v>5039.6072893956953</v>
      </c>
      <c r="AI588" s="177">
        <f t="shared" si="20"/>
        <v>5039.6072893956953</v>
      </c>
      <c r="AJ588" s="976"/>
      <c r="AK588" s="982"/>
      <c r="AL588" s="995"/>
      <c r="AM588" s="440"/>
      <c r="AN588" s="90"/>
      <c r="AO588" s="128"/>
    </row>
    <row r="589" spans="1:41" s="69" customFormat="1" ht="15" customHeight="1" thickBot="1">
      <c r="A589" s="998"/>
      <c r="B589" s="667"/>
      <c r="C589" s="527"/>
      <c r="D589" s="224" t="s">
        <v>821</v>
      </c>
      <c r="E589" s="226" t="s">
        <v>64</v>
      </c>
      <c r="F589" s="516" t="s">
        <v>151</v>
      </c>
      <c r="G589" s="28">
        <v>1304.3110785033016</v>
      </c>
      <c r="H589" s="226" t="s">
        <v>64</v>
      </c>
      <c r="I589" s="712" t="s">
        <v>151</v>
      </c>
      <c r="J589" s="1215"/>
      <c r="K589" s="1048"/>
      <c r="L589" s="632">
        <v>22.871101980924429</v>
      </c>
      <c r="M589" s="226" t="s">
        <v>64</v>
      </c>
      <c r="N589" s="602"/>
      <c r="O589" s="602"/>
      <c r="P589" s="602"/>
      <c r="Q589" s="602"/>
      <c r="R589" s="602"/>
      <c r="S589" s="596">
        <v>22.871101980924429</v>
      </c>
      <c r="T589" s="605">
        <v>2216.4413638770316</v>
      </c>
      <c r="U589" s="722" t="s">
        <v>151</v>
      </c>
      <c r="V589" s="596"/>
      <c r="W589" s="596">
        <v>0</v>
      </c>
      <c r="X589" s="605">
        <v>0</v>
      </c>
      <c r="Y589" s="596">
        <v>5.6991906089508433</v>
      </c>
      <c r="Z589" s="596">
        <v>552.30927730696146</v>
      </c>
      <c r="AA589" s="602"/>
      <c r="AB589" s="602"/>
      <c r="AC589" s="596">
        <v>5.9809197358767419</v>
      </c>
      <c r="AD589" s="715">
        <v>579.61168236152946</v>
      </c>
      <c r="AE589" s="1326"/>
      <c r="AF589" s="1327"/>
      <c r="AG589" s="632">
        <v>22.871101980924429</v>
      </c>
      <c r="AH589" s="605">
        <v>4432.8827277540631</v>
      </c>
      <c r="AI589" s="180">
        <f t="shared" si="20"/>
        <v>4432.8827277540631</v>
      </c>
      <c r="AJ589" s="976"/>
      <c r="AK589" s="983"/>
      <c r="AL589" s="995"/>
      <c r="AM589" s="440"/>
      <c r="AN589" s="90"/>
      <c r="AO589" s="128"/>
    </row>
    <row r="590" spans="1:41" s="69" customFormat="1" ht="15" customHeight="1">
      <c r="A590" s="998"/>
      <c r="B590" s="668">
        <v>13465</v>
      </c>
      <c r="C590" s="529">
        <v>35584</v>
      </c>
      <c r="D590" s="222" t="s">
        <v>579</v>
      </c>
      <c r="E590" s="222" t="s">
        <v>489</v>
      </c>
      <c r="F590" s="594" t="s">
        <v>151</v>
      </c>
      <c r="G590" s="120">
        <v>1071.2839325018342</v>
      </c>
      <c r="H590" s="225" t="s">
        <v>221</v>
      </c>
      <c r="I590" s="710" t="s">
        <v>151</v>
      </c>
      <c r="J590" s="1215"/>
      <c r="K590" s="1048"/>
      <c r="L590" s="630">
        <v>133.7050623624358</v>
      </c>
      <c r="M590" s="598">
        <v>19.57</v>
      </c>
      <c r="N590" s="600"/>
      <c r="O590" s="600"/>
      <c r="P590" s="600"/>
      <c r="Q590" s="600"/>
      <c r="R590" s="600"/>
      <c r="S590" s="598">
        <v>114.13646368305209</v>
      </c>
      <c r="T590" s="603">
        <v>4695.3068734346489</v>
      </c>
      <c r="U590" s="721" t="s">
        <v>151</v>
      </c>
      <c r="V590" s="598"/>
      <c r="W590" s="598">
        <v>13.926691122523845</v>
      </c>
      <c r="X590" s="603">
        <v>572.91146441483158</v>
      </c>
      <c r="Y590" s="598">
        <v>5.4910403521643429</v>
      </c>
      <c r="Z590" s="598">
        <v>532.13740979362467</v>
      </c>
      <c r="AA590" s="600"/>
      <c r="AB590" s="600"/>
      <c r="AC590" s="598">
        <v>28.946570799706524</v>
      </c>
      <c r="AD590" s="599">
        <v>1190.7941463443688</v>
      </c>
      <c r="AE590" s="1326"/>
      <c r="AF590" s="1327"/>
      <c r="AG590" s="630">
        <v>114.13646368305209</v>
      </c>
      <c r="AH590" s="603">
        <v>9390.6137468692978</v>
      </c>
      <c r="AI590" s="177">
        <f t="shared" si="20"/>
        <v>9390.6137468692978</v>
      </c>
      <c r="AJ590" s="976"/>
      <c r="AK590" s="981">
        <f>SUM(AI590:AI598)</f>
        <v>25584.333101056134</v>
      </c>
      <c r="AL590" s="995"/>
      <c r="AM590" s="440"/>
      <c r="AN590" s="90"/>
      <c r="AO590" s="128"/>
    </row>
    <row r="591" spans="1:41" s="69" customFormat="1" ht="15" customHeight="1">
      <c r="A591" s="998"/>
      <c r="B591" s="669"/>
      <c r="C591" s="525"/>
      <c r="D591" s="223" t="s">
        <v>809</v>
      </c>
      <c r="E591" s="320" t="s">
        <v>64</v>
      </c>
      <c r="F591" s="515" t="s">
        <v>151</v>
      </c>
      <c r="G591" s="7">
        <v>357.09464416727809</v>
      </c>
      <c r="H591" s="320" t="s">
        <v>64</v>
      </c>
      <c r="I591" s="711" t="s">
        <v>151</v>
      </c>
      <c r="J591" s="1215"/>
      <c r="K591" s="1048"/>
      <c r="L591" s="631">
        <v>25.884548789435069</v>
      </c>
      <c r="M591" s="320" t="s">
        <v>64</v>
      </c>
      <c r="N591" s="601"/>
      <c r="O591" s="601"/>
      <c r="P591" s="601"/>
      <c r="Q591" s="601"/>
      <c r="R591" s="601"/>
      <c r="S591" s="595">
        <v>25.884548789435069</v>
      </c>
      <c r="T591" s="604">
        <v>1064.8297303505447</v>
      </c>
      <c r="U591" s="783" t="s">
        <v>151</v>
      </c>
      <c r="V591" s="595"/>
      <c r="W591" s="595">
        <v>0</v>
      </c>
      <c r="X591" s="604">
        <v>0</v>
      </c>
      <c r="Y591" s="595">
        <v>4.851134262655906</v>
      </c>
      <c r="Z591" s="595">
        <v>470.12403033485401</v>
      </c>
      <c r="AA591" s="601"/>
      <c r="AB591" s="601"/>
      <c r="AC591" s="595">
        <v>6.8849537784299351</v>
      </c>
      <c r="AD591" s="714">
        <v>283.23087781054249</v>
      </c>
      <c r="AE591" s="1326"/>
      <c r="AF591" s="1327"/>
      <c r="AG591" s="631">
        <v>25.884548789435069</v>
      </c>
      <c r="AH591" s="604">
        <v>2129.6594607010893</v>
      </c>
      <c r="AI591" s="177">
        <f t="shared" si="20"/>
        <v>2129.6594607010893</v>
      </c>
      <c r="AJ591" s="976"/>
      <c r="AK591" s="982"/>
      <c r="AL591" s="995"/>
      <c r="AM591" s="440"/>
      <c r="AN591" s="90"/>
      <c r="AO591" s="128"/>
    </row>
    <row r="592" spans="1:41" s="69" customFormat="1" ht="15" customHeight="1">
      <c r="A592" s="998"/>
      <c r="B592" s="669"/>
      <c r="C592" s="525"/>
      <c r="D592" s="223" t="s">
        <v>810</v>
      </c>
      <c r="E592" s="320" t="s">
        <v>64</v>
      </c>
      <c r="F592" s="515" t="s">
        <v>151</v>
      </c>
      <c r="G592" s="7">
        <v>714.18928833455618</v>
      </c>
      <c r="H592" s="320" t="s">
        <v>64</v>
      </c>
      <c r="I592" s="711" t="s">
        <v>151</v>
      </c>
      <c r="J592" s="1215"/>
      <c r="K592" s="1048"/>
      <c r="L592" s="631">
        <v>30.169684519442406</v>
      </c>
      <c r="M592" s="320" t="s">
        <v>64</v>
      </c>
      <c r="N592" s="601"/>
      <c r="O592" s="601"/>
      <c r="P592" s="601"/>
      <c r="Q592" s="601"/>
      <c r="R592" s="601"/>
      <c r="S592" s="595">
        <v>30.169684519442406</v>
      </c>
      <c r="T592" s="604">
        <v>1241.1101809397239</v>
      </c>
      <c r="U592" s="783" t="s">
        <v>151</v>
      </c>
      <c r="V592" s="595"/>
      <c r="W592" s="595">
        <v>0</v>
      </c>
      <c r="X592" s="604">
        <v>0</v>
      </c>
      <c r="Y592" s="595">
        <v>5.4939046221570056</v>
      </c>
      <c r="Z592" s="595">
        <v>532.41498655815224</v>
      </c>
      <c r="AA592" s="601"/>
      <c r="AB592" s="601"/>
      <c r="AC592" s="595">
        <v>8.1704944974321343</v>
      </c>
      <c r="AD592" s="714">
        <v>336.11501298729667</v>
      </c>
      <c r="AE592" s="1326"/>
      <c r="AF592" s="1327"/>
      <c r="AG592" s="631">
        <v>30.169684519442406</v>
      </c>
      <c r="AH592" s="604">
        <v>2482.2203618794479</v>
      </c>
      <c r="AI592" s="177">
        <f t="shared" si="20"/>
        <v>2482.2203618794479</v>
      </c>
      <c r="AJ592" s="976"/>
      <c r="AK592" s="982"/>
      <c r="AL592" s="995"/>
      <c r="AM592" s="440"/>
      <c r="AN592" s="90"/>
      <c r="AO592" s="128"/>
    </row>
    <row r="593" spans="1:42" s="69" customFormat="1" ht="15" customHeight="1">
      <c r="A593" s="998"/>
      <c r="B593" s="669"/>
      <c r="C593" s="525"/>
      <c r="D593" s="223" t="s">
        <v>811</v>
      </c>
      <c r="E593" s="320" t="s">
        <v>64</v>
      </c>
      <c r="F593" s="515" t="s">
        <v>151</v>
      </c>
      <c r="G593" s="7">
        <v>1071.2839325018342</v>
      </c>
      <c r="H593" s="320" t="s">
        <v>64</v>
      </c>
      <c r="I593" s="711" t="s">
        <v>151</v>
      </c>
      <c r="J593" s="1215"/>
      <c r="K593" s="1048"/>
      <c r="L593" s="631">
        <v>27.998473954512104</v>
      </c>
      <c r="M593" s="320" t="s">
        <v>64</v>
      </c>
      <c r="N593" s="601"/>
      <c r="O593" s="601"/>
      <c r="P593" s="601"/>
      <c r="Q593" s="601"/>
      <c r="R593" s="601"/>
      <c r="S593" s="595">
        <v>27.998473954512104</v>
      </c>
      <c r="T593" s="604">
        <v>1151.7916620350159</v>
      </c>
      <c r="U593" s="783" t="s">
        <v>151</v>
      </c>
      <c r="V593" s="595"/>
      <c r="W593" s="595">
        <v>0</v>
      </c>
      <c r="X593" s="604">
        <v>0</v>
      </c>
      <c r="Y593" s="595">
        <v>6.1366749816581079</v>
      </c>
      <c r="Z593" s="595">
        <v>594.70594278145063</v>
      </c>
      <c r="AA593" s="601"/>
      <c r="AB593" s="601"/>
      <c r="AC593" s="595">
        <v>7.5191313279530441</v>
      </c>
      <c r="AD593" s="714">
        <v>309.31945731588428</v>
      </c>
      <c r="AE593" s="1326"/>
      <c r="AF593" s="1327"/>
      <c r="AG593" s="631">
        <v>27.998473954512104</v>
      </c>
      <c r="AH593" s="604">
        <v>2303.5833240700317</v>
      </c>
      <c r="AI593" s="177">
        <f t="shared" si="20"/>
        <v>2303.5833240700317</v>
      </c>
      <c r="AJ593" s="976"/>
      <c r="AK593" s="982"/>
      <c r="AL593" s="995"/>
      <c r="AM593" s="440"/>
      <c r="AN593" s="90"/>
      <c r="AO593" s="128"/>
    </row>
    <row r="594" spans="1:42" s="69" customFormat="1" ht="15" customHeight="1">
      <c r="A594" s="998"/>
      <c r="B594" s="669"/>
      <c r="C594" s="525"/>
      <c r="D594" s="223" t="s">
        <v>812</v>
      </c>
      <c r="E594" s="320" t="s">
        <v>64</v>
      </c>
      <c r="F594" s="515" t="s">
        <v>151</v>
      </c>
      <c r="G594" s="7">
        <v>217.38517975055026</v>
      </c>
      <c r="H594" s="320" t="s">
        <v>64</v>
      </c>
      <c r="I594" s="711" t="s">
        <v>151</v>
      </c>
      <c r="J594" s="1215"/>
      <c r="K594" s="1048"/>
      <c r="L594" s="631">
        <v>25.423219369038883</v>
      </c>
      <c r="M594" s="320" t="s">
        <v>64</v>
      </c>
      <c r="N594" s="601"/>
      <c r="O594" s="601"/>
      <c r="P594" s="601"/>
      <c r="Q594" s="601"/>
      <c r="R594" s="601"/>
      <c r="S594" s="595">
        <v>25.423219369038883</v>
      </c>
      <c r="T594" s="604">
        <v>1045.8517181657735</v>
      </c>
      <c r="U594" s="783" t="s">
        <v>151</v>
      </c>
      <c r="V594" s="595"/>
      <c r="W594" s="595">
        <v>2.8260073367571534</v>
      </c>
      <c r="X594" s="604">
        <v>116.25532493716908</v>
      </c>
      <c r="Y594" s="595">
        <v>4.8422597212032281</v>
      </c>
      <c r="Z594" s="595">
        <v>469.26399740869397</v>
      </c>
      <c r="AA594" s="601"/>
      <c r="AB594" s="601"/>
      <c r="AC594" s="595">
        <v>5.8987527512839328</v>
      </c>
      <c r="AD594" s="714">
        <v>242.66087667396056</v>
      </c>
      <c r="AE594" s="1326"/>
      <c r="AF594" s="1327"/>
      <c r="AG594" s="631">
        <v>25.423219369038883</v>
      </c>
      <c r="AH594" s="604">
        <v>2091.703436331547</v>
      </c>
      <c r="AI594" s="177">
        <f t="shared" si="20"/>
        <v>2091.703436331547</v>
      </c>
      <c r="AJ594" s="976"/>
      <c r="AK594" s="982"/>
      <c r="AL594" s="995"/>
      <c r="AM594" s="440"/>
      <c r="AN594" s="90"/>
      <c r="AO594" s="128"/>
    </row>
    <row r="595" spans="1:42" s="69" customFormat="1" ht="15" customHeight="1">
      <c r="A595" s="998"/>
      <c r="B595" s="669"/>
      <c r="C595" s="525"/>
      <c r="D595" s="223" t="s">
        <v>813</v>
      </c>
      <c r="E595" s="320" t="s">
        <v>64</v>
      </c>
      <c r="F595" s="515" t="s">
        <v>151</v>
      </c>
      <c r="G595" s="7">
        <v>434.77035950110053</v>
      </c>
      <c r="H595" s="320" t="s">
        <v>64</v>
      </c>
      <c r="I595" s="711" t="s">
        <v>151</v>
      </c>
      <c r="J595" s="1215"/>
      <c r="K595" s="1048"/>
      <c r="L595" s="631">
        <v>29.240498899486429</v>
      </c>
      <c r="M595" s="320" t="s">
        <v>64</v>
      </c>
      <c r="N595" s="601"/>
      <c r="O595" s="601"/>
      <c r="P595" s="601"/>
      <c r="Q595" s="601"/>
      <c r="R595" s="601"/>
      <c r="S595" s="595">
        <v>29.240498899486429</v>
      </c>
      <c r="T595" s="604">
        <v>1202.8856601573818</v>
      </c>
      <c r="U595" s="783" t="s">
        <v>151</v>
      </c>
      <c r="V595" s="595"/>
      <c r="W595" s="595">
        <v>5.6520146735143069</v>
      </c>
      <c r="X595" s="604">
        <v>232.51064987433816</v>
      </c>
      <c r="Y595" s="595">
        <v>4.9909505502567866</v>
      </c>
      <c r="Z595" s="595">
        <v>483.67364431675873</v>
      </c>
      <c r="AA595" s="601"/>
      <c r="AB595" s="601"/>
      <c r="AC595" s="595">
        <v>6.196134409391048</v>
      </c>
      <c r="AD595" s="714">
        <v>254.89446179029196</v>
      </c>
      <c r="AE595" s="1326"/>
      <c r="AF595" s="1327"/>
      <c r="AG595" s="631">
        <v>29.240498899486429</v>
      </c>
      <c r="AH595" s="604">
        <v>2405.7713203147637</v>
      </c>
      <c r="AI595" s="177">
        <f t="shared" si="20"/>
        <v>2405.7713203147637</v>
      </c>
      <c r="AJ595" s="976"/>
      <c r="AK595" s="982"/>
      <c r="AL595" s="995"/>
      <c r="AM595" s="440"/>
      <c r="AN595" s="90"/>
      <c r="AO595" s="128"/>
    </row>
    <row r="596" spans="1:42" s="69" customFormat="1" ht="15" customHeight="1">
      <c r="A596" s="998"/>
      <c r="B596" s="669"/>
      <c r="C596" s="525"/>
      <c r="D596" s="223" t="s">
        <v>814</v>
      </c>
      <c r="E596" s="320" t="s">
        <v>64</v>
      </c>
      <c r="F596" s="515" t="s">
        <v>151</v>
      </c>
      <c r="G596" s="7">
        <v>21.738517975055029</v>
      </c>
      <c r="H596" s="320" t="s">
        <v>64</v>
      </c>
      <c r="I596" s="711" t="s">
        <v>151</v>
      </c>
      <c r="J596" s="1215"/>
      <c r="K596" s="1048"/>
      <c r="L596" s="631">
        <v>19.369038884812912</v>
      </c>
      <c r="M596" s="320" t="s">
        <v>64</v>
      </c>
      <c r="N596" s="601"/>
      <c r="O596" s="601"/>
      <c r="P596" s="601"/>
      <c r="Q596" s="601"/>
      <c r="R596" s="601"/>
      <c r="S596" s="595">
        <v>19.369038884812912</v>
      </c>
      <c r="T596" s="604">
        <v>796.79690848165887</v>
      </c>
      <c r="U596" s="783" t="s">
        <v>151</v>
      </c>
      <c r="V596" s="595"/>
      <c r="W596" s="595"/>
      <c r="X596" s="595"/>
      <c r="Y596" s="595">
        <v>4.8422597212032281</v>
      </c>
      <c r="Z596" s="595">
        <v>469.26399740869397</v>
      </c>
      <c r="AA596" s="601"/>
      <c r="AB596" s="601"/>
      <c r="AC596" s="595">
        <v>4.9303008070432872</v>
      </c>
      <c r="AD596" s="714">
        <v>202.82103124987714</v>
      </c>
      <c r="AE596" s="1326"/>
      <c r="AF596" s="1327"/>
      <c r="AG596" s="631">
        <v>19.369038884812912</v>
      </c>
      <c r="AH596" s="604">
        <v>1593.5938169633177</v>
      </c>
      <c r="AI596" s="177">
        <f t="shared" si="20"/>
        <v>1593.5938169633177</v>
      </c>
      <c r="AJ596" s="976"/>
      <c r="AK596" s="982"/>
      <c r="AL596" s="995"/>
      <c r="AM596" s="440"/>
      <c r="AN596" s="90"/>
      <c r="AO596" s="128"/>
    </row>
    <row r="597" spans="1:42" s="69" customFormat="1" ht="15" customHeight="1">
      <c r="A597" s="998"/>
      <c r="B597" s="669"/>
      <c r="C597" s="525"/>
      <c r="D597" s="223" t="s">
        <v>815</v>
      </c>
      <c r="E597" s="320" t="s">
        <v>64</v>
      </c>
      <c r="F597" s="515" t="s">
        <v>151</v>
      </c>
      <c r="G597" s="119">
        <v>43.477035950110057</v>
      </c>
      <c r="H597" s="320" t="s">
        <v>64</v>
      </c>
      <c r="I597" s="711" t="s">
        <v>151</v>
      </c>
      <c r="J597" s="1215"/>
      <c r="K597" s="1048"/>
      <c r="L597" s="631">
        <v>19.369038884812912</v>
      </c>
      <c r="M597" s="225" t="s">
        <v>64</v>
      </c>
      <c r="N597" s="601"/>
      <c r="O597" s="601"/>
      <c r="P597" s="601"/>
      <c r="Q597" s="601"/>
      <c r="R597" s="601"/>
      <c r="S597" s="595">
        <v>19.369038884812912</v>
      </c>
      <c r="T597" s="604">
        <v>796.79690848165887</v>
      </c>
      <c r="U597" s="721" t="s">
        <v>151</v>
      </c>
      <c r="V597" s="595"/>
      <c r="W597" s="595"/>
      <c r="X597" s="595"/>
      <c r="Y597" s="595">
        <v>4.8422597212032281</v>
      </c>
      <c r="Z597" s="595">
        <v>469.26399740869397</v>
      </c>
      <c r="AA597" s="601"/>
      <c r="AB597" s="601"/>
      <c r="AC597" s="595">
        <v>4.9303008070432872</v>
      </c>
      <c r="AD597" s="714">
        <v>202.82103124987714</v>
      </c>
      <c r="AE597" s="1326"/>
      <c r="AF597" s="1327"/>
      <c r="AG597" s="631">
        <v>19.369038884812912</v>
      </c>
      <c r="AH597" s="604">
        <v>1593.5938169633177</v>
      </c>
      <c r="AI597" s="177">
        <f t="shared" si="20"/>
        <v>1593.5938169633177</v>
      </c>
      <c r="AJ597" s="976"/>
      <c r="AK597" s="982"/>
      <c r="AL597" s="995"/>
      <c r="AM597" s="440"/>
      <c r="AN597" s="90"/>
      <c r="AO597" s="128"/>
    </row>
    <row r="598" spans="1:42" s="69" customFormat="1" ht="15" customHeight="1" thickBot="1">
      <c r="A598" s="999"/>
      <c r="B598" s="670"/>
      <c r="C598" s="746"/>
      <c r="D598" s="224" t="s">
        <v>816</v>
      </c>
      <c r="E598" s="226" t="s">
        <v>64</v>
      </c>
      <c r="F598" s="516" t="s">
        <v>151</v>
      </c>
      <c r="G598" s="28">
        <v>65.215553925165082</v>
      </c>
      <c r="H598" s="226" t="s">
        <v>64</v>
      </c>
      <c r="I598" s="712" t="s">
        <v>151</v>
      </c>
      <c r="J598" s="1215"/>
      <c r="K598" s="1048"/>
      <c r="L598" s="632">
        <v>19.369038884812912</v>
      </c>
      <c r="M598" s="226" t="s">
        <v>64</v>
      </c>
      <c r="N598" s="602"/>
      <c r="O598" s="602"/>
      <c r="P598" s="602"/>
      <c r="Q598" s="602"/>
      <c r="R598" s="602"/>
      <c r="S598" s="596">
        <v>19.369038884812912</v>
      </c>
      <c r="T598" s="605">
        <v>796.79690848165887</v>
      </c>
      <c r="U598" s="722" t="s">
        <v>151</v>
      </c>
      <c r="V598" s="596"/>
      <c r="W598" s="596"/>
      <c r="X598" s="596"/>
      <c r="Y598" s="596">
        <v>4.8422597212032281</v>
      </c>
      <c r="Z598" s="596">
        <v>469.26399740869397</v>
      </c>
      <c r="AA598" s="602"/>
      <c r="AB598" s="602"/>
      <c r="AC598" s="596">
        <v>4.9303008070432872</v>
      </c>
      <c r="AD598" s="715">
        <v>202.82103124987714</v>
      </c>
      <c r="AE598" s="1328"/>
      <c r="AF598" s="1329"/>
      <c r="AG598" s="632">
        <v>19.369038884812912</v>
      </c>
      <c r="AH598" s="605">
        <v>1593.5938169633177</v>
      </c>
      <c r="AI598" s="180">
        <f t="shared" si="20"/>
        <v>1593.5938169633177</v>
      </c>
      <c r="AJ598" s="977"/>
      <c r="AK598" s="983"/>
      <c r="AL598" s="996"/>
      <c r="AM598" s="440"/>
      <c r="AN598" s="90"/>
      <c r="AO598" s="128"/>
    </row>
    <row r="599" spans="1:42" s="69" customFormat="1" ht="15" customHeight="1">
      <c r="A599" s="1014" t="s">
        <v>38</v>
      </c>
      <c r="B599" s="465" t="s">
        <v>151</v>
      </c>
      <c r="C599" s="386" t="s">
        <v>151</v>
      </c>
      <c r="D599" s="222" t="s">
        <v>585</v>
      </c>
      <c r="E599" s="240" t="s">
        <v>584</v>
      </c>
      <c r="F599" s="240" t="s">
        <v>0</v>
      </c>
      <c r="G599" s="430">
        <v>3213.8517975055024</v>
      </c>
      <c r="H599" s="225" t="s">
        <v>221</v>
      </c>
      <c r="I599" s="673">
        <v>178.55</v>
      </c>
      <c r="J599" s="1215"/>
      <c r="K599" s="1048"/>
      <c r="L599" s="445">
        <v>181.52898019075568</v>
      </c>
      <c r="M599" s="50">
        <v>19.57</v>
      </c>
      <c r="N599" s="114"/>
      <c r="O599" s="114"/>
      <c r="P599" s="114"/>
      <c r="Q599" s="114"/>
      <c r="R599" s="173"/>
      <c r="S599" s="272">
        <v>161.96038151137196</v>
      </c>
      <c r="T599" s="109">
        <v>3350.1138602998503</v>
      </c>
      <c r="U599" s="785">
        <v>2.3199999999999998</v>
      </c>
      <c r="V599" s="88"/>
      <c r="W599" s="120">
        <v>41.780073367571539</v>
      </c>
      <c r="X599" s="117">
        <v>864.21136803273191</v>
      </c>
      <c r="Y599" s="120">
        <v>10.768058694057228</v>
      </c>
      <c r="Z599" s="117">
        <v>222.73485862930295</v>
      </c>
      <c r="AA599" s="600"/>
      <c r="AB599" s="600"/>
      <c r="AC599" s="120">
        <v>52.364337490829058</v>
      </c>
      <c r="AD599" s="269">
        <v>1083.144477534637</v>
      </c>
      <c r="AE599" s="941" t="s">
        <v>19</v>
      </c>
      <c r="AF599" s="942"/>
      <c r="AG599" s="198">
        <v>161.96038151137196</v>
      </c>
      <c r="AH599" s="117">
        <v>6748.2163958755118</v>
      </c>
      <c r="AI599" s="177">
        <f t="shared" si="20"/>
        <v>6748.2163958755118</v>
      </c>
      <c r="AJ599" s="975">
        <v>46216</v>
      </c>
      <c r="AK599" s="1122">
        <f>SUM(AI599:AI609)</f>
        <v>19255.460258308907</v>
      </c>
      <c r="AL599" s="1312">
        <f>AK599+AK610+AK619+AK630+AK641+AK665+AK678+AK681</f>
        <v>164224.25150568681</v>
      </c>
      <c r="AM599" s="151"/>
      <c r="AN599" s="90"/>
      <c r="AO599" s="128"/>
      <c r="AP599" s="106"/>
    </row>
    <row r="600" spans="1:42" s="69" customFormat="1" ht="15" customHeight="1">
      <c r="A600" s="1015"/>
      <c r="B600" s="524"/>
      <c r="C600" s="525"/>
      <c r="D600" s="223" t="s">
        <v>809</v>
      </c>
      <c r="E600" s="225" t="s">
        <v>64</v>
      </c>
      <c r="F600" s="228" t="s">
        <v>64</v>
      </c>
      <c r="G600" s="430">
        <v>1071.2839325018342</v>
      </c>
      <c r="H600" s="244"/>
      <c r="I600" s="565"/>
      <c r="J600" s="1215"/>
      <c r="K600" s="1048"/>
      <c r="L600" s="210">
        <v>35.922171680117387</v>
      </c>
      <c r="M600" s="225" t="s">
        <v>64</v>
      </c>
      <c r="N600" s="197"/>
      <c r="O600" s="197"/>
      <c r="P600" s="197"/>
      <c r="Q600" s="197"/>
      <c r="R600" s="213"/>
      <c r="S600" s="195">
        <v>35.922171680117387</v>
      </c>
      <c r="T600" s="159">
        <v>743.041996534085</v>
      </c>
      <c r="U600" s="607" t="s">
        <v>64</v>
      </c>
      <c r="V600" s="24"/>
      <c r="W600" s="24">
        <v>0</v>
      </c>
      <c r="X600" s="159">
        <v>0</v>
      </c>
      <c r="Y600" s="24">
        <v>7.6040264123257524</v>
      </c>
      <c r="Z600" s="159">
        <v>157.28756650421943</v>
      </c>
      <c r="AA600" s="601"/>
      <c r="AB600" s="601"/>
      <c r="AC600" s="24">
        <v>14.184052824651506</v>
      </c>
      <c r="AD600" s="411">
        <v>293.39392461083901</v>
      </c>
      <c r="AE600" s="943"/>
      <c r="AF600" s="944"/>
      <c r="AG600" s="195">
        <v>35.922171680117387</v>
      </c>
      <c r="AH600" s="159">
        <v>1486.08399306817</v>
      </c>
      <c r="AI600" s="177">
        <f t="shared" si="20"/>
        <v>1486.08399306817</v>
      </c>
      <c r="AJ600" s="1003"/>
      <c r="AK600" s="1124"/>
      <c r="AL600" s="1313"/>
      <c r="AM600" s="151"/>
      <c r="AN600" s="90"/>
      <c r="AO600" s="128"/>
      <c r="AP600" s="106"/>
    </row>
    <row r="601" spans="1:42" s="69" customFormat="1" ht="15" customHeight="1">
      <c r="A601" s="1015"/>
      <c r="B601" s="524"/>
      <c r="C601" s="525"/>
      <c r="D601" s="223" t="s">
        <v>810</v>
      </c>
      <c r="E601" s="225" t="s">
        <v>64</v>
      </c>
      <c r="F601" s="228" t="s">
        <v>64</v>
      </c>
      <c r="G601" s="430">
        <v>2142.5678650036684</v>
      </c>
      <c r="H601" s="244"/>
      <c r="I601" s="784"/>
      <c r="J601" s="1215"/>
      <c r="K601" s="1048"/>
      <c r="L601" s="211">
        <v>48.777578870139394</v>
      </c>
      <c r="M601" s="225" t="s">
        <v>64</v>
      </c>
      <c r="N601" s="188"/>
      <c r="O601" s="188"/>
      <c r="P601" s="188"/>
      <c r="Q601" s="188"/>
      <c r="R601" s="214"/>
      <c r="S601" s="8">
        <v>48.777578870139394</v>
      </c>
      <c r="T601" s="157">
        <v>1008.9531866980019</v>
      </c>
      <c r="U601" s="607" t="s">
        <v>64</v>
      </c>
      <c r="V601" s="7"/>
      <c r="W601" s="7">
        <v>0</v>
      </c>
      <c r="X601" s="157">
        <v>0</v>
      </c>
      <c r="Y601" s="7">
        <v>9.5323374908290521</v>
      </c>
      <c r="Z601" s="157">
        <v>197.17424502880672</v>
      </c>
      <c r="AA601" s="601"/>
      <c r="AB601" s="601"/>
      <c r="AC601" s="7">
        <v>19.968986060161409</v>
      </c>
      <c r="AD601" s="270">
        <v>413.05396018460272</v>
      </c>
      <c r="AE601" s="943"/>
      <c r="AF601" s="944"/>
      <c r="AG601" s="192">
        <v>48.777578870139394</v>
      </c>
      <c r="AH601" s="157">
        <v>2017.9063733960038</v>
      </c>
      <c r="AI601" s="177">
        <f t="shared" si="20"/>
        <v>2017.9063733960038</v>
      </c>
      <c r="AJ601" s="1003"/>
      <c r="AK601" s="1124"/>
      <c r="AL601" s="1313"/>
      <c r="AM601" s="151"/>
      <c r="AN601" s="90"/>
      <c r="AO601" s="128"/>
      <c r="AP601" s="106"/>
    </row>
    <row r="602" spans="1:42" s="69" customFormat="1" ht="15" customHeight="1">
      <c r="A602" s="1015"/>
      <c r="B602" s="524"/>
      <c r="C602" s="525"/>
      <c r="D602" s="223" t="s">
        <v>811</v>
      </c>
      <c r="E602" s="225" t="s">
        <v>64</v>
      </c>
      <c r="F602" s="228" t="s">
        <v>64</v>
      </c>
      <c r="G602" s="426">
        <v>2499.6625091709466</v>
      </c>
      <c r="H602" s="244"/>
      <c r="I602" s="784"/>
      <c r="J602" s="1215"/>
      <c r="K602" s="1048"/>
      <c r="L602" s="211">
        <v>45.139016874541454</v>
      </c>
      <c r="M602" s="225" t="s">
        <v>64</v>
      </c>
      <c r="N602" s="188"/>
      <c r="O602" s="188"/>
      <c r="P602" s="188"/>
      <c r="Q602" s="188"/>
      <c r="R602" s="214"/>
      <c r="S602" s="8">
        <v>45.139016874541454</v>
      </c>
      <c r="T602" s="157">
        <v>933.69035476798058</v>
      </c>
      <c r="U602" s="607" t="s">
        <v>64</v>
      </c>
      <c r="V602" s="111"/>
      <c r="W602" s="7">
        <v>0</v>
      </c>
      <c r="X602" s="157">
        <v>0</v>
      </c>
      <c r="Y602" s="7">
        <v>8.707756419662509</v>
      </c>
      <c r="Z602" s="157">
        <v>180.11797207070722</v>
      </c>
      <c r="AA602" s="188"/>
      <c r="AB602" s="124"/>
      <c r="AC602" s="7">
        <v>18.991941305942774</v>
      </c>
      <c r="AD602" s="270">
        <v>392.84401042592441</v>
      </c>
      <c r="AE602" s="943"/>
      <c r="AF602" s="944"/>
      <c r="AG602" s="192">
        <v>45.139016874541454</v>
      </c>
      <c r="AH602" s="157">
        <v>1867.3807095359612</v>
      </c>
      <c r="AI602" s="177">
        <f t="shared" si="20"/>
        <v>1867.3807095359612</v>
      </c>
      <c r="AJ602" s="1003"/>
      <c r="AK602" s="1124"/>
      <c r="AL602" s="1313"/>
      <c r="AM602" s="151"/>
      <c r="AN602" s="90"/>
      <c r="AO602" s="128"/>
      <c r="AP602" s="106"/>
    </row>
    <row r="603" spans="1:42" s="69" customFormat="1" ht="15" customHeight="1">
      <c r="A603" s="1015"/>
      <c r="B603" s="524"/>
      <c r="C603" s="525"/>
      <c r="D603" s="223" t="s">
        <v>812</v>
      </c>
      <c r="E603" s="225" t="s">
        <v>64</v>
      </c>
      <c r="F603" s="228" t="s">
        <v>64</v>
      </c>
      <c r="G603" s="479">
        <v>217.38517975055026</v>
      </c>
      <c r="H603" s="244"/>
      <c r="I603" s="784"/>
      <c r="J603" s="1215"/>
      <c r="K603" s="1048"/>
      <c r="L603" s="211">
        <v>22.195046221570067</v>
      </c>
      <c r="M603" s="225" t="s">
        <v>64</v>
      </c>
      <c r="N603" s="188"/>
      <c r="O603" s="188"/>
      <c r="P603" s="188"/>
      <c r="Q603" s="188"/>
      <c r="R603" s="214"/>
      <c r="S603" s="8">
        <v>22.195046221570067</v>
      </c>
      <c r="T603" s="157">
        <v>459.09951114592036</v>
      </c>
      <c r="U603" s="607" t="s">
        <v>64</v>
      </c>
      <c r="V603" s="111"/>
      <c r="W603" s="7">
        <v>2.8260073367571534</v>
      </c>
      <c r="X603" s="157">
        <v>58.455322590818071</v>
      </c>
      <c r="Y603" s="7">
        <v>4.8422597212032281</v>
      </c>
      <c r="Z603" s="157">
        <v>100.16104713877567</v>
      </c>
      <c r="AA603" s="188"/>
      <c r="AB603" s="124"/>
      <c r="AC603" s="7">
        <v>7.3954512105649304</v>
      </c>
      <c r="AD603" s="270">
        <v>152.97323563013029</v>
      </c>
      <c r="AE603" s="943"/>
      <c r="AF603" s="944"/>
      <c r="AG603" s="192">
        <v>22.195046221570067</v>
      </c>
      <c r="AH603" s="157">
        <v>918.19902229184072</v>
      </c>
      <c r="AI603" s="177">
        <f t="shared" si="20"/>
        <v>918.19902229184072</v>
      </c>
      <c r="AJ603" s="1003"/>
      <c r="AK603" s="1124"/>
      <c r="AL603" s="1313"/>
      <c r="AM603" s="151"/>
      <c r="AN603" s="90"/>
      <c r="AO603" s="128"/>
      <c r="AP603" s="106"/>
    </row>
    <row r="604" spans="1:42" s="69" customFormat="1" ht="15" customHeight="1">
      <c r="A604" s="1015"/>
      <c r="B604" s="524"/>
      <c r="C604" s="525"/>
      <c r="D604" s="223" t="s">
        <v>813</v>
      </c>
      <c r="E604" s="225" t="s">
        <v>64</v>
      </c>
      <c r="F604" s="228" t="s">
        <v>64</v>
      </c>
      <c r="G604" s="434">
        <v>434.77035950110053</v>
      </c>
      <c r="H604" s="244"/>
      <c r="I604" s="784"/>
      <c r="J604" s="1215"/>
      <c r="K604" s="1048"/>
      <c r="L604" s="211">
        <v>26.01232575201761</v>
      </c>
      <c r="M604" s="225" t="s">
        <v>64</v>
      </c>
      <c r="N604" s="188"/>
      <c r="O604" s="188"/>
      <c r="P604" s="188"/>
      <c r="Q604" s="188"/>
      <c r="R604" s="214"/>
      <c r="S604" s="8">
        <v>26.01232575201761</v>
      </c>
      <c r="T604" s="157">
        <v>538.05907486301032</v>
      </c>
      <c r="U604" s="607" t="s">
        <v>64</v>
      </c>
      <c r="V604" s="111"/>
      <c r="W604" s="7">
        <v>5.6520146735143069</v>
      </c>
      <c r="X604" s="157">
        <v>116.91064518163614</v>
      </c>
      <c r="Y604" s="7">
        <v>4.9909505502567866</v>
      </c>
      <c r="Z604" s="157">
        <v>103.23668330771626</v>
      </c>
      <c r="AA604" s="188"/>
      <c r="AB604" s="124"/>
      <c r="AC604" s="7">
        <v>7.8415236977256058</v>
      </c>
      <c r="AD604" s="270">
        <v>162.20014413695216</v>
      </c>
      <c r="AE604" s="943"/>
      <c r="AF604" s="944"/>
      <c r="AG604" s="192">
        <v>26.01232575201761</v>
      </c>
      <c r="AH604" s="157">
        <v>1076.1181497260206</v>
      </c>
      <c r="AI604" s="177">
        <f t="shared" si="20"/>
        <v>1076.1181497260206</v>
      </c>
      <c r="AJ604" s="1003"/>
      <c r="AK604" s="1124"/>
      <c r="AL604" s="1313"/>
      <c r="AM604" s="151"/>
      <c r="AN604" s="90"/>
      <c r="AO604" s="128"/>
      <c r="AP604" s="106"/>
    </row>
    <row r="605" spans="1:42" s="69" customFormat="1" ht="15" customHeight="1">
      <c r="A605" s="1015"/>
      <c r="B605" s="524"/>
      <c r="C605" s="525"/>
      <c r="D605" s="223" t="s">
        <v>814</v>
      </c>
      <c r="E605" s="225" t="s">
        <v>64</v>
      </c>
      <c r="F605" s="228" t="s">
        <v>64</v>
      </c>
      <c r="G605" s="434">
        <v>21.738517975055029</v>
      </c>
      <c r="H605" s="244"/>
      <c r="I605" s="784"/>
      <c r="J605" s="1215"/>
      <c r="K605" s="1048"/>
      <c r="L605" s="211">
        <v>19.651639618488627</v>
      </c>
      <c r="M605" s="225" t="s">
        <v>64</v>
      </c>
      <c r="N605" s="188"/>
      <c r="O605" s="188"/>
      <c r="P605" s="188"/>
      <c r="Q605" s="188"/>
      <c r="R605" s="214"/>
      <c r="S605" s="8">
        <v>19.651639618488627</v>
      </c>
      <c r="T605" s="157">
        <v>406.48972081418475</v>
      </c>
      <c r="U605" s="607" t="s">
        <v>64</v>
      </c>
      <c r="V605" s="111"/>
      <c r="W605" s="7">
        <v>0.28260073367571537</v>
      </c>
      <c r="X605" s="157">
        <v>5.8455322590818044</v>
      </c>
      <c r="Y605" s="7">
        <v>4.8422597212032281</v>
      </c>
      <c r="Z605" s="157">
        <v>100.16104713877567</v>
      </c>
      <c r="AA605" s="188"/>
      <c r="AB605" s="124"/>
      <c r="AC605" s="7">
        <v>7.3954512105649304</v>
      </c>
      <c r="AD605" s="270">
        <v>152.97323563013029</v>
      </c>
      <c r="AE605" s="943"/>
      <c r="AF605" s="944"/>
      <c r="AG605" s="192">
        <v>19.651639618488627</v>
      </c>
      <c r="AH605" s="157">
        <v>812.9794416283695</v>
      </c>
      <c r="AI605" s="177">
        <f t="shared" si="20"/>
        <v>812.9794416283695</v>
      </c>
      <c r="AJ605" s="1003"/>
      <c r="AK605" s="1124"/>
      <c r="AL605" s="1313"/>
      <c r="AM605" s="151"/>
      <c r="AN605" s="90"/>
      <c r="AO605" s="128"/>
      <c r="AP605" s="106"/>
    </row>
    <row r="606" spans="1:42" s="69" customFormat="1" ht="15" customHeight="1">
      <c r="A606" s="1015"/>
      <c r="B606" s="524"/>
      <c r="C606" s="525"/>
      <c r="D606" s="223" t="s">
        <v>815</v>
      </c>
      <c r="E606" s="225" t="s">
        <v>64</v>
      </c>
      <c r="F606" s="228" t="s">
        <v>64</v>
      </c>
      <c r="G606" s="434">
        <v>43.477035950110057</v>
      </c>
      <c r="H606" s="244"/>
      <c r="I606" s="784"/>
      <c r="J606" s="1215"/>
      <c r="K606" s="1048"/>
      <c r="L606" s="211">
        <v>19.369038884812912</v>
      </c>
      <c r="M606" s="225" t="s">
        <v>64</v>
      </c>
      <c r="N606" s="188"/>
      <c r="O606" s="188"/>
      <c r="P606" s="188"/>
      <c r="Q606" s="188"/>
      <c r="R606" s="214"/>
      <c r="S606" s="8">
        <v>19.369038884812912</v>
      </c>
      <c r="T606" s="157">
        <v>400.64418855510269</v>
      </c>
      <c r="U606" s="607" t="s">
        <v>64</v>
      </c>
      <c r="V606" s="111"/>
      <c r="W606" s="7"/>
      <c r="X606" s="157">
        <v>0</v>
      </c>
      <c r="Y606" s="7">
        <v>4.8422597212032281</v>
      </c>
      <c r="Z606" s="157">
        <v>100.16104713877567</v>
      </c>
      <c r="AA606" s="188"/>
      <c r="AB606" s="124"/>
      <c r="AC606" s="7">
        <v>7.3954512105649304</v>
      </c>
      <c r="AD606" s="270">
        <v>152.97323563013029</v>
      </c>
      <c r="AE606" s="943"/>
      <c r="AF606" s="944"/>
      <c r="AG606" s="192">
        <v>19.369038884812912</v>
      </c>
      <c r="AH606" s="157">
        <v>801.28837711020537</v>
      </c>
      <c r="AI606" s="177">
        <f t="shared" si="20"/>
        <v>801.28837711020537</v>
      </c>
      <c r="AJ606" s="1003"/>
      <c r="AK606" s="1124"/>
      <c r="AL606" s="1313"/>
      <c r="AM606" s="151"/>
      <c r="AN606" s="90"/>
      <c r="AO606" s="128"/>
      <c r="AP606" s="106"/>
    </row>
    <row r="607" spans="1:42" s="69" customFormat="1" ht="15" customHeight="1">
      <c r="A607" s="1015"/>
      <c r="B607" s="524"/>
      <c r="C607" s="525"/>
      <c r="D607" s="223" t="s">
        <v>816</v>
      </c>
      <c r="E607" s="225" t="s">
        <v>64</v>
      </c>
      <c r="F607" s="228" t="s">
        <v>64</v>
      </c>
      <c r="G607" s="434">
        <v>65.215553925165082</v>
      </c>
      <c r="H607" s="244"/>
      <c r="I607" s="784"/>
      <c r="J607" s="1215"/>
      <c r="K607" s="1048"/>
      <c r="L607" s="211">
        <v>19.369038884812912</v>
      </c>
      <c r="M607" s="225" t="s">
        <v>64</v>
      </c>
      <c r="N607" s="188"/>
      <c r="O607" s="188"/>
      <c r="P607" s="188"/>
      <c r="Q607" s="188"/>
      <c r="R607" s="214"/>
      <c r="S607" s="8">
        <v>19.369038884812912</v>
      </c>
      <c r="T607" s="157">
        <v>400.64418855510269</v>
      </c>
      <c r="U607" s="607" t="s">
        <v>64</v>
      </c>
      <c r="V607" s="111"/>
      <c r="W607" s="7"/>
      <c r="X607" s="157">
        <v>0</v>
      </c>
      <c r="Y607" s="7">
        <v>4.8422597212032281</v>
      </c>
      <c r="Z607" s="157">
        <v>100.16104713877567</v>
      </c>
      <c r="AA607" s="188"/>
      <c r="AB607" s="124"/>
      <c r="AC607" s="7">
        <v>7.3954512105649304</v>
      </c>
      <c r="AD607" s="270">
        <v>152.97323563013029</v>
      </c>
      <c r="AE607" s="943"/>
      <c r="AF607" s="944"/>
      <c r="AG607" s="192">
        <v>19.369038884812912</v>
      </c>
      <c r="AH607" s="157">
        <v>801.28837711020537</v>
      </c>
      <c r="AI607" s="177">
        <f t="shared" si="20"/>
        <v>801.28837711020537</v>
      </c>
      <c r="AJ607" s="1003"/>
      <c r="AK607" s="1124"/>
      <c r="AL607" s="1313"/>
      <c r="AM607" s="151"/>
      <c r="AN607" s="90"/>
      <c r="AO607" s="128"/>
      <c r="AP607" s="106"/>
    </row>
    <row r="608" spans="1:42" s="69" customFormat="1" ht="15" customHeight="1">
      <c r="A608" s="1015"/>
      <c r="B608" s="524"/>
      <c r="C608" s="525"/>
      <c r="D608" s="223" t="s">
        <v>820</v>
      </c>
      <c r="E608" s="225" t="s">
        <v>64</v>
      </c>
      <c r="F608" s="228" t="s">
        <v>64</v>
      </c>
      <c r="G608" s="434">
        <v>391.29567131327951</v>
      </c>
      <c r="H608" s="244"/>
      <c r="I608" s="784"/>
      <c r="J608" s="1215"/>
      <c r="K608" s="1048"/>
      <c r="L608" s="211">
        <v>19.838614820249447</v>
      </c>
      <c r="M608" s="225" t="s">
        <v>64</v>
      </c>
      <c r="N608" s="188"/>
      <c r="O608" s="188"/>
      <c r="P608" s="188"/>
      <c r="Q608" s="188"/>
      <c r="R608" s="214"/>
      <c r="S608" s="8">
        <v>19.838614820249447</v>
      </c>
      <c r="T608" s="157">
        <v>410.35726057363684</v>
      </c>
      <c r="U608" s="607" t="s">
        <v>64</v>
      </c>
      <c r="V608" s="111"/>
      <c r="W608" s="7"/>
      <c r="X608" s="157">
        <v>0</v>
      </c>
      <c r="Y608" s="7">
        <v>4.9126961115187093</v>
      </c>
      <c r="Z608" s="157">
        <v>101.61800794155587</v>
      </c>
      <c r="AA608" s="188"/>
      <c r="AB608" s="124"/>
      <c r="AC608" s="7">
        <v>7.6067603815113705</v>
      </c>
      <c r="AD608" s="270">
        <v>157.34411803847047</v>
      </c>
      <c r="AE608" s="943"/>
      <c r="AF608" s="944"/>
      <c r="AG608" s="192">
        <v>19.838614820249447</v>
      </c>
      <c r="AH608" s="157">
        <v>820.71452114727367</v>
      </c>
      <c r="AI608" s="177">
        <f t="shared" si="20"/>
        <v>820.71452114727367</v>
      </c>
      <c r="AJ608" s="1003"/>
      <c r="AK608" s="1124"/>
      <c r="AL608" s="1313"/>
      <c r="AM608" s="151"/>
      <c r="AN608" s="90"/>
      <c r="AO608" s="128"/>
      <c r="AP608" s="106"/>
    </row>
    <row r="609" spans="1:42" s="69" customFormat="1" ht="15.75" customHeight="1" thickBot="1">
      <c r="A609" s="1015"/>
      <c r="B609" s="574"/>
      <c r="C609" s="262"/>
      <c r="D609" s="224" t="s">
        <v>821</v>
      </c>
      <c r="E609" s="226" t="s">
        <v>64</v>
      </c>
      <c r="F609" s="229" t="s">
        <v>64</v>
      </c>
      <c r="G609" s="435">
        <v>1565.1738811445341</v>
      </c>
      <c r="H609" s="409" t="s">
        <v>64</v>
      </c>
      <c r="I609" s="268"/>
      <c r="J609" s="1216"/>
      <c r="K609" s="1049"/>
      <c r="L609" s="444">
        <v>46.055250917094646</v>
      </c>
      <c r="M609" s="409" t="s">
        <v>64</v>
      </c>
      <c r="N609" s="189"/>
      <c r="O609" s="189"/>
      <c r="P609" s="189"/>
      <c r="Q609" s="189"/>
      <c r="R609" s="275"/>
      <c r="S609" s="190">
        <v>46.055250917094646</v>
      </c>
      <c r="T609" s="156">
        <v>952.64244870967184</v>
      </c>
      <c r="U609" s="229" t="s">
        <v>64</v>
      </c>
      <c r="V609" s="125"/>
      <c r="W609" s="46">
        <v>12.13</v>
      </c>
      <c r="X609" s="156">
        <v>250.90832490357653</v>
      </c>
      <c r="Y609" s="46">
        <v>7.0256768892149664</v>
      </c>
      <c r="Z609" s="156">
        <v>145.32453742642485</v>
      </c>
      <c r="AA609" s="189"/>
      <c r="AB609" s="216"/>
      <c r="AC609" s="46">
        <v>13.945702714600147</v>
      </c>
      <c r="AD609" s="271">
        <v>288.46370649307659</v>
      </c>
      <c r="AE609" s="945"/>
      <c r="AF609" s="946"/>
      <c r="AG609" s="193">
        <v>46.055250917094646</v>
      </c>
      <c r="AH609" s="156">
        <v>1905.2848974193437</v>
      </c>
      <c r="AI609" s="180">
        <f t="shared" si="20"/>
        <v>1905.2848974193437</v>
      </c>
      <c r="AJ609" s="1004"/>
      <c r="AK609" s="1126"/>
      <c r="AL609" s="1313"/>
      <c r="AM609" s="151"/>
      <c r="AN609" s="90"/>
      <c r="AO609" s="128"/>
      <c r="AP609" s="106"/>
    </row>
    <row r="610" spans="1:42" s="69" customFormat="1" ht="15" customHeight="1">
      <c r="A610" s="1015"/>
      <c r="B610" s="232" t="s">
        <v>151</v>
      </c>
      <c r="C610" s="912" t="s">
        <v>151</v>
      </c>
      <c r="D610" s="222" t="s">
        <v>598</v>
      </c>
      <c r="E610" s="240" t="s">
        <v>584</v>
      </c>
      <c r="F610" s="240" t="s">
        <v>0</v>
      </c>
      <c r="G610" s="430">
        <v>4380.4800000000005</v>
      </c>
      <c r="H610" s="225" t="s">
        <v>221</v>
      </c>
      <c r="I610" s="790"/>
      <c r="J610" s="1047" t="s">
        <v>581</v>
      </c>
      <c r="K610" s="1047" t="s">
        <v>586</v>
      </c>
      <c r="L610" s="445">
        <v>289.29425314746885</v>
      </c>
      <c r="M610" s="50">
        <v>20.54</v>
      </c>
      <c r="N610" s="114"/>
      <c r="O610" s="114"/>
      <c r="P610" s="114"/>
      <c r="Q610" s="114"/>
      <c r="R610" s="173"/>
      <c r="S610" s="272">
        <v>268.75425314746883</v>
      </c>
      <c r="T610" s="109">
        <v>3896.9702412323745</v>
      </c>
      <c r="U610" s="785">
        <v>2.3199999999999998</v>
      </c>
      <c r="V610" s="88"/>
      <c r="W610" s="120">
        <v>56.94624000000001</v>
      </c>
      <c r="X610" s="117">
        <v>825.72759326085009</v>
      </c>
      <c r="Y610" s="120">
        <v>12.083876</v>
      </c>
      <c r="Z610" s="117">
        <v>175.21771141944669</v>
      </c>
      <c r="AA610" s="600"/>
      <c r="AB610" s="600"/>
      <c r="AC610" s="120">
        <v>82.331205258987552</v>
      </c>
      <c r="AD610" s="269">
        <v>1193.8127603994358</v>
      </c>
      <c r="AE610" s="1321" t="s">
        <v>19</v>
      </c>
      <c r="AF610" s="1321"/>
      <c r="AG610" s="198">
        <v>268.75425314746883</v>
      </c>
      <c r="AH610" s="117">
        <v>7827.5807722602676</v>
      </c>
      <c r="AI610" s="177">
        <f t="shared" ref="AI610:AI664" si="21">AH610</f>
        <v>7827.5807722602676</v>
      </c>
      <c r="AJ610" s="975">
        <v>46218</v>
      </c>
      <c r="AK610" s="981">
        <f>SUM(AI610:AI618)</f>
        <v>12807.61184292186</v>
      </c>
      <c r="AL610" s="1313"/>
      <c r="AM610" s="151"/>
      <c r="AN610" s="90"/>
      <c r="AO610" s="128"/>
      <c r="AP610" s="106"/>
    </row>
    <row r="611" spans="1:42" s="69" customFormat="1" ht="15" customHeight="1">
      <c r="A611" s="1015"/>
      <c r="B611" s="744"/>
      <c r="C611" s="529"/>
      <c r="D611" s="223" t="s">
        <v>809</v>
      </c>
      <c r="E611" s="225" t="s">
        <v>64</v>
      </c>
      <c r="F611" s="228" t="s">
        <v>64</v>
      </c>
      <c r="G611" s="430">
        <v>1460.16</v>
      </c>
      <c r="H611" s="225" t="s">
        <v>64</v>
      </c>
      <c r="I611" s="638" t="s">
        <v>64</v>
      </c>
      <c r="J611" s="1048"/>
      <c r="K611" s="1048"/>
      <c r="L611" s="210">
        <v>28.616000000000003</v>
      </c>
      <c r="M611" s="225" t="s">
        <v>64</v>
      </c>
      <c r="N611" s="197"/>
      <c r="O611" s="197"/>
      <c r="P611" s="197"/>
      <c r="Q611" s="197"/>
      <c r="R611" s="213"/>
      <c r="S611" s="195">
        <v>28.616000000000003</v>
      </c>
      <c r="T611" s="159">
        <v>414.93557447783223</v>
      </c>
      <c r="U611" s="607" t="s">
        <v>64</v>
      </c>
      <c r="V611" s="24"/>
      <c r="W611" s="24">
        <v>0</v>
      </c>
      <c r="X611" s="159">
        <v>0</v>
      </c>
      <c r="Y611" s="24">
        <v>7.7967000000000004</v>
      </c>
      <c r="Z611" s="159">
        <v>113.05312390031146</v>
      </c>
      <c r="AA611" s="601"/>
      <c r="AB611" s="601"/>
      <c r="AC611" s="24">
        <v>9.2544000000000022</v>
      </c>
      <c r="AD611" s="411">
        <v>134.18995598433196</v>
      </c>
      <c r="AE611" s="1322"/>
      <c r="AF611" s="1322"/>
      <c r="AG611" s="195">
        <v>28.616000000000003</v>
      </c>
      <c r="AH611" s="159">
        <v>829.87114895566447</v>
      </c>
      <c r="AI611" s="177">
        <f t="shared" si="21"/>
        <v>829.87114895566447</v>
      </c>
      <c r="AJ611" s="976"/>
      <c r="AK611" s="982"/>
      <c r="AL611" s="1313"/>
      <c r="AM611" s="151"/>
      <c r="AN611" s="90"/>
      <c r="AO611" s="128"/>
      <c r="AP611" s="106"/>
    </row>
    <row r="612" spans="1:42" s="69" customFormat="1" ht="15" customHeight="1">
      <c r="A612" s="1015"/>
      <c r="B612" s="744"/>
      <c r="C612" s="529"/>
      <c r="D612" s="223" t="s">
        <v>810</v>
      </c>
      <c r="E612" s="225" t="s">
        <v>64</v>
      </c>
      <c r="F612" s="228" t="s">
        <v>64</v>
      </c>
      <c r="G612" s="430">
        <v>2531.44</v>
      </c>
      <c r="H612" s="225" t="s">
        <v>64</v>
      </c>
      <c r="I612" s="638" t="s">
        <v>64</v>
      </c>
      <c r="J612" s="1048"/>
      <c r="K612" s="1048"/>
      <c r="L612" s="211">
        <v>41.471359999999997</v>
      </c>
      <c r="M612" s="225" t="s">
        <v>64</v>
      </c>
      <c r="N612" s="188"/>
      <c r="O612" s="188"/>
      <c r="P612" s="188"/>
      <c r="Q612" s="188"/>
      <c r="R612" s="214"/>
      <c r="S612" s="8">
        <v>41.471359999999997</v>
      </c>
      <c r="T612" s="157">
        <v>601.33990026478136</v>
      </c>
      <c r="U612" s="607" t="s">
        <v>64</v>
      </c>
      <c r="V612" s="7"/>
      <c r="W612" s="7">
        <v>0</v>
      </c>
      <c r="X612" s="157">
        <v>0</v>
      </c>
      <c r="Y612" s="7">
        <v>9.725004000000002</v>
      </c>
      <c r="Z612" s="157">
        <v>141.01377276835365</v>
      </c>
      <c r="AA612" s="601"/>
      <c r="AB612" s="601"/>
      <c r="AC612" s="7">
        <v>14.396544</v>
      </c>
      <c r="AD612" s="270">
        <v>208.75168629911187</v>
      </c>
      <c r="AE612" s="1322"/>
      <c r="AF612" s="1322"/>
      <c r="AG612" s="192">
        <v>41.471359999999997</v>
      </c>
      <c r="AH612" s="157">
        <v>1202.6798005295627</v>
      </c>
      <c r="AI612" s="177">
        <f t="shared" si="21"/>
        <v>1202.6798005295627</v>
      </c>
      <c r="AJ612" s="976"/>
      <c r="AK612" s="982"/>
      <c r="AL612" s="1313"/>
      <c r="AM612" s="151"/>
      <c r="AN612" s="90"/>
      <c r="AO612" s="128"/>
      <c r="AP612" s="106"/>
    </row>
    <row r="613" spans="1:42" s="69" customFormat="1" ht="15" customHeight="1">
      <c r="A613" s="1015"/>
      <c r="B613" s="744"/>
      <c r="C613" s="529"/>
      <c r="D613" s="223" t="s">
        <v>811</v>
      </c>
      <c r="E613" s="225" t="s">
        <v>64</v>
      </c>
      <c r="F613" s="228" t="s">
        <v>64</v>
      </c>
      <c r="G613" s="426">
        <v>3602.7200000000003</v>
      </c>
      <c r="H613" s="225" t="s">
        <v>64</v>
      </c>
      <c r="I613" s="638" t="s">
        <v>64</v>
      </c>
      <c r="J613" s="1048"/>
      <c r="K613" s="1048"/>
      <c r="L613" s="211">
        <v>47.866720000000008</v>
      </c>
      <c r="M613" s="225" t="s">
        <v>64</v>
      </c>
      <c r="N613" s="188"/>
      <c r="O613" s="188"/>
      <c r="P613" s="188"/>
      <c r="Q613" s="188"/>
      <c r="R613" s="214"/>
      <c r="S613" s="8">
        <v>47.866720000000008</v>
      </c>
      <c r="T613" s="157">
        <v>694.07341912110326</v>
      </c>
      <c r="U613" s="607" t="s">
        <v>64</v>
      </c>
      <c r="V613" s="111"/>
      <c r="W613" s="7">
        <v>0</v>
      </c>
      <c r="X613" s="157">
        <v>0</v>
      </c>
      <c r="Y613" s="7">
        <v>9.1733080000000022</v>
      </c>
      <c r="Z613" s="157">
        <v>133.01411185497929</v>
      </c>
      <c r="AA613" s="188"/>
      <c r="AB613" s="124"/>
      <c r="AC613" s="7">
        <v>17.946688000000005</v>
      </c>
      <c r="AD613" s="270">
        <v>260.2292177542077</v>
      </c>
      <c r="AE613" s="1322"/>
      <c r="AF613" s="1322"/>
      <c r="AG613" s="192">
        <v>47.866720000000008</v>
      </c>
      <c r="AH613" s="157">
        <v>1388.1468382422065</v>
      </c>
      <c r="AI613" s="177">
        <f t="shared" si="21"/>
        <v>1388.1468382422065</v>
      </c>
      <c r="AJ613" s="976"/>
      <c r="AK613" s="982"/>
      <c r="AL613" s="1313"/>
      <c r="AM613" s="151"/>
      <c r="AN613" s="90"/>
      <c r="AO613" s="128"/>
      <c r="AP613" s="106"/>
    </row>
    <row r="614" spans="1:42" s="69" customFormat="1" ht="15" customHeight="1">
      <c r="A614" s="1015"/>
      <c r="B614" s="744"/>
      <c r="C614" s="529"/>
      <c r="D614" s="223" t="s">
        <v>812</v>
      </c>
      <c r="E614" s="225" t="s">
        <v>64</v>
      </c>
      <c r="F614" s="228" t="s">
        <v>64</v>
      </c>
      <c r="G614" s="479">
        <v>217.39</v>
      </c>
      <c r="H614" s="225" t="s">
        <v>64</v>
      </c>
      <c r="I614" s="638" t="s">
        <v>64</v>
      </c>
      <c r="J614" s="1048"/>
      <c r="K614" s="1048"/>
      <c r="L614" s="211">
        <v>11.686070000000001</v>
      </c>
      <c r="M614" s="225" t="s">
        <v>64</v>
      </c>
      <c r="N614" s="188"/>
      <c r="O614" s="188"/>
      <c r="P614" s="188"/>
      <c r="Q614" s="188"/>
      <c r="R614" s="214"/>
      <c r="S614" s="8">
        <v>11.686070000000001</v>
      </c>
      <c r="T614" s="157">
        <v>169.44947472875873</v>
      </c>
      <c r="U614" s="607" t="s">
        <v>64</v>
      </c>
      <c r="V614" s="111"/>
      <c r="W614" s="7">
        <v>2.8260700000000001</v>
      </c>
      <c r="X614" s="157">
        <v>40.978368009664806</v>
      </c>
      <c r="Y614" s="7">
        <v>3.3223000000000003</v>
      </c>
      <c r="Z614" s="157">
        <v>48.173764994677875</v>
      </c>
      <c r="AA614" s="188"/>
      <c r="AB614" s="124"/>
      <c r="AC614" s="7">
        <v>2.3440000000000007</v>
      </c>
      <c r="AD614" s="270">
        <v>33.988292793403616</v>
      </c>
      <c r="AE614" s="1322"/>
      <c r="AF614" s="1322"/>
      <c r="AG614" s="192">
        <v>11.686070000000001</v>
      </c>
      <c r="AH614" s="157">
        <v>338.89894945751746</v>
      </c>
      <c r="AI614" s="177">
        <f t="shared" si="21"/>
        <v>338.89894945751746</v>
      </c>
      <c r="AJ614" s="976"/>
      <c r="AK614" s="982"/>
      <c r="AL614" s="1313"/>
      <c r="AM614" s="151"/>
      <c r="AN614" s="90"/>
      <c r="AO614" s="128"/>
      <c r="AP614" s="106"/>
    </row>
    <row r="615" spans="1:42" s="69" customFormat="1" ht="15" customHeight="1">
      <c r="A615" s="1015"/>
      <c r="B615" s="744"/>
      <c r="C615" s="529"/>
      <c r="D615" s="223" t="s">
        <v>813</v>
      </c>
      <c r="E615" s="225" t="s">
        <v>64</v>
      </c>
      <c r="F615" s="228" t="s">
        <v>64</v>
      </c>
      <c r="G615" s="434">
        <v>434.78</v>
      </c>
      <c r="H615" s="225" t="s">
        <v>64</v>
      </c>
      <c r="I615" s="638" t="s">
        <v>64</v>
      </c>
      <c r="J615" s="1048"/>
      <c r="K615" s="1048"/>
      <c r="L615" s="211">
        <v>15.503580000000001</v>
      </c>
      <c r="M615" s="225" t="s">
        <v>64</v>
      </c>
      <c r="N615" s="188"/>
      <c r="O615" s="188"/>
      <c r="P615" s="188"/>
      <c r="Q615" s="188"/>
      <c r="R615" s="214"/>
      <c r="S615" s="8">
        <v>15.503580000000001</v>
      </c>
      <c r="T615" s="157">
        <v>224.80384658103944</v>
      </c>
      <c r="U615" s="607" t="s">
        <v>64</v>
      </c>
      <c r="V615" s="111"/>
      <c r="W615" s="7">
        <v>5.6521400000000002</v>
      </c>
      <c r="X615" s="157">
        <v>81.956736019329611</v>
      </c>
      <c r="Y615" s="7">
        <v>3.4710160000000001</v>
      </c>
      <c r="Z615" s="157">
        <v>50.330165571070218</v>
      </c>
      <c r="AA615" s="188"/>
      <c r="AB615" s="124"/>
      <c r="AC615" s="7">
        <v>2.7405759999999999</v>
      </c>
      <c r="AD615" s="270">
        <v>39.738694330449981</v>
      </c>
      <c r="AE615" s="1322"/>
      <c r="AF615" s="1322"/>
      <c r="AG615" s="192">
        <v>15.503580000000001</v>
      </c>
      <c r="AH615" s="157">
        <v>449.60769316207887</v>
      </c>
      <c r="AI615" s="177">
        <f t="shared" si="21"/>
        <v>449.60769316207887</v>
      </c>
      <c r="AJ615" s="976"/>
      <c r="AK615" s="982"/>
      <c r="AL615" s="1313"/>
      <c r="AM615" s="151"/>
      <c r="AN615" s="90"/>
      <c r="AO615" s="128"/>
      <c r="AP615" s="106"/>
    </row>
    <row r="616" spans="1:42" s="69" customFormat="1" ht="15" customHeight="1">
      <c r="A616" s="1015"/>
      <c r="B616" s="744"/>
      <c r="C616" s="529"/>
      <c r="D616" s="223" t="s">
        <v>814</v>
      </c>
      <c r="E616" s="225" t="s">
        <v>64</v>
      </c>
      <c r="F616" s="228" t="s">
        <v>64</v>
      </c>
      <c r="G616" s="434">
        <v>21.739000000000001</v>
      </c>
      <c r="H616" s="225" t="s">
        <v>64</v>
      </c>
      <c r="I616" s="638" t="s">
        <v>64</v>
      </c>
      <c r="J616" s="1048"/>
      <c r="K616" s="1048"/>
      <c r="L616" s="211">
        <v>8.8600000000000012</v>
      </c>
      <c r="M616" s="225" t="s">
        <v>64</v>
      </c>
      <c r="N616" s="188"/>
      <c r="O616" s="188"/>
      <c r="P616" s="188"/>
      <c r="Q616" s="188"/>
      <c r="R616" s="214"/>
      <c r="S616" s="8">
        <v>8.8600000000000012</v>
      </c>
      <c r="T616" s="157">
        <v>128.4711067190938</v>
      </c>
      <c r="U616" s="607" t="s">
        <v>64</v>
      </c>
      <c r="V616" s="111"/>
      <c r="W616" s="7">
        <v>0</v>
      </c>
      <c r="X616" s="157">
        <v>0</v>
      </c>
      <c r="Y616" s="7">
        <v>3.3223000000000003</v>
      </c>
      <c r="Z616" s="157">
        <v>48.173764994677875</v>
      </c>
      <c r="AA616" s="188"/>
      <c r="AB616" s="124"/>
      <c r="AC616" s="7">
        <v>2.3440000000000007</v>
      </c>
      <c r="AD616" s="270">
        <v>33.988292793403616</v>
      </c>
      <c r="AE616" s="1322"/>
      <c r="AF616" s="1322"/>
      <c r="AG616" s="192">
        <v>8.8600000000000012</v>
      </c>
      <c r="AH616" s="157">
        <v>256.94221343818759</v>
      </c>
      <c r="AI616" s="177">
        <f t="shared" si="21"/>
        <v>256.94221343818759</v>
      </c>
      <c r="AJ616" s="976"/>
      <c r="AK616" s="982"/>
      <c r="AL616" s="1313"/>
      <c r="AM616" s="151"/>
      <c r="AN616" s="90"/>
      <c r="AO616" s="128"/>
      <c r="AP616" s="106"/>
    </row>
    <row r="617" spans="1:42" s="69" customFormat="1" ht="15" customHeight="1">
      <c r="A617" s="1015"/>
      <c r="B617" s="744"/>
      <c r="C617" s="529"/>
      <c r="D617" s="223" t="s">
        <v>815</v>
      </c>
      <c r="E617" s="225" t="s">
        <v>64</v>
      </c>
      <c r="F617" s="228" t="s">
        <v>64</v>
      </c>
      <c r="G617" s="434">
        <v>43.478000000000002</v>
      </c>
      <c r="H617" s="225" t="s">
        <v>64</v>
      </c>
      <c r="I617" s="638" t="s">
        <v>64</v>
      </c>
      <c r="J617" s="1048"/>
      <c r="K617" s="1048"/>
      <c r="L617" s="211">
        <v>8.8600000000000012</v>
      </c>
      <c r="M617" s="225" t="s">
        <v>64</v>
      </c>
      <c r="N617" s="188"/>
      <c r="O617" s="188"/>
      <c r="P617" s="188"/>
      <c r="Q617" s="188"/>
      <c r="R617" s="214"/>
      <c r="S617" s="8">
        <v>8.8600000000000012</v>
      </c>
      <c r="T617" s="157">
        <v>128.4711067190938</v>
      </c>
      <c r="U617" s="607" t="s">
        <v>64</v>
      </c>
      <c r="V617" s="111"/>
      <c r="W617" s="7">
        <v>0</v>
      </c>
      <c r="X617" s="157">
        <v>0</v>
      </c>
      <c r="Y617" s="7">
        <v>3.3223000000000003</v>
      </c>
      <c r="Z617" s="157">
        <v>48.173764994677875</v>
      </c>
      <c r="AA617" s="188"/>
      <c r="AB617" s="124"/>
      <c r="AC617" s="7">
        <v>2.3440000000000007</v>
      </c>
      <c r="AD617" s="270">
        <v>33.988292793403616</v>
      </c>
      <c r="AE617" s="1322"/>
      <c r="AF617" s="1322"/>
      <c r="AG617" s="192">
        <v>8.8600000000000012</v>
      </c>
      <c r="AH617" s="157">
        <v>256.94221343818759</v>
      </c>
      <c r="AI617" s="177">
        <f t="shared" si="21"/>
        <v>256.94221343818759</v>
      </c>
      <c r="AJ617" s="976"/>
      <c r="AK617" s="982"/>
      <c r="AL617" s="1313"/>
      <c r="AM617" s="151"/>
      <c r="AN617" s="90"/>
      <c r="AO617" s="128"/>
      <c r="AP617" s="106"/>
    </row>
    <row r="618" spans="1:42" s="69" customFormat="1" ht="15" customHeight="1" thickBot="1">
      <c r="A618" s="1015"/>
      <c r="B618" s="745"/>
      <c r="C618" s="527"/>
      <c r="D618" s="224" t="s">
        <v>816</v>
      </c>
      <c r="E618" s="226" t="s">
        <v>64</v>
      </c>
      <c r="F618" s="229" t="s">
        <v>64</v>
      </c>
      <c r="G618" s="435">
        <v>65.216999999999999</v>
      </c>
      <c r="H618" s="226" t="s">
        <v>64</v>
      </c>
      <c r="I618" s="641" t="s">
        <v>64</v>
      </c>
      <c r="J618" s="1048"/>
      <c r="K618" s="1048"/>
      <c r="L618" s="547">
        <v>8.8600000000000012</v>
      </c>
      <c r="M618" s="226" t="s">
        <v>64</v>
      </c>
      <c r="N618" s="116"/>
      <c r="O618" s="116"/>
      <c r="P618" s="116"/>
      <c r="Q618" s="116"/>
      <c r="R618" s="175"/>
      <c r="S618" s="29">
        <v>8.8600000000000012</v>
      </c>
      <c r="T618" s="118">
        <v>128.4711067190938</v>
      </c>
      <c r="U618" s="229" t="s">
        <v>64</v>
      </c>
      <c r="V618" s="45"/>
      <c r="W618" s="28">
        <v>0</v>
      </c>
      <c r="X618" s="118">
        <v>0</v>
      </c>
      <c r="Y618" s="28">
        <v>3.3223000000000003</v>
      </c>
      <c r="Z618" s="118">
        <v>48.173764994677875</v>
      </c>
      <c r="AA618" s="116"/>
      <c r="AB618" s="792"/>
      <c r="AC618" s="28">
        <v>2.3440000000000007</v>
      </c>
      <c r="AD618" s="757">
        <v>33.988292793403616</v>
      </c>
      <c r="AE618" s="1322"/>
      <c r="AF618" s="1322"/>
      <c r="AG618" s="749">
        <v>8.8600000000000012</v>
      </c>
      <c r="AH618" s="118">
        <v>256.94221343818759</v>
      </c>
      <c r="AI618" s="180">
        <f t="shared" si="21"/>
        <v>256.94221343818759</v>
      </c>
      <c r="AJ618" s="976"/>
      <c r="AK618" s="983"/>
      <c r="AL618" s="1313"/>
      <c r="AM618" s="151"/>
      <c r="AN618" s="90"/>
      <c r="AO618" s="128"/>
      <c r="AP618" s="106"/>
    </row>
    <row r="619" spans="1:42" s="69" customFormat="1" ht="15" customHeight="1">
      <c r="A619" s="1015"/>
      <c r="B619" s="465" t="s">
        <v>151</v>
      </c>
      <c r="C619" s="386" t="s">
        <v>151</v>
      </c>
      <c r="D619" s="222" t="s">
        <v>599</v>
      </c>
      <c r="E619" s="240" t="s">
        <v>584</v>
      </c>
      <c r="F619" s="240" t="s">
        <v>0</v>
      </c>
      <c r="G619" s="433">
        <v>14601.6</v>
      </c>
      <c r="H619" s="225" t="s">
        <v>221</v>
      </c>
      <c r="I619" s="790"/>
      <c r="J619" s="1048"/>
      <c r="K619" s="1048"/>
      <c r="L619" s="209">
        <v>608.34</v>
      </c>
      <c r="M619" s="8">
        <v>20.54</v>
      </c>
      <c r="N619" s="115"/>
      <c r="O619" s="115"/>
      <c r="P619" s="115"/>
      <c r="Q619" s="115"/>
      <c r="R619" s="174"/>
      <c r="S619" s="12">
        <v>587.80000000000007</v>
      </c>
      <c r="T619" s="117">
        <v>6983.0694329682838</v>
      </c>
      <c r="U619" s="785">
        <v>2.3199999999999998</v>
      </c>
      <c r="V619" s="44"/>
      <c r="W619" s="120">
        <v>189.82080000000002</v>
      </c>
      <c r="X619" s="117">
        <v>2255.0728584919793</v>
      </c>
      <c r="Y619" s="120">
        <v>32.282879999999999</v>
      </c>
      <c r="Z619" s="117">
        <v>383.52091278697304</v>
      </c>
      <c r="AA619" s="115"/>
      <c r="AB619" s="557"/>
      <c r="AC619" s="120">
        <v>156.59168</v>
      </c>
      <c r="AD619" s="269">
        <v>1860.3106057590148</v>
      </c>
      <c r="AE619" s="1322"/>
      <c r="AF619" s="1322"/>
      <c r="AG619" s="198">
        <v>587.80000000000007</v>
      </c>
      <c r="AH619" s="117">
        <v>13999.779155732087</v>
      </c>
      <c r="AI619" s="177">
        <f t="shared" si="21"/>
        <v>13999.779155732087</v>
      </c>
      <c r="AJ619" s="976"/>
      <c r="AK619" s="981">
        <f>SUM(AI619:AI629)</f>
        <v>20443.563489125721</v>
      </c>
      <c r="AL619" s="1313"/>
      <c r="AM619" s="151"/>
      <c r="AN619" s="90"/>
      <c r="AO619" s="128"/>
      <c r="AP619" s="106"/>
    </row>
    <row r="620" spans="1:42" s="69" customFormat="1" ht="15.75" customHeight="1">
      <c r="A620" s="1015"/>
      <c r="B620" s="915"/>
      <c r="C620" s="388"/>
      <c r="D620" s="223" t="s">
        <v>809</v>
      </c>
      <c r="E620" s="320" t="s">
        <v>64</v>
      </c>
      <c r="F620" s="607" t="s">
        <v>64</v>
      </c>
      <c r="G620" s="431">
        <v>1460.16</v>
      </c>
      <c r="H620" s="320" t="s">
        <v>64</v>
      </c>
      <c r="I620" s="638" t="s">
        <v>64</v>
      </c>
      <c r="J620" s="1048"/>
      <c r="K620" s="1081"/>
      <c r="L620" s="7">
        <v>27</v>
      </c>
      <c r="M620" s="320" t="s">
        <v>64</v>
      </c>
      <c r="N620" s="188"/>
      <c r="O620" s="188"/>
      <c r="P620" s="188"/>
      <c r="Q620" s="188"/>
      <c r="R620" s="214"/>
      <c r="S620" s="8">
        <v>27</v>
      </c>
      <c r="T620" s="157">
        <v>320.76024955791644</v>
      </c>
      <c r="U620" s="607" t="s">
        <v>64</v>
      </c>
      <c r="V620" s="111"/>
      <c r="W620" s="7">
        <v>0</v>
      </c>
      <c r="X620" s="157">
        <v>0</v>
      </c>
      <c r="Y620" s="7">
        <v>7.32</v>
      </c>
      <c r="Z620" s="157">
        <v>86.961667657924053</v>
      </c>
      <c r="AA620" s="188"/>
      <c r="AB620" s="124"/>
      <c r="AC620" s="7">
        <v>8.4</v>
      </c>
      <c r="AD620" s="7">
        <v>99.79207764024072</v>
      </c>
      <c r="AE620" s="1322"/>
      <c r="AF620" s="1322"/>
      <c r="AG620" s="8">
        <v>27</v>
      </c>
      <c r="AH620" s="157">
        <v>641.52049911583288</v>
      </c>
      <c r="AI620" s="176">
        <f t="shared" si="21"/>
        <v>641.52049911583288</v>
      </c>
      <c r="AJ620" s="976"/>
      <c r="AK620" s="982"/>
      <c r="AL620" s="1313"/>
      <c r="AM620" s="151"/>
      <c r="AN620" s="90"/>
      <c r="AO620" s="128"/>
      <c r="AP620" s="106"/>
    </row>
    <row r="621" spans="1:42" s="69" customFormat="1" ht="15" customHeight="1">
      <c r="A621" s="1015"/>
      <c r="B621" s="915"/>
      <c r="C621" s="388"/>
      <c r="D621" s="223" t="s">
        <v>810</v>
      </c>
      <c r="E621" s="320" t="s">
        <v>64</v>
      </c>
      <c r="F621" s="607" t="s">
        <v>64</v>
      </c>
      <c r="G621" s="426">
        <v>1460.16</v>
      </c>
      <c r="H621" s="320" t="s">
        <v>64</v>
      </c>
      <c r="I621" s="638" t="s">
        <v>64</v>
      </c>
      <c r="J621" s="1048"/>
      <c r="K621" s="1081"/>
      <c r="L621" s="7">
        <v>27</v>
      </c>
      <c r="M621" s="320" t="s">
        <v>64</v>
      </c>
      <c r="N621" s="188"/>
      <c r="O621" s="188"/>
      <c r="P621" s="188"/>
      <c r="Q621" s="188"/>
      <c r="R621" s="214"/>
      <c r="S621" s="8">
        <v>27</v>
      </c>
      <c r="T621" s="157">
        <v>320.76024955791644</v>
      </c>
      <c r="U621" s="607" t="s">
        <v>64</v>
      </c>
      <c r="V621" s="7"/>
      <c r="W621" s="7">
        <v>0</v>
      </c>
      <c r="X621" s="157">
        <v>0</v>
      </c>
      <c r="Y621" s="7">
        <v>7.32</v>
      </c>
      <c r="Z621" s="157">
        <v>86.961667657924053</v>
      </c>
      <c r="AA621" s="601"/>
      <c r="AB621" s="601"/>
      <c r="AC621" s="7">
        <v>8.4</v>
      </c>
      <c r="AD621" s="7">
        <v>99.79207764024072</v>
      </c>
      <c r="AE621" s="1322"/>
      <c r="AF621" s="1322"/>
      <c r="AG621" s="8">
        <v>27</v>
      </c>
      <c r="AH621" s="157">
        <v>641.52049911583288</v>
      </c>
      <c r="AI621" s="176">
        <f t="shared" si="21"/>
        <v>641.52049911583288</v>
      </c>
      <c r="AJ621" s="976"/>
      <c r="AK621" s="982"/>
      <c r="AL621" s="1313"/>
      <c r="AM621" s="151"/>
      <c r="AN621" s="90"/>
      <c r="AO621" s="128"/>
      <c r="AP621" s="106"/>
    </row>
    <row r="622" spans="1:42" s="69" customFormat="1" ht="15" customHeight="1">
      <c r="A622" s="1015"/>
      <c r="B622" s="915"/>
      <c r="C622" s="388"/>
      <c r="D622" s="223" t="s">
        <v>811</v>
      </c>
      <c r="E622" s="320" t="s">
        <v>64</v>
      </c>
      <c r="F622" s="607" t="s">
        <v>64</v>
      </c>
      <c r="G622" s="426">
        <v>2920.32</v>
      </c>
      <c r="H622" s="320" t="s">
        <v>64</v>
      </c>
      <c r="I622" s="638" t="s">
        <v>64</v>
      </c>
      <c r="J622" s="1048"/>
      <c r="K622" s="1081"/>
      <c r="L622" s="7">
        <v>19</v>
      </c>
      <c r="M622" s="320" t="s">
        <v>64</v>
      </c>
      <c r="N622" s="188"/>
      <c r="O622" s="188"/>
      <c r="P622" s="188"/>
      <c r="Q622" s="188"/>
      <c r="R622" s="214"/>
      <c r="S622" s="8">
        <v>19</v>
      </c>
      <c r="T622" s="157">
        <v>225.72017561483037</v>
      </c>
      <c r="U622" s="607" t="s">
        <v>64</v>
      </c>
      <c r="V622" s="7"/>
      <c r="W622" s="7">
        <v>0</v>
      </c>
      <c r="X622" s="157">
        <v>0</v>
      </c>
      <c r="Y622" s="7">
        <v>4.32</v>
      </c>
      <c r="Z622" s="157">
        <v>51.321639929266638</v>
      </c>
      <c r="AA622" s="601"/>
      <c r="AB622" s="601"/>
      <c r="AC622" s="7">
        <v>6.4</v>
      </c>
      <c r="AD622" s="7">
        <v>76.032059154469096</v>
      </c>
      <c r="AE622" s="1322"/>
      <c r="AF622" s="1322"/>
      <c r="AG622" s="8">
        <v>19</v>
      </c>
      <c r="AH622" s="157">
        <v>451.44035122966073</v>
      </c>
      <c r="AI622" s="176">
        <f t="shared" si="21"/>
        <v>451.44035122966073</v>
      </c>
      <c r="AJ622" s="976"/>
      <c r="AK622" s="982"/>
      <c r="AL622" s="1313"/>
      <c r="AM622" s="151"/>
      <c r="AN622" s="90"/>
      <c r="AO622" s="128"/>
      <c r="AP622" s="106"/>
    </row>
    <row r="623" spans="1:42" s="69" customFormat="1" ht="15" customHeight="1">
      <c r="A623" s="1015"/>
      <c r="B623" s="915"/>
      <c r="C623" s="388"/>
      <c r="D623" s="223" t="s">
        <v>812</v>
      </c>
      <c r="E623" s="320" t="s">
        <v>64</v>
      </c>
      <c r="F623" s="607" t="s">
        <v>64</v>
      </c>
      <c r="G623" s="427">
        <v>217.39</v>
      </c>
      <c r="H623" s="320" t="s">
        <v>64</v>
      </c>
      <c r="I623" s="638" t="s">
        <v>64</v>
      </c>
      <c r="J623" s="1048"/>
      <c r="K623" s="1081"/>
      <c r="L623" s="7">
        <v>24.434750000000001</v>
      </c>
      <c r="M623" s="320" t="s">
        <v>64</v>
      </c>
      <c r="N623" s="188"/>
      <c r="O623" s="188"/>
      <c r="P623" s="188"/>
      <c r="Q623" s="188"/>
      <c r="R623" s="214"/>
      <c r="S623" s="8">
        <v>24.434750000000001</v>
      </c>
      <c r="T623" s="157">
        <v>290.28505584760376</v>
      </c>
      <c r="U623" s="607" t="s">
        <v>64</v>
      </c>
      <c r="V623" s="7"/>
      <c r="W623" s="7">
        <v>2.8260700000000001</v>
      </c>
      <c r="X623" s="157">
        <v>33.57373772104232</v>
      </c>
      <c r="Y623" s="7">
        <v>4.7113019999999999</v>
      </c>
      <c r="Z623" s="157">
        <v>55.970311306026403</v>
      </c>
      <c r="AA623" s="601"/>
      <c r="AB623" s="601"/>
      <c r="AC623" s="7">
        <v>7.4434719999999999</v>
      </c>
      <c r="AD623" s="7">
        <v>88.428516159161617</v>
      </c>
      <c r="AE623" s="1322"/>
      <c r="AF623" s="1322"/>
      <c r="AG623" s="8">
        <v>24.434750000000001</v>
      </c>
      <c r="AH623" s="157">
        <v>580.57011169520752</v>
      </c>
      <c r="AI623" s="176">
        <f t="shared" si="21"/>
        <v>580.57011169520752</v>
      </c>
      <c r="AJ623" s="976"/>
      <c r="AK623" s="982"/>
      <c r="AL623" s="1313"/>
      <c r="AM623" s="151"/>
      <c r="AN623" s="90"/>
      <c r="AO623" s="128"/>
      <c r="AP623" s="106"/>
    </row>
    <row r="624" spans="1:42" s="69" customFormat="1" ht="15" customHeight="1">
      <c r="A624" s="1015"/>
      <c r="B624" s="915"/>
      <c r="C624" s="388"/>
      <c r="D624" s="223" t="s">
        <v>813</v>
      </c>
      <c r="E624" s="320" t="s">
        <v>64</v>
      </c>
      <c r="F624" s="607" t="s">
        <v>64</v>
      </c>
      <c r="G624" s="427">
        <v>217.39</v>
      </c>
      <c r="H624" s="320" t="s">
        <v>64</v>
      </c>
      <c r="I624" s="638" t="s">
        <v>64</v>
      </c>
      <c r="J624" s="1048"/>
      <c r="K624" s="1081"/>
      <c r="L624" s="7">
        <v>24.434750000000001</v>
      </c>
      <c r="M624" s="320" t="s">
        <v>64</v>
      </c>
      <c r="N624" s="188"/>
      <c r="O624" s="188"/>
      <c r="P624" s="188"/>
      <c r="Q624" s="188"/>
      <c r="R624" s="214"/>
      <c r="S624" s="8">
        <v>24.434750000000001</v>
      </c>
      <c r="T624" s="157">
        <v>290.28505584760376</v>
      </c>
      <c r="U624" s="607" t="s">
        <v>64</v>
      </c>
      <c r="V624" s="111"/>
      <c r="W624" s="7">
        <v>2.8260700000000001</v>
      </c>
      <c r="X624" s="157">
        <v>33.57373772104232</v>
      </c>
      <c r="Y624" s="7">
        <v>4.7113019999999999</v>
      </c>
      <c r="Z624" s="157">
        <v>55.970311306026403</v>
      </c>
      <c r="AA624" s="188"/>
      <c r="AB624" s="124"/>
      <c r="AC624" s="7">
        <v>7.4434719999999999</v>
      </c>
      <c r="AD624" s="7">
        <v>88.428516159161617</v>
      </c>
      <c r="AE624" s="1322"/>
      <c r="AF624" s="1322"/>
      <c r="AG624" s="8">
        <v>24.434750000000001</v>
      </c>
      <c r="AH624" s="157">
        <v>580.57011169520752</v>
      </c>
      <c r="AI624" s="176">
        <f t="shared" si="21"/>
        <v>580.57011169520752</v>
      </c>
      <c r="AJ624" s="976"/>
      <c r="AK624" s="982"/>
      <c r="AL624" s="1313"/>
      <c r="AM624" s="151"/>
      <c r="AN624" s="90"/>
      <c r="AO624" s="128"/>
      <c r="AP624" s="106"/>
    </row>
    <row r="625" spans="1:42" s="69" customFormat="1" ht="15" customHeight="1">
      <c r="A625" s="1015"/>
      <c r="B625" s="915"/>
      <c r="C625" s="388"/>
      <c r="D625" s="223" t="s">
        <v>814</v>
      </c>
      <c r="E625" s="320" t="s">
        <v>64</v>
      </c>
      <c r="F625" s="607" t="s">
        <v>64</v>
      </c>
      <c r="G625" s="479">
        <v>21.739000000000001</v>
      </c>
      <c r="H625" s="320" t="s">
        <v>64</v>
      </c>
      <c r="I625" s="638" t="s">
        <v>64</v>
      </c>
      <c r="J625" s="1048"/>
      <c r="K625" s="1081"/>
      <c r="L625" s="7">
        <v>19</v>
      </c>
      <c r="M625" s="320" t="s">
        <v>64</v>
      </c>
      <c r="N625" s="188"/>
      <c r="O625" s="188"/>
      <c r="P625" s="188"/>
      <c r="Q625" s="188"/>
      <c r="R625" s="214"/>
      <c r="S625" s="8">
        <v>19</v>
      </c>
      <c r="T625" s="157">
        <v>225.72017561483037</v>
      </c>
      <c r="U625" s="607" t="s">
        <v>64</v>
      </c>
      <c r="V625" s="111"/>
      <c r="W625" s="7">
        <v>0</v>
      </c>
      <c r="X625" s="157">
        <v>0</v>
      </c>
      <c r="Y625" s="7">
        <v>4.32</v>
      </c>
      <c r="Z625" s="157">
        <v>51.321639929266638</v>
      </c>
      <c r="AA625" s="188"/>
      <c r="AB625" s="124"/>
      <c r="AC625" s="7">
        <v>6.4</v>
      </c>
      <c r="AD625" s="7">
        <v>76.032059154469096</v>
      </c>
      <c r="AE625" s="1322"/>
      <c r="AF625" s="1322"/>
      <c r="AG625" s="8">
        <v>19</v>
      </c>
      <c r="AH625" s="157">
        <v>451.44035122966073</v>
      </c>
      <c r="AI625" s="176">
        <f t="shared" si="21"/>
        <v>451.44035122966073</v>
      </c>
      <c r="AJ625" s="976"/>
      <c r="AK625" s="982"/>
      <c r="AL625" s="1313"/>
      <c r="AM625" s="151"/>
      <c r="AN625" s="90"/>
      <c r="AO625" s="128"/>
      <c r="AP625" s="106"/>
    </row>
    <row r="626" spans="1:42" s="69" customFormat="1" ht="15" customHeight="1">
      <c r="A626" s="1015"/>
      <c r="B626" s="916"/>
      <c r="C626" s="386"/>
      <c r="D626" s="223" t="s">
        <v>815</v>
      </c>
      <c r="E626" s="320" t="s">
        <v>64</v>
      </c>
      <c r="F626" s="607" t="s">
        <v>64</v>
      </c>
      <c r="G626" s="479">
        <v>21.739000000000001</v>
      </c>
      <c r="H626" s="320" t="s">
        <v>64</v>
      </c>
      <c r="I626" s="638" t="s">
        <v>64</v>
      </c>
      <c r="J626" s="1048"/>
      <c r="K626" s="1081"/>
      <c r="L626" s="7">
        <v>19</v>
      </c>
      <c r="M626" s="320" t="s">
        <v>64</v>
      </c>
      <c r="N626" s="188"/>
      <c r="O626" s="188"/>
      <c r="P626" s="188"/>
      <c r="Q626" s="188"/>
      <c r="R626" s="214"/>
      <c r="S626" s="8">
        <v>19</v>
      </c>
      <c r="T626" s="157">
        <v>225.72017561483037</v>
      </c>
      <c r="U626" s="607" t="s">
        <v>64</v>
      </c>
      <c r="V626" s="111"/>
      <c r="W626" s="7">
        <v>0</v>
      </c>
      <c r="X626" s="157">
        <v>0</v>
      </c>
      <c r="Y626" s="7">
        <v>4.32</v>
      </c>
      <c r="Z626" s="157">
        <v>51.321639929266638</v>
      </c>
      <c r="AA626" s="188"/>
      <c r="AB626" s="124"/>
      <c r="AC626" s="7">
        <v>6.4</v>
      </c>
      <c r="AD626" s="7">
        <v>76.032059154469096</v>
      </c>
      <c r="AE626" s="1322"/>
      <c r="AF626" s="1322"/>
      <c r="AG626" s="8">
        <v>19</v>
      </c>
      <c r="AH626" s="157">
        <v>451.44035122966073</v>
      </c>
      <c r="AI626" s="176">
        <f t="shared" si="21"/>
        <v>451.44035122966073</v>
      </c>
      <c r="AJ626" s="976"/>
      <c r="AK626" s="982"/>
      <c r="AL626" s="1313"/>
      <c r="AM626" s="151"/>
      <c r="AN626" s="90"/>
      <c r="AO626" s="128"/>
      <c r="AP626" s="106"/>
    </row>
    <row r="627" spans="1:42" s="69" customFormat="1" ht="15" customHeight="1">
      <c r="A627" s="1015"/>
      <c r="B627" s="915"/>
      <c r="C627" s="388"/>
      <c r="D627" s="223" t="s">
        <v>816</v>
      </c>
      <c r="E627" s="320" t="s">
        <v>64</v>
      </c>
      <c r="F627" s="607" t="s">
        <v>64</v>
      </c>
      <c r="G627" s="479">
        <v>43.478000000000002</v>
      </c>
      <c r="H627" s="320" t="s">
        <v>64</v>
      </c>
      <c r="I627" s="638" t="s">
        <v>64</v>
      </c>
      <c r="J627" s="1048"/>
      <c r="K627" s="1081"/>
      <c r="L627" s="7">
        <v>19</v>
      </c>
      <c r="M627" s="320" t="s">
        <v>64</v>
      </c>
      <c r="N627" s="188"/>
      <c r="O627" s="188"/>
      <c r="P627" s="188"/>
      <c r="Q627" s="188"/>
      <c r="R627" s="214"/>
      <c r="S627" s="8">
        <v>19</v>
      </c>
      <c r="T627" s="157">
        <v>225.72017561483037</v>
      </c>
      <c r="U627" s="607" t="s">
        <v>64</v>
      </c>
      <c r="V627" s="111"/>
      <c r="W627" s="7">
        <v>0</v>
      </c>
      <c r="X627" s="157">
        <v>0</v>
      </c>
      <c r="Y627" s="7">
        <v>4.32</v>
      </c>
      <c r="Z627" s="157">
        <v>51.321639929266638</v>
      </c>
      <c r="AA627" s="188"/>
      <c r="AB627" s="124"/>
      <c r="AC627" s="7">
        <v>6.4</v>
      </c>
      <c r="AD627" s="7">
        <v>76.032059154469096</v>
      </c>
      <c r="AE627" s="1322"/>
      <c r="AF627" s="1322"/>
      <c r="AG627" s="8">
        <v>19</v>
      </c>
      <c r="AH627" s="157">
        <v>451.44035122966073</v>
      </c>
      <c r="AI627" s="176">
        <f t="shared" si="21"/>
        <v>451.44035122966073</v>
      </c>
      <c r="AJ627" s="976"/>
      <c r="AK627" s="982"/>
      <c r="AL627" s="1313"/>
      <c r="AM627" s="151"/>
      <c r="AN627" s="90"/>
      <c r="AO627" s="128"/>
      <c r="AP627" s="106"/>
    </row>
    <row r="628" spans="1:42" s="69" customFormat="1" ht="15" customHeight="1">
      <c r="A628" s="1015"/>
      <c r="B628" s="915"/>
      <c r="C628" s="388"/>
      <c r="D628" s="223" t="s">
        <v>820</v>
      </c>
      <c r="E628" s="320" t="s">
        <v>64</v>
      </c>
      <c r="F628" s="607" t="s">
        <v>64</v>
      </c>
      <c r="G628" s="479">
        <v>2173.3333333333335</v>
      </c>
      <c r="H628" s="320" t="s">
        <v>64</v>
      </c>
      <c r="I628" s="638" t="s">
        <v>64</v>
      </c>
      <c r="J628" s="1048"/>
      <c r="K628" s="1081"/>
      <c r="L628" s="7">
        <v>73.333333333333343</v>
      </c>
      <c r="M628" s="320" t="s">
        <v>64</v>
      </c>
      <c r="N628" s="188"/>
      <c r="O628" s="188"/>
      <c r="P628" s="188"/>
      <c r="Q628" s="188"/>
      <c r="R628" s="214"/>
      <c r="S628" s="8">
        <v>73.333333333333343</v>
      </c>
      <c r="T628" s="157">
        <v>871.20067781162629</v>
      </c>
      <c r="U628" s="607" t="s">
        <v>64</v>
      </c>
      <c r="V628" s="111"/>
      <c r="W628" s="7">
        <v>28.253333333333337</v>
      </c>
      <c r="X628" s="157">
        <v>335.64986114233398</v>
      </c>
      <c r="Y628" s="7">
        <v>8.2319999999999993</v>
      </c>
      <c r="Z628" s="157">
        <v>97.796236087435958</v>
      </c>
      <c r="AA628" s="188"/>
      <c r="AB628" s="124"/>
      <c r="AC628" s="7">
        <v>16.832000000000001</v>
      </c>
      <c r="AD628" s="7">
        <v>199.96431557625405</v>
      </c>
      <c r="AE628" s="1322"/>
      <c r="AF628" s="1322"/>
      <c r="AG628" s="8">
        <v>73.333333333333343</v>
      </c>
      <c r="AH628" s="157">
        <v>1742.4013556232526</v>
      </c>
      <c r="AI628" s="176">
        <f t="shared" si="21"/>
        <v>1742.4013556232526</v>
      </c>
      <c r="AJ628" s="976"/>
      <c r="AK628" s="982"/>
      <c r="AL628" s="1313"/>
      <c r="AM628" s="151"/>
      <c r="AN628" s="90"/>
      <c r="AO628" s="128"/>
      <c r="AP628" s="106"/>
    </row>
    <row r="629" spans="1:42" s="69" customFormat="1" ht="15" customHeight="1" thickBot="1">
      <c r="A629" s="1015"/>
      <c r="B629" s="917"/>
      <c r="C629" s="390"/>
      <c r="D629" s="224" t="s">
        <v>821</v>
      </c>
      <c r="E629" s="226" t="s">
        <v>64</v>
      </c>
      <c r="F629" s="229" t="s">
        <v>64</v>
      </c>
      <c r="G629" s="435">
        <v>869.33333333333348</v>
      </c>
      <c r="H629" s="226" t="s">
        <v>64</v>
      </c>
      <c r="I629" s="641" t="s">
        <v>64</v>
      </c>
      <c r="J629" s="1048"/>
      <c r="K629" s="1081"/>
      <c r="L629" s="28">
        <v>19</v>
      </c>
      <c r="M629" s="226" t="s">
        <v>64</v>
      </c>
      <c r="N629" s="116"/>
      <c r="O629" s="116"/>
      <c r="P629" s="116"/>
      <c r="Q629" s="116"/>
      <c r="R629" s="175"/>
      <c r="S629" s="29">
        <v>19</v>
      </c>
      <c r="T629" s="118">
        <v>225.72017561483037</v>
      </c>
      <c r="U629" s="229" t="s">
        <v>64</v>
      </c>
      <c r="V629" s="45"/>
      <c r="W629" s="28">
        <v>0</v>
      </c>
      <c r="X629" s="118">
        <v>0</v>
      </c>
      <c r="Y629" s="28">
        <v>4.32</v>
      </c>
      <c r="Z629" s="118">
        <v>51.321639929266638</v>
      </c>
      <c r="AA629" s="116"/>
      <c r="AB629" s="792"/>
      <c r="AC629" s="28">
        <v>6.4</v>
      </c>
      <c r="AD629" s="28">
        <v>76.032059154469096</v>
      </c>
      <c r="AE629" s="1322"/>
      <c r="AF629" s="1322"/>
      <c r="AG629" s="29">
        <v>19</v>
      </c>
      <c r="AH629" s="118">
        <v>451.44035122966073</v>
      </c>
      <c r="AI629" s="180">
        <f t="shared" si="21"/>
        <v>451.44035122966073</v>
      </c>
      <c r="AJ629" s="976"/>
      <c r="AK629" s="983"/>
      <c r="AL629" s="1313"/>
      <c r="AM629" s="151"/>
      <c r="AN629" s="90"/>
      <c r="AO629" s="128"/>
      <c r="AP629" s="106"/>
    </row>
    <row r="630" spans="1:42" s="69" customFormat="1" ht="15" customHeight="1">
      <c r="A630" s="1015"/>
      <c r="B630" s="232" t="s">
        <v>151</v>
      </c>
      <c r="C630" s="912" t="s">
        <v>151</v>
      </c>
      <c r="D630" s="923" t="s">
        <v>600</v>
      </c>
      <c r="E630" s="240" t="s">
        <v>584</v>
      </c>
      <c r="F630" s="240" t="s">
        <v>0</v>
      </c>
      <c r="G630" s="433">
        <v>7300.8</v>
      </c>
      <c r="H630" s="225" t="s">
        <v>221</v>
      </c>
      <c r="I630" s="790"/>
      <c r="J630" s="1048"/>
      <c r="K630" s="1081"/>
      <c r="L630" s="120">
        <v>474.22</v>
      </c>
      <c r="M630" s="8">
        <v>57.5</v>
      </c>
      <c r="N630" s="115"/>
      <c r="O630" s="115"/>
      <c r="P630" s="115"/>
      <c r="Q630" s="115"/>
      <c r="R630" s="174"/>
      <c r="S630" s="12">
        <v>416.72</v>
      </c>
      <c r="T630" s="117">
        <v>3482.1510902814698</v>
      </c>
      <c r="U630" s="791">
        <v>16.899999999999999</v>
      </c>
      <c r="V630" s="44"/>
      <c r="W630" s="120">
        <v>94.91040000000001</v>
      </c>
      <c r="X630" s="117">
        <v>793.08013255675405</v>
      </c>
      <c r="Y630" s="120">
        <v>15.641439999999999</v>
      </c>
      <c r="Z630" s="117">
        <v>130.70132786900615</v>
      </c>
      <c r="AA630" s="115"/>
      <c r="AB630" s="557"/>
      <c r="AC630" s="120">
        <v>127.52384000000001</v>
      </c>
      <c r="AD630" s="120">
        <v>1065.6010714457666</v>
      </c>
      <c r="AE630" s="1322"/>
      <c r="AF630" s="1322"/>
      <c r="AG630" s="12">
        <v>416.72</v>
      </c>
      <c r="AH630" s="117">
        <v>7209.3542915734006</v>
      </c>
      <c r="AI630" s="177">
        <f t="shared" si="21"/>
        <v>7209.3542915734006</v>
      </c>
      <c r="AJ630" s="976"/>
      <c r="AK630" s="981">
        <f>SUM(AI630:AI640)</f>
        <v>12180.743602371353</v>
      </c>
      <c r="AL630" s="1313"/>
      <c r="AM630" s="151"/>
      <c r="AN630" s="90"/>
      <c r="AO630" s="128"/>
      <c r="AP630" s="106"/>
    </row>
    <row r="631" spans="1:42" s="69" customFormat="1" ht="15.75" customHeight="1">
      <c r="A631" s="1015"/>
      <c r="B631" s="913"/>
      <c r="C631" s="388"/>
      <c r="D631" s="223" t="s">
        <v>809</v>
      </c>
      <c r="E631" s="320" t="s">
        <v>64</v>
      </c>
      <c r="F631" s="607" t="s">
        <v>64</v>
      </c>
      <c r="G631" s="431">
        <v>1460.16</v>
      </c>
      <c r="H631" s="320" t="s">
        <v>64</v>
      </c>
      <c r="I631" s="638" t="s">
        <v>64</v>
      </c>
      <c r="J631" s="1048"/>
      <c r="K631" s="1081"/>
      <c r="L631" s="7">
        <v>23</v>
      </c>
      <c r="M631" s="320" t="s">
        <v>64</v>
      </c>
      <c r="N631" s="188"/>
      <c r="O631" s="188"/>
      <c r="P631" s="188"/>
      <c r="Q631" s="188"/>
      <c r="R631" s="214"/>
      <c r="S631" s="8">
        <v>23</v>
      </c>
      <c r="T631" s="157">
        <v>192.19013984563668</v>
      </c>
      <c r="U631" s="607" t="s">
        <v>64</v>
      </c>
      <c r="V631" s="111"/>
      <c r="W631" s="7">
        <v>0</v>
      </c>
      <c r="X631" s="157">
        <v>0</v>
      </c>
      <c r="Y631" s="7">
        <v>4.32</v>
      </c>
      <c r="Z631" s="157">
        <v>36.098321918832674</v>
      </c>
      <c r="AA631" s="188"/>
      <c r="AB631" s="124"/>
      <c r="AC631" s="7">
        <v>8</v>
      </c>
      <c r="AD631" s="7">
        <v>66.84874429413459</v>
      </c>
      <c r="AE631" s="1322"/>
      <c r="AF631" s="1322"/>
      <c r="AG631" s="8">
        <v>23</v>
      </c>
      <c r="AH631" s="157">
        <v>384.38027969127336</v>
      </c>
      <c r="AI631" s="176">
        <f t="shared" si="21"/>
        <v>384.38027969127336</v>
      </c>
      <c r="AJ631" s="976"/>
      <c r="AK631" s="982"/>
      <c r="AL631" s="1313"/>
      <c r="AM631" s="151"/>
      <c r="AN631" s="90"/>
      <c r="AO631" s="128"/>
      <c r="AP631" s="106"/>
    </row>
    <row r="632" spans="1:42" s="69" customFormat="1" ht="15" customHeight="1">
      <c r="A632" s="1015"/>
      <c r="B632" s="788"/>
      <c r="C632" s="388"/>
      <c r="D632" s="223" t="s">
        <v>810</v>
      </c>
      <c r="E632" s="320" t="s">
        <v>64</v>
      </c>
      <c r="F632" s="607" t="s">
        <v>64</v>
      </c>
      <c r="G632" s="426">
        <v>2920.32</v>
      </c>
      <c r="H632" s="320" t="s">
        <v>64</v>
      </c>
      <c r="I632" s="638" t="s">
        <v>64</v>
      </c>
      <c r="J632" s="1048"/>
      <c r="K632" s="1081"/>
      <c r="L632" s="7">
        <v>35</v>
      </c>
      <c r="M632" s="320" t="s">
        <v>64</v>
      </c>
      <c r="N632" s="188"/>
      <c r="O632" s="188"/>
      <c r="P632" s="188"/>
      <c r="Q632" s="188"/>
      <c r="R632" s="214"/>
      <c r="S632" s="8">
        <v>35</v>
      </c>
      <c r="T632" s="157">
        <v>292.46325628683906</v>
      </c>
      <c r="U632" s="607" t="s">
        <v>64</v>
      </c>
      <c r="V632" s="7"/>
      <c r="W632" s="7">
        <v>0</v>
      </c>
      <c r="X632" s="157">
        <v>0</v>
      </c>
      <c r="Y632" s="7">
        <v>7.32</v>
      </c>
      <c r="Z632" s="157">
        <v>61.166601029133169</v>
      </c>
      <c r="AA632" s="601"/>
      <c r="AB632" s="601"/>
      <c r="AC632" s="7">
        <v>11.600000000000001</v>
      </c>
      <c r="AD632" s="7">
        <v>96.930679226495258</v>
      </c>
      <c r="AE632" s="1322"/>
      <c r="AF632" s="1322"/>
      <c r="AG632" s="8">
        <v>35</v>
      </c>
      <c r="AH632" s="157">
        <v>584.92651257367811</v>
      </c>
      <c r="AI632" s="176">
        <f t="shared" si="21"/>
        <v>584.92651257367811</v>
      </c>
      <c r="AJ632" s="976"/>
      <c r="AK632" s="982"/>
      <c r="AL632" s="1313"/>
      <c r="AM632" s="151"/>
      <c r="AN632" s="90"/>
      <c r="AO632" s="128"/>
      <c r="AP632" s="106"/>
    </row>
    <row r="633" spans="1:42" s="69" customFormat="1" ht="15" customHeight="1">
      <c r="A633" s="1015"/>
      <c r="B633" s="913"/>
      <c r="C633" s="388"/>
      <c r="D633" s="223" t="s">
        <v>811</v>
      </c>
      <c r="E633" s="320" t="s">
        <v>64</v>
      </c>
      <c r="F633" s="607" t="s">
        <v>64</v>
      </c>
      <c r="G633" s="426">
        <v>4380.4800000000005</v>
      </c>
      <c r="H633" s="320" t="s">
        <v>64</v>
      </c>
      <c r="I633" s="638" t="s">
        <v>64</v>
      </c>
      <c r="J633" s="1048"/>
      <c r="K633" s="1081"/>
      <c r="L633" s="7">
        <v>23</v>
      </c>
      <c r="M633" s="320" t="s">
        <v>64</v>
      </c>
      <c r="N633" s="188"/>
      <c r="O633" s="188"/>
      <c r="P633" s="188"/>
      <c r="Q633" s="188"/>
      <c r="R633" s="214"/>
      <c r="S633" s="8">
        <v>23</v>
      </c>
      <c r="T633" s="157">
        <v>192.19013984563668</v>
      </c>
      <c r="U633" s="607" t="s">
        <v>64</v>
      </c>
      <c r="V633" s="7"/>
      <c r="W633" s="7">
        <v>0</v>
      </c>
      <c r="X633" s="157">
        <v>0</v>
      </c>
      <c r="Y633" s="7">
        <v>4.32</v>
      </c>
      <c r="Z633" s="157">
        <v>36.098321918832674</v>
      </c>
      <c r="AA633" s="601"/>
      <c r="AB633" s="601"/>
      <c r="AC633" s="7">
        <v>8</v>
      </c>
      <c r="AD633" s="7">
        <v>66.84874429413459</v>
      </c>
      <c r="AE633" s="1322"/>
      <c r="AF633" s="1322"/>
      <c r="AG633" s="8">
        <v>23</v>
      </c>
      <c r="AH633" s="157">
        <v>384.38027969127336</v>
      </c>
      <c r="AI633" s="176">
        <f t="shared" si="21"/>
        <v>384.38027969127336</v>
      </c>
      <c r="AJ633" s="976"/>
      <c r="AK633" s="982"/>
      <c r="AL633" s="1313"/>
      <c r="AM633" s="151"/>
      <c r="AN633" s="90"/>
      <c r="AO633" s="128"/>
      <c r="AP633" s="106"/>
    </row>
    <row r="634" spans="1:42" s="69" customFormat="1" ht="15" customHeight="1">
      <c r="A634" s="1015"/>
      <c r="B634" s="913"/>
      <c r="C634" s="388"/>
      <c r="D634" s="223" t="s">
        <v>812</v>
      </c>
      <c r="E634" s="320" t="s">
        <v>64</v>
      </c>
      <c r="F634" s="607" t="s">
        <v>64</v>
      </c>
      <c r="G634" s="427">
        <v>217.39</v>
      </c>
      <c r="H634" s="320" t="s">
        <v>64</v>
      </c>
      <c r="I634" s="638" t="s">
        <v>64</v>
      </c>
      <c r="J634" s="1048"/>
      <c r="K634" s="1081"/>
      <c r="L634" s="7">
        <v>32.434750000000001</v>
      </c>
      <c r="M634" s="320" t="s">
        <v>64</v>
      </c>
      <c r="N634" s="188"/>
      <c r="O634" s="188"/>
      <c r="P634" s="188"/>
      <c r="Q634" s="188"/>
      <c r="R634" s="214"/>
      <c r="S634" s="8">
        <v>32.434750000000001</v>
      </c>
      <c r="T634" s="157">
        <v>271.02778862427289</v>
      </c>
      <c r="U634" s="607" t="s">
        <v>64</v>
      </c>
      <c r="V634" s="7"/>
      <c r="W634" s="7">
        <v>2.8260700000000001</v>
      </c>
      <c r="X634" s="157">
        <v>23.614903848415612</v>
      </c>
      <c r="Y634" s="7">
        <v>4.7113019999999999</v>
      </c>
      <c r="Z634" s="157">
        <v>39.368077836305645</v>
      </c>
      <c r="AA634" s="601"/>
      <c r="AB634" s="601"/>
      <c r="AC634" s="7">
        <v>10.643472000000001</v>
      </c>
      <c r="AD634" s="7">
        <v>88.937842266222745</v>
      </c>
      <c r="AE634" s="1322"/>
      <c r="AF634" s="1322"/>
      <c r="AG634" s="8">
        <v>32.434750000000001</v>
      </c>
      <c r="AH634" s="157">
        <v>542.05557724854577</v>
      </c>
      <c r="AI634" s="176">
        <f t="shared" si="21"/>
        <v>542.05557724854577</v>
      </c>
      <c r="AJ634" s="976"/>
      <c r="AK634" s="982"/>
      <c r="AL634" s="1313"/>
      <c r="AM634" s="151"/>
      <c r="AN634" s="90"/>
      <c r="AO634" s="128"/>
      <c r="AP634" s="106"/>
    </row>
    <row r="635" spans="1:42" s="69" customFormat="1" ht="15" customHeight="1">
      <c r="A635" s="1015"/>
      <c r="B635" s="913"/>
      <c r="C635" s="388"/>
      <c r="D635" s="223" t="s">
        <v>813</v>
      </c>
      <c r="E635" s="320" t="s">
        <v>64</v>
      </c>
      <c r="F635" s="228" t="s">
        <v>64</v>
      </c>
      <c r="G635" s="427">
        <v>434.78</v>
      </c>
      <c r="H635" s="320" t="s">
        <v>64</v>
      </c>
      <c r="I635" s="638" t="s">
        <v>64</v>
      </c>
      <c r="J635" s="1048"/>
      <c r="K635" s="1081"/>
      <c r="L635" s="7">
        <v>37.869500000000002</v>
      </c>
      <c r="M635" s="320" t="s">
        <v>64</v>
      </c>
      <c r="N635" s="188"/>
      <c r="O635" s="188"/>
      <c r="P635" s="188"/>
      <c r="Q635" s="188"/>
      <c r="R635" s="214"/>
      <c r="S635" s="8">
        <v>37.869500000000002</v>
      </c>
      <c r="T635" s="157">
        <v>316.44106525584107</v>
      </c>
      <c r="U635" s="607" t="s">
        <v>64</v>
      </c>
      <c r="V635" s="111"/>
      <c r="W635" s="7">
        <v>5.6521400000000002</v>
      </c>
      <c r="X635" s="157">
        <v>47.229807696831223</v>
      </c>
      <c r="Y635" s="7">
        <v>5.1026039999999995</v>
      </c>
      <c r="Z635" s="157">
        <v>42.637833753778558</v>
      </c>
      <c r="AA635" s="188"/>
      <c r="AB635" s="124"/>
      <c r="AC635" s="7">
        <v>11.686944</v>
      </c>
      <c r="AD635" s="7">
        <v>97.657191379483763</v>
      </c>
      <c r="AE635" s="1322"/>
      <c r="AF635" s="1322"/>
      <c r="AG635" s="8">
        <v>37.869500000000002</v>
      </c>
      <c r="AH635" s="157">
        <v>632.88213051168213</v>
      </c>
      <c r="AI635" s="176">
        <f t="shared" si="21"/>
        <v>632.88213051168213</v>
      </c>
      <c r="AJ635" s="976"/>
      <c r="AK635" s="982"/>
      <c r="AL635" s="1313"/>
      <c r="AM635" s="151"/>
      <c r="AN635" s="90"/>
      <c r="AO635" s="128"/>
      <c r="AP635" s="106"/>
    </row>
    <row r="636" spans="1:42" s="69" customFormat="1" ht="15" customHeight="1">
      <c r="A636" s="1015"/>
      <c r="B636" s="913"/>
      <c r="C636" s="388"/>
      <c r="D636" s="223" t="s">
        <v>814</v>
      </c>
      <c r="E636" s="320" t="s">
        <v>64</v>
      </c>
      <c r="F636" s="228" t="s">
        <v>64</v>
      </c>
      <c r="G636" s="479">
        <v>21.739000000000001</v>
      </c>
      <c r="H636" s="320" t="s">
        <v>64</v>
      </c>
      <c r="I636" s="638" t="s">
        <v>64</v>
      </c>
      <c r="J636" s="1048"/>
      <c r="K636" s="1081"/>
      <c r="L636" s="7">
        <v>23</v>
      </c>
      <c r="M636" s="320" t="s">
        <v>64</v>
      </c>
      <c r="N636" s="188"/>
      <c r="O636" s="188"/>
      <c r="P636" s="188"/>
      <c r="Q636" s="188"/>
      <c r="R636" s="214"/>
      <c r="S636" s="8">
        <v>23</v>
      </c>
      <c r="T636" s="157">
        <v>192.19013984563668</v>
      </c>
      <c r="U636" s="607" t="s">
        <v>64</v>
      </c>
      <c r="V636" s="111"/>
      <c r="W636" s="7">
        <v>0</v>
      </c>
      <c r="X636" s="157">
        <v>0</v>
      </c>
      <c r="Y636" s="7">
        <v>4.32</v>
      </c>
      <c r="Z636" s="157">
        <v>36.098321918832674</v>
      </c>
      <c r="AA636" s="188"/>
      <c r="AB636" s="124"/>
      <c r="AC636" s="7">
        <v>8</v>
      </c>
      <c r="AD636" s="7">
        <v>66.84874429413459</v>
      </c>
      <c r="AE636" s="1322"/>
      <c r="AF636" s="1322"/>
      <c r="AG636" s="8">
        <v>23</v>
      </c>
      <c r="AH636" s="157">
        <v>384.38027969127336</v>
      </c>
      <c r="AI636" s="176">
        <f t="shared" si="21"/>
        <v>384.38027969127336</v>
      </c>
      <c r="AJ636" s="976"/>
      <c r="AK636" s="982"/>
      <c r="AL636" s="1313"/>
      <c r="AM636" s="151"/>
      <c r="AN636" s="90"/>
      <c r="AO636" s="128"/>
      <c r="AP636" s="106"/>
    </row>
    <row r="637" spans="1:42" s="69" customFormat="1" ht="15" customHeight="1">
      <c r="A637" s="1015"/>
      <c r="B637" s="913"/>
      <c r="C637" s="388"/>
      <c r="D637" s="223" t="s">
        <v>815</v>
      </c>
      <c r="E637" s="320" t="s">
        <v>64</v>
      </c>
      <c r="F637" s="228" t="s">
        <v>64</v>
      </c>
      <c r="G637" s="434">
        <v>43.478000000000002</v>
      </c>
      <c r="H637" s="320" t="s">
        <v>64</v>
      </c>
      <c r="I637" s="638" t="s">
        <v>64</v>
      </c>
      <c r="J637" s="1048"/>
      <c r="K637" s="1081"/>
      <c r="L637" s="7">
        <v>23</v>
      </c>
      <c r="M637" s="320" t="s">
        <v>64</v>
      </c>
      <c r="N637" s="188"/>
      <c r="O637" s="188"/>
      <c r="P637" s="188"/>
      <c r="Q637" s="188"/>
      <c r="R637" s="214"/>
      <c r="S637" s="8">
        <v>23</v>
      </c>
      <c r="T637" s="157">
        <v>192.19013984563668</v>
      </c>
      <c r="U637" s="607" t="s">
        <v>64</v>
      </c>
      <c r="V637" s="111"/>
      <c r="W637" s="7">
        <v>0</v>
      </c>
      <c r="X637" s="157">
        <v>0</v>
      </c>
      <c r="Y637" s="7">
        <v>4.32</v>
      </c>
      <c r="Z637" s="157">
        <v>36.098321918832674</v>
      </c>
      <c r="AA637" s="188"/>
      <c r="AB637" s="124"/>
      <c r="AC637" s="7">
        <v>8</v>
      </c>
      <c r="AD637" s="7">
        <v>66.84874429413459</v>
      </c>
      <c r="AE637" s="1322"/>
      <c r="AF637" s="1322"/>
      <c r="AG637" s="8">
        <v>23</v>
      </c>
      <c r="AH637" s="157">
        <v>384.38027969127336</v>
      </c>
      <c r="AI637" s="176">
        <f t="shared" si="21"/>
        <v>384.38027969127336</v>
      </c>
      <c r="AJ637" s="976"/>
      <c r="AK637" s="982"/>
      <c r="AL637" s="1313"/>
      <c r="AM637" s="151"/>
      <c r="AN637" s="90"/>
      <c r="AO637" s="128"/>
      <c r="AP637" s="106"/>
    </row>
    <row r="638" spans="1:42" s="69" customFormat="1" ht="15" customHeight="1">
      <c r="A638" s="1015"/>
      <c r="B638" s="913"/>
      <c r="C638" s="388"/>
      <c r="D638" s="223" t="s">
        <v>816</v>
      </c>
      <c r="E638" s="225" t="s">
        <v>64</v>
      </c>
      <c r="F638" s="228" t="s">
        <v>64</v>
      </c>
      <c r="G638" s="434">
        <v>65.216999999999999</v>
      </c>
      <c r="H638" s="320" t="s">
        <v>64</v>
      </c>
      <c r="I638" s="638" t="s">
        <v>64</v>
      </c>
      <c r="J638" s="1048"/>
      <c r="K638" s="1081"/>
      <c r="L638" s="7">
        <v>23</v>
      </c>
      <c r="M638" s="320" t="s">
        <v>64</v>
      </c>
      <c r="N638" s="188"/>
      <c r="O638" s="188"/>
      <c r="P638" s="188"/>
      <c r="Q638" s="188"/>
      <c r="R638" s="214"/>
      <c r="S638" s="8">
        <v>23</v>
      </c>
      <c r="T638" s="157">
        <v>192.19013984563668</v>
      </c>
      <c r="U638" s="607" t="s">
        <v>64</v>
      </c>
      <c r="V638" s="111"/>
      <c r="W638" s="7">
        <v>0</v>
      </c>
      <c r="X638" s="157">
        <v>0</v>
      </c>
      <c r="Y638" s="7">
        <v>4.32</v>
      </c>
      <c r="Z638" s="157">
        <v>36.098321918832674</v>
      </c>
      <c r="AA638" s="188"/>
      <c r="AB638" s="124"/>
      <c r="AC638" s="7">
        <v>8</v>
      </c>
      <c r="AD638" s="7">
        <v>66.84874429413459</v>
      </c>
      <c r="AE638" s="1322"/>
      <c r="AF638" s="1322"/>
      <c r="AG638" s="8">
        <v>23</v>
      </c>
      <c r="AH638" s="157">
        <v>384.38027969127336</v>
      </c>
      <c r="AI638" s="176">
        <f t="shared" si="21"/>
        <v>384.38027969127336</v>
      </c>
      <c r="AJ638" s="976"/>
      <c r="AK638" s="982"/>
      <c r="AL638" s="1313"/>
      <c r="AM638" s="151"/>
      <c r="AN638" s="90"/>
      <c r="AO638" s="128"/>
      <c r="AP638" s="106"/>
    </row>
    <row r="639" spans="1:42" s="69" customFormat="1" ht="15" customHeight="1">
      <c r="A639" s="1015"/>
      <c r="B639" s="913"/>
      <c r="C639" s="388"/>
      <c r="D639" s="223" t="s">
        <v>820</v>
      </c>
      <c r="E639" s="225" t="s">
        <v>64</v>
      </c>
      <c r="F639" s="228" t="s">
        <v>64</v>
      </c>
      <c r="G639" s="434">
        <v>1086.6666666666667</v>
      </c>
      <c r="H639" s="320" t="s">
        <v>64</v>
      </c>
      <c r="I639" s="638" t="s">
        <v>64</v>
      </c>
      <c r="J639" s="1048"/>
      <c r="K639" s="1081"/>
      <c r="L639" s="7">
        <v>54.166666666666671</v>
      </c>
      <c r="M639" s="320" t="s">
        <v>64</v>
      </c>
      <c r="N639" s="188"/>
      <c r="O639" s="188"/>
      <c r="P639" s="188"/>
      <c r="Q639" s="188"/>
      <c r="R639" s="214"/>
      <c r="S639" s="8">
        <v>54.166666666666671</v>
      </c>
      <c r="T639" s="157">
        <v>452.62170615820315</v>
      </c>
      <c r="U639" s="607" t="s">
        <v>64</v>
      </c>
      <c r="V639" s="111"/>
      <c r="W639" s="7">
        <v>14.126666666666669</v>
      </c>
      <c r="X639" s="157">
        <v>118.04374096605946</v>
      </c>
      <c r="Y639" s="7">
        <v>6.2759999999999998</v>
      </c>
      <c r="Z639" s="157">
        <v>52.442839898748602</v>
      </c>
      <c r="AA639" s="188"/>
      <c r="AB639" s="124"/>
      <c r="AC639" s="7">
        <v>14.816000000000001</v>
      </c>
      <c r="AD639" s="7">
        <v>123.80387443273715</v>
      </c>
      <c r="AE639" s="1322"/>
      <c r="AF639" s="1322"/>
      <c r="AG639" s="8">
        <v>54.166666666666671</v>
      </c>
      <c r="AH639" s="157">
        <v>905.24341231640631</v>
      </c>
      <c r="AI639" s="176">
        <f t="shared" si="21"/>
        <v>905.24341231640631</v>
      </c>
      <c r="AJ639" s="976"/>
      <c r="AK639" s="982"/>
      <c r="AL639" s="1313"/>
      <c r="AM639" s="151"/>
      <c r="AN639" s="90"/>
      <c r="AO639" s="128"/>
      <c r="AP639" s="106"/>
    </row>
    <row r="640" spans="1:42" s="69" customFormat="1" ht="15" customHeight="1" thickBot="1">
      <c r="A640" s="1015"/>
      <c r="B640" s="914"/>
      <c r="C640" s="390"/>
      <c r="D640" s="224" t="s">
        <v>821</v>
      </c>
      <c r="E640" s="226" t="s">
        <v>64</v>
      </c>
      <c r="F640" s="229" t="s">
        <v>64</v>
      </c>
      <c r="G640" s="435">
        <v>434.66666666666674</v>
      </c>
      <c r="H640" s="226" t="s">
        <v>64</v>
      </c>
      <c r="I640" s="641" t="s">
        <v>64</v>
      </c>
      <c r="J640" s="1049"/>
      <c r="K640" s="1102"/>
      <c r="L640" s="28">
        <v>23</v>
      </c>
      <c r="M640" s="226" t="s">
        <v>64</v>
      </c>
      <c r="N640" s="116"/>
      <c r="O640" s="116"/>
      <c r="P640" s="116"/>
      <c r="Q640" s="116"/>
      <c r="R640" s="175"/>
      <c r="S640" s="29">
        <v>23</v>
      </c>
      <c r="T640" s="118">
        <v>192.19013984563668</v>
      </c>
      <c r="U640" s="229" t="s">
        <v>64</v>
      </c>
      <c r="V640" s="45"/>
      <c r="W640" s="28">
        <v>0</v>
      </c>
      <c r="X640" s="118">
        <v>0</v>
      </c>
      <c r="Y640" s="28">
        <v>4.32</v>
      </c>
      <c r="Z640" s="118">
        <v>36.098321918832674</v>
      </c>
      <c r="AA640" s="116"/>
      <c r="AB640" s="792"/>
      <c r="AC640" s="28">
        <v>8</v>
      </c>
      <c r="AD640" s="28">
        <v>66.84874429413459</v>
      </c>
      <c r="AE640" s="1322"/>
      <c r="AF640" s="1322"/>
      <c r="AG640" s="29">
        <v>23</v>
      </c>
      <c r="AH640" s="118">
        <v>384.38027969127336</v>
      </c>
      <c r="AI640" s="180">
        <f t="shared" si="21"/>
        <v>384.38027969127336</v>
      </c>
      <c r="AJ640" s="976"/>
      <c r="AK640" s="982"/>
      <c r="AL640" s="1313"/>
      <c r="AM640" s="151"/>
      <c r="AN640" s="90"/>
      <c r="AO640" s="128"/>
      <c r="AP640" s="106"/>
    </row>
    <row r="641" spans="1:42" s="69" customFormat="1" ht="15" customHeight="1">
      <c r="A641" s="1015"/>
      <c r="B641" s="465" t="s">
        <v>151</v>
      </c>
      <c r="C641" s="386" t="s">
        <v>151</v>
      </c>
      <c r="D641" s="222" t="s">
        <v>601</v>
      </c>
      <c r="E641" s="240" t="s">
        <v>584</v>
      </c>
      <c r="F641" s="240" t="s">
        <v>0</v>
      </c>
      <c r="G641" s="433">
        <v>8195.0399999999991</v>
      </c>
      <c r="H641" s="225" t="s">
        <v>221</v>
      </c>
      <c r="I641" s="790"/>
      <c r="J641" s="1047" t="s">
        <v>602</v>
      </c>
      <c r="K641" s="1082" t="s">
        <v>603</v>
      </c>
      <c r="L641" s="120">
        <v>330.37599999999998</v>
      </c>
      <c r="M641" s="8">
        <v>49.5</v>
      </c>
      <c r="N641" s="115"/>
      <c r="O641" s="115"/>
      <c r="P641" s="115"/>
      <c r="Q641" s="115"/>
      <c r="R641" s="174"/>
      <c r="S641" s="12">
        <v>280.87599999999998</v>
      </c>
      <c r="T641" s="117">
        <v>2347.0259877949184</v>
      </c>
      <c r="U641" s="791">
        <v>32.5</v>
      </c>
      <c r="V641" s="44"/>
      <c r="W641" s="120">
        <v>106.53551999999999</v>
      </c>
      <c r="X641" s="117">
        <v>890.22071684033358</v>
      </c>
      <c r="Y641" s="120">
        <v>17.251071999999997</v>
      </c>
      <c r="Z641" s="117">
        <v>144.151562615963</v>
      </c>
      <c r="AA641" s="115"/>
      <c r="AB641" s="557"/>
      <c r="AC641" s="120">
        <v>68.536192</v>
      </c>
      <c r="AD641" s="120">
        <v>572.694796737714</v>
      </c>
      <c r="AE641" s="1322"/>
      <c r="AF641" s="1322"/>
      <c r="AG641" s="12">
        <v>280.87599999999998</v>
      </c>
      <c r="AH641" s="117">
        <v>5165.3060352253397</v>
      </c>
      <c r="AI641" s="177">
        <f t="shared" si="21"/>
        <v>5165.3060352253397</v>
      </c>
      <c r="AJ641" s="976"/>
      <c r="AK641" s="981">
        <f>SUM(AI641:AI664)</f>
        <v>49192.509662225872</v>
      </c>
      <c r="AL641" s="1313"/>
      <c r="AM641" s="151"/>
      <c r="AN641" s="90"/>
      <c r="AO641" s="128"/>
      <c r="AP641" s="106"/>
    </row>
    <row r="642" spans="1:42" s="69" customFormat="1" ht="15.75" customHeight="1">
      <c r="A642" s="1015"/>
      <c r="B642" s="786"/>
      <c r="C642" s="388"/>
      <c r="D642" s="223" t="s">
        <v>809</v>
      </c>
      <c r="E642" s="320" t="s">
        <v>64</v>
      </c>
      <c r="F642" s="607" t="s">
        <v>64</v>
      </c>
      <c r="G642" s="431">
        <v>2731.68</v>
      </c>
      <c r="H642" s="320" t="s">
        <v>64</v>
      </c>
      <c r="I642" s="638" t="s">
        <v>64</v>
      </c>
      <c r="J642" s="1048"/>
      <c r="K642" s="1081"/>
      <c r="L642" s="7">
        <v>35</v>
      </c>
      <c r="M642" s="320" t="s">
        <v>64</v>
      </c>
      <c r="N642" s="188"/>
      <c r="O642" s="188"/>
      <c r="P642" s="188"/>
      <c r="Q642" s="188"/>
      <c r="R642" s="214"/>
      <c r="S642" s="8">
        <v>35</v>
      </c>
      <c r="T642" s="157">
        <v>292.46325628683906</v>
      </c>
      <c r="U642" s="607" t="s">
        <v>64</v>
      </c>
      <c r="V642" s="111"/>
      <c r="W642" s="7">
        <v>0</v>
      </c>
      <c r="X642" s="157">
        <v>0</v>
      </c>
      <c r="Y642" s="7">
        <v>4.32</v>
      </c>
      <c r="Z642" s="157">
        <v>36.098321918832674</v>
      </c>
      <c r="AA642" s="188"/>
      <c r="AB642" s="124"/>
      <c r="AC642" s="7">
        <v>12.8</v>
      </c>
      <c r="AD642" s="7">
        <v>106.95799087061526</v>
      </c>
      <c r="AE642" s="1322"/>
      <c r="AF642" s="1322"/>
      <c r="AG642" s="8">
        <v>35</v>
      </c>
      <c r="AH642" s="157">
        <v>584.92651257367811</v>
      </c>
      <c r="AI642" s="176">
        <f t="shared" si="21"/>
        <v>584.92651257367811</v>
      </c>
      <c r="AJ642" s="976"/>
      <c r="AK642" s="982"/>
      <c r="AL642" s="1313"/>
      <c r="AM642" s="151"/>
      <c r="AN642" s="90"/>
      <c r="AO642" s="128"/>
      <c r="AP642" s="106"/>
    </row>
    <row r="643" spans="1:42" s="69" customFormat="1" ht="15" customHeight="1">
      <c r="A643" s="1015"/>
      <c r="B643" s="786"/>
      <c r="C643" s="388"/>
      <c r="D643" s="518" t="s">
        <v>861</v>
      </c>
      <c r="E643" s="320" t="s">
        <v>64</v>
      </c>
      <c r="F643" s="607" t="s">
        <v>64</v>
      </c>
      <c r="G643" s="426">
        <v>380</v>
      </c>
      <c r="H643" s="320" t="s">
        <v>64</v>
      </c>
      <c r="I643" s="638" t="s">
        <v>64</v>
      </c>
      <c r="J643" s="1048"/>
      <c r="K643" s="1081"/>
      <c r="L643" s="7">
        <v>59</v>
      </c>
      <c r="M643" s="320" t="s">
        <v>64</v>
      </c>
      <c r="N643" s="188"/>
      <c r="O643" s="188"/>
      <c r="P643" s="188"/>
      <c r="Q643" s="188"/>
      <c r="R643" s="214"/>
      <c r="S643" s="8">
        <v>59</v>
      </c>
      <c r="T643" s="157">
        <v>493.00948916924352</v>
      </c>
      <c r="U643" s="607" t="s">
        <v>64</v>
      </c>
      <c r="V643" s="7"/>
      <c r="W643" s="7">
        <v>0</v>
      </c>
      <c r="X643" s="157">
        <v>0</v>
      </c>
      <c r="Y643" s="7">
        <v>7.32</v>
      </c>
      <c r="Z643" s="157">
        <v>61.166601029133169</v>
      </c>
      <c r="AA643" s="601"/>
      <c r="AB643" s="601"/>
      <c r="AC643" s="7">
        <v>21.200000000000003</v>
      </c>
      <c r="AD643" s="7">
        <v>177.14917237945693</v>
      </c>
      <c r="AE643" s="1322"/>
      <c r="AF643" s="1322"/>
      <c r="AG643" s="8">
        <v>59</v>
      </c>
      <c r="AH643" s="157">
        <v>986.01897833848705</v>
      </c>
      <c r="AI643" s="176">
        <f t="shared" si="21"/>
        <v>986.01897833848705</v>
      </c>
      <c r="AJ643" s="976"/>
      <c r="AK643" s="982"/>
      <c r="AL643" s="1313"/>
      <c r="AM643" s="151"/>
      <c r="AN643" s="90"/>
      <c r="AO643" s="128"/>
      <c r="AP643" s="106"/>
    </row>
    <row r="644" spans="1:42" s="69" customFormat="1" ht="15" customHeight="1">
      <c r="A644" s="1015"/>
      <c r="B644" s="786"/>
      <c r="C644" s="388"/>
      <c r="D644" s="223" t="s">
        <v>810</v>
      </c>
      <c r="E644" s="320" t="s">
        <v>64</v>
      </c>
      <c r="F644" s="607" t="s">
        <v>64</v>
      </c>
      <c r="G644" s="426">
        <v>760</v>
      </c>
      <c r="H644" s="320" t="s">
        <v>64</v>
      </c>
      <c r="I644" s="638" t="s">
        <v>64</v>
      </c>
      <c r="J644" s="1048"/>
      <c r="K644" s="1081"/>
      <c r="L644" s="7">
        <v>51</v>
      </c>
      <c r="M644" s="320" t="s">
        <v>64</v>
      </c>
      <c r="N644" s="188"/>
      <c r="O644" s="188"/>
      <c r="P644" s="188"/>
      <c r="Q644" s="188"/>
      <c r="R644" s="214"/>
      <c r="S644" s="8">
        <v>51</v>
      </c>
      <c r="T644" s="157">
        <v>426.16074487510809</v>
      </c>
      <c r="U644" s="607" t="s">
        <v>64</v>
      </c>
      <c r="V644" s="7"/>
      <c r="W644" s="7">
        <v>0</v>
      </c>
      <c r="X644" s="157">
        <v>0</v>
      </c>
      <c r="Y644" s="7">
        <v>4.32</v>
      </c>
      <c r="Z644" s="157">
        <v>36.098321918832674</v>
      </c>
      <c r="AA644" s="601"/>
      <c r="AB644" s="601"/>
      <c r="AC644" s="7">
        <v>19.200000000000003</v>
      </c>
      <c r="AD644" s="7">
        <v>160.43698630592289</v>
      </c>
      <c r="AE644" s="1322"/>
      <c r="AF644" s="1322"/>
      <c r="AG644" s="8">
        <v>51</v>
      </c>
      <c r="AH644" s="157">
        <v>852.32148975021619</v>
      </c>
      <c r="AI644" s="176">
        <f t="shared" si="21"/>
        <v>852.32148975021619</v>
      </c>
      <c r="AJ644" s="976"/>
      <c r="AK644" s="982"/>
      <c r="AL644" s="1313"/>
      <c r="AM644" s="151"/>
      <c r="AN644" s="90"/>
      <c r="AO644" s="128"/>
      <c r="AP644" s="106"/>
    </row>
    <row r="645" spans="1:42" s="69" customFormat="1" ht="15" customHeight="1">
      <c r="A645" s="1015"/>
      <c r="B645" s="786"/>
      <c r="C645" s="388"/>
      <c r="D645" s="223" t="s">
        <v>811</v>
      </c>
      <c r="E645" s="320" t="s">
        <v>64</v>
      </c>
      <c r="F645" s="607" t="s">
        <v>64</v>
      </c>
      <c r="G645" s="426">
        <v>1140</v>
      </c>
      <c r="H645" s="320" t="s">
        <v>64</v>
      </c>
      <c r="I645" s="638" t="s">
        <v>64</v>
      </c>
      <c r="J645" s="1048"/>
      <c r="K645" s="1081"/>
      <c r="L645" s="7">
        <v>35</v>
      </c>
      <c r="M645" s="320" t="s">
        <v>64</v>
      </c>
      <c r="N645" s="188"/>
      <c r="O645" s="188"/>
      <c r="P645" s="188"/>
      <c r="Q645" s="188"/>
      <c r="R645" s="214"/>
      <c r="S645" s="8">
        <v>35</v>
      </c>
      <c r="T645" s="157">
        <v>292.46325628683906</v>
      </c>
      <c r="U645" s="607" t="s">
        <v>64</v>
      </c>
      <c r="V645" s="7"/>
      <c r="W645" s="7">
        <v>0</v>
      </c>
      <c r="X645" s="157">
        <v>0</v>
      </c>
      <c r="Y645" s="7">
        <v>4.32</v>
      </c>
      <c r="Z645" s="157">
        <v>36.098321918832674</v>
      </c>
      <c r="AA645" s="601"/>
      <c r="AB645" s="601"/>
      <c r="AC645" s="7">
        <v>12.8</v>
      </c>
      <c r="AD645" s="7">
        <v>106.95799087061526</v>
      </c>
      <c r="AE645" s="1322"/>
      <c r="AF645" s="1322"/>
      <c r="AG645" s="8">
        <v>35</v>
      </c>
      <c r="AH645" s="157">
        <v>584.92651257367811</v>
      </c>
      <c r="AI645" s="176">
        <f t="shared" si="21"/>
        <v>584.92651257367811</v>
      </c>
      <c r="AJ645" s="976"/>
      <c r="AK645" s="982"/>
      <c r="AL645" s="1313"/>
      <c r="AM645" s="151"/>
      <c r="AN645" s="90"/>
      <c r="AO645" s="128"/>
      <c r="AP645" s="106"/>
    </row>
    <row r="646" spans="1:42" s="69" customFormat="1" ht="15" customHeight="1">
      <c r="A646" s="1015"/>
      <c r="B646" s="786"/>
      <c r="C646" s="388"/>
      <c r="D646" s="223" t="s">
        <v>812</v>
      </c>
      <c r="E646" s="320" t="s">
        <v>64</v>
      </c>
      <c r="F646" s="607" t="s">
        <v>64</v>
      </c>
      <c r="G646" s="426">
        <v>1858.6666666666667</v>
      </c>
      <c r="H646" s="320" t="s">
        <v>64</v>
      </c>
      <c r="I646" s="638" t="s">
        <v>64</v>
      </c>
      <c r="J646" s="1048"/>
      <c r="K646" s="1081"/>
      <c r="L646" s="7">
        <v>85.466666666666669</v>
      </c>
      <c r="M646" s="320" t="s">
        <v>64</v>
      </c>
      <c r="N646" s="188"/>
      <c r="O646" s="188"/>
      <c r="P646" s="188"/>
      <c r="Q646" s="188"/>
      <c r="R646" s="214"/>
      <c r="S646" s="8">
        <v>85.466666666666669</v>
      </c>
      <c r="T646" s="157">
        <v>714.16741820900484</v>
      </c>
      <c r="U646" s="607" t="s">
        <v>64</v>
      </c>
      <c r="V646" s="111"/>
      <c r="W646" s="7">
        <v>24.16266666666667</v>
      </c>
      <c r="X646" s="157">
        <v>201.90549068305108</v>
      </c>
      <c r="Y646" s="7">
        <v>7.6656000000000013</v>
      </c>
      <c r="Z646" s="157">
        <v>64.054466782639764</v>
      </c>
      <c r="AA646" s="188"/>
      <c r="AB646" s="124"/>
      <c r="AC646" s="7">
        <v>23.321600000000004</v>
      </c>
      <c r="AD646" s="7">
        <v>194.87745936626143</v>
      </c>
      <c r="AE646" s="1322"/>
      <c r="AF646" s="1322"/>
      <c r="AG646" s="8">
        <v>85.466666666666669</v>
      </c>
      <c r="AH646" s="157">
        <v>1428.3348364180097</v>
      </c>
      <c r="AI646" s="176">
        <f t="shared" si="21"/>
        <v>1428.3348364180097</v>
      </c>
      <c r="AJ646" s="976"/>
      <c r="AK646" s="982"/>
      <c r="AL646" s="1313"/>
      <c r="AM646" s="151"/>
      <c r="AN646" s="90"/>
      <c r="AO646" s="128"/>
      <c r="AP646" s="106"/>
    </row>
    <row r="647" spans="1:42" s="69" customFormat="1" ht="15" customHeight="1">
      <c r="A647" s="1015"/>
      <c r="B647" s="786"/>
      <c r="C647" s="388"/>
      <c r="D647" s="518" t="s">
        <v>862</v>
      </c>
      <c r="E647" s="320" t="s">
        <v>64</v>
      </c>
      <c r="F647" s="607" t="s">
        <v>64</v>
      </c>
      <c r="G647" s="431">
        <v>1858.6666666666667</v>
      </c>
      <c r="H647" s="320" t="s">
        <v>64</v>
      </c>
      <c r="I647" s="638" t="s">
        <v>64</v>
      </c>
      <c r="J647" s="1048"/>
      <c r="K647" s="1081"/>
      <c r="L647" s="7">
        <v>85.466666666666669</v>
      </c>
      <c r="M647" s="320" t="s">
        <v>64</v>
      </c>
      <c r="N647" s="188"/>
      <c r="O647" s="188"/>
      <c r="P647" s="188"/>
      <c r="Q647" s="188"/>
      <c r="R647" s="214"/>
      <c r="S647" s="8">
        <v>85.466666666666669</v>
      </c>
      <c r="T647" s="157">
        <v>714.16741820900484</v>
      </c>
      <c r="U647" s="607" t="s">
        <v>64</v>
      </c>
      <c r="V647" s="111"/>
      <c r="W647" s="7">
        <v>24.16266666666667</v>
      </c>
      <c r="X647" s="157">
        <v>201.90549068305108</v>
      </c>
      <c r="Y647" s="7">
        <v>7.6656000000000013</v>
      </c>
      <c r="Z647" s="157">
        <v>64.054466782639764</v>
      </c>
      <c r="AA647" s="188"/>
      <c r="AB647" s="124"/>
      <c r="AC647" s="7">
        <v>23.321600000000004</v>
      </c>
      <c r="AD647" s="7">
        <v>194.87745936626143</v>
      </c>
      <c r="AE647" s="1322"/>
      <c r="AF647" s="1322"/>
      <c r="AG647" s="8">
        <v>85.466666666666669</v>
      </c>
      <c r="AH647" s="157">
        <v>1428.3348364180097</v>
      </c>
      <c r="AI647" s="176">
        <f t="shared" si="21"/>
        <v>1428.3348364180097</v>
      </c>
      <c r="AJ647" s="976"/>
      <c r="AK647" s="982"/>
      <c r="AL647" s="1313"/>
      <c r="AM647" s="151"/>
      <c r="AN647" s="90"/>
      <c r="AO647" s="128"/>
      <c r="AP647" s="106"/>
    </row>
    <row r="648" spans="1:42" s="69" customFormat="1" ht="15" customHeight="1">
      <c r="A648" s="1015"/>
      <c r="B648" s="786"/>
      <c r="C648" s="388"/>
      <c r="D648" s="223" t="s">
        <v>813</v>
      </c>
      <c r="E648" s="320" t="s">
        <v>64</v>
      </c>
      <c r="F648" s="607" t="s">
        <v>64</v>
      </c>
      <c r="G648" s="431">
        <v>3717.3333333333335</v>
      </c>
      <c r="H648" s="320" t="s">
        <v>64</v>
      </c>
      <c r="I648" s="638" t="s">
        <v>64</v>
      </c>
      <c r="J648" s="1048"/>
      <c r="K648" s="1081"/>
      <c r="L648" s="7">
        <v>131.93333333333334</v>
      </c>
      <c r="M648" s="320" t="s">
        <v>64</v>
      </c>
      <c r="N648" s="188"/>
      <c r="O648" s="188"/>
      <c r="P648" s="188"/>
      <c r="Q648" s="188"/>
      <c r="R648" s="214"/>
      <c r="S648" s="8">
        <v>131.93333333333334</v>
      </c>
      <c r="T648" s="157">
        <v>1102.4472079841034</v>
      </c>
      <c r="U648" s="607" t="s">
        <v>64</v>
      </c>
      <c r="V648" s="111"/>
      <c r="W648" s="7">
        <v>48.32533333333334</v>
      </c>
      <c r="X648" s="157">
        <v>403.81098136610217</v>
      </c>
      <c r="Y648" s="7">
        <v>11.011200000000001</v>
      </c>
      <c r="Z648" s="157">
        <v>92.010611646447018</v>
      </c>
      <c r="AA648" s="188"/>
      <c r="AB648" s="124"/>
      <c r="AC648" s="7">
        <v>32.243200000000002</v>
      </c>
      <c r="AD648" s="7">
        <v>269.4271790030802</v>
      </c>
      <c r="AE648" s="1322"/>
      <c r="AF648" s="1322"/>
      <c r="AG648" s="8">
        <v>131.93333333333334</v>
      </c>
      <c r="AH648" s="157">
        <v>2204.8944159682069</v>
      </c>
      <c r="AI648" s="176">
        <f t="shared" si="21"/>
        <v>2204.8944159682069</v>
      </c>
      <c r="AJ648" s="976"/>
      <c r="AK648" s="982"/>
      <c r="AL648" s="1313"/>
      <c r="AM648" s="151"/>
      <c r="AN648" s="90"/>
      <c r="AO648" s="128"/>
      <c r="AP648" s="106"/>
    </row>
    <row r="649" spans="1:42" s="69" customFormat="1" ht="15" customHeight="1">
      <c r="A649" s="1015"/>
      <c r="B649" s="786"/>
      <c r="C649" s="388"/>
      <c r="D649" s="518" t="s">
        <v>863</v>
      </c>
      <c r="E649" s="320" t="s">
        <v>64</v>
      </c>
      <c r="F649" s="607" t="s">
        <v>64</v>
      </c>
      <c r="G649" s="431">
        <v>114</v>
      </c>
      <c r="H649" s="320" t="s">
        <v>64</v>
      </c>
      <c r="I649" s="638" t="s">
        <v>64</v>
      </c>
      <c r="J649" s="1048"/>
      <c r="K649" s="1081"/>
      <c r="L649" s="7">
        <v>51</v>
      </c>
      <c r="M649" s="320" t="s">
        <v>64</v>
      </c>
      <c r="N649" s="188"/>
      <c r="O649" s="188"/>
      <c r="P649" s="188"/>
      <c r="Q649" s="188"/>
      <c r="R649" s="214"/>
      <c r="S649" s="8">
        <v>51</v>
      </c>
      <c r="T649" s="157">
        <v>426.16074487510809</v>
      </c>
      <c r="U649" s="607" t="s">
        <v>64</v>
      </c>
      <c r="V649" s="111"/>
      <c r="W649" s="7">
        <v>0</v>
      </c>
      <c r="X649" s="157">
        <v>0</v>
      </c>
      <c r="Y649" s="7">
        <v>4.32</v>
      </c>
      <c r="Z649" s="157">
        <v>36.098321918832674</v>
      </c>
      <c r="AA649" s="188"/>
      <c r="AB649" s="124"/>
      <c r="AC649" s="7">
        <v>19.200000000000003</v>
      </c>
      <c r="AD649" s="7">
        <v>160.43698630592289</v>
      </c>
      <c r="AE649" s="1322"/>
      <c r="AF649" s="1322"/>
      <c r="AG649" s="8">
        <v>51</v>
      </c>
      <c r="AH649" s="157">
        <v>852.32148975021619</v>
      </c>
      <c r="AI649" s="176">
        <f t="shared" si="21"/>
        <v>852.32148975021619</v>
      </c>
      <c r="AJ649" s="976"/>
      <c r="AK649" s="982"/>
      <c r="AL649" s="1313"/>
      <c r="AM649" s="151"/>
      <c r="AN649" s="90"/>
      <c r="AO649" s="128"/>
      <c r="AP649" s="106"/>
    </row>
    <row r="650" spans="1:42" s="69" customFormat="1" ht="15" customHeight="1">
      <c r="A650" s="1015"/>
      <c r="B650" s="786"/>
      <c r="C650" s="388"/>
      <c r="D650" s="223" t="s">
        <v>814</v>
      </c>
      <c r="E650" s="320" t="s">
        <v>64</v>
      </c>
      <c r="F650" s="607" t="s">
        <v>64</v>
      </c>
      <c r="G650" s="431">
        <v>228</v>
      </c>
      <c r="H650" s="320" t="s">
        <v>64</v>
      </c>
      <c r="I650" s="638" t="s">
        <v>64</v>
      </c>
      <c r="J650" s="1048"/>
      <c r="K650" s="1081"/>
      <c r="L650" s="7">
        <v>35</v>
      </c>
      <c r="M650" s="320" t="s">
        <v>64</v>
      </c>
      <c r="N650" s="188"/>
      <c r="O650" s="188"/>
      <c r="P650" s="188"/>
      <c r="Q650" s="188"/>
      <c r="R650" s="214"/>
      <c r="S650" s="8">
        <v>35</v>
      </c>
      <c r="T650" s="157">
        <v>292.46325628683906</v>
      </c>
      <c r="U650" s="607" t="s">
        <v>64</v>
      </c>
      <c r="V650" s="111"/>
      <c r="W650" s="7">
        <v>0</v>
      </c>
      <c r="X650" s="157">
        <v>0</v>
      </c>
      <c r="Y650" s="7">
        <v>4.32</v>
      </c>
      <c r="Z650" s="157">
        <v>36.098321918832674</v>
      </c>
      <c r="AA650" s="188"/>
      <c r="AB650" s="124"/>
      <c r="AC650" s="7">
        <v>12.8</v>
      </c>
      <c r="AD650" s="7">
        <v>106.95799087061526</v>
      </c>
      <c r="AE650" s="1322"/>
      <c r="AF650" s="1322"/>
      <c r="AG650" s="8">
        <v>35</v>
      </c>
      <c r="AH650" s="157">
        <v>584.92651257367811</v>
      </c>
      <c r="AI650" s="176">
        <f t="shared" si="21"/>
        <v>584.92651257367811</v>
      </c>
      <c r="AJ650" s="976"/>
      <c r="AK650" s="982"/>
      <c r="AL650" s="1313"/>
      <c r="AM650" s="151"/>
      <c r="AN650" s="90"/>
      <c r="AO650" s="128"/>
      <c r="AP650" s="106"/>
    </row>
    <row r="651" spans="1:42" s="69" customFormat="1" ht="15" customHeight="1">
      <c r="A651" s="1015"/>
      <c r="B651" s="794"/>
      <c r="C651" s="386"/>
      <c r="D651" s="223" t="s">
        <v>815</v>
      </c>
      <c r="E651" s="320" t="s">
        <v>64</v>
      </c>
      <c r="F651" s="607" t="s">
        <v>64</v>
      </c>
      <c r="G651" s="431">
        <v>342</v>
      </c>
      <c r="H651" s="320" t="s">
        <v>64</v>
      </c>
      <c r="I651" s="638" t="s">
        <v>64</v>
      </c>
      <c r="J651" s="1048"/>
      <c r="K651" s="1081"/>
      <c r="L651" s="7">
        <v>35</v>
      </c>
      <c r="M651" s="320" t="s">
        <v>64</v>
      </c>
      <c r="N651" s="188"/>
      <c r="O651" s="188"/>
      <c r="P651" s="188"/>
      <c r="Q651" s="188"/>
      <c r="R651" s="214"/>
      <c r="S651" s="8">
        <v>35</v>
      </c>
      <c r="T651" s="157">
        <v>292.46325628683906</v>
      </c>
      <c r="U651" s="607" t="s">
        <v>64</v>
      </c>
      <c r="V651" s="111"/>
      <c r="W651" s="7">
        <v>0</v>
      </c>
      <c r="X651" s="157">
        <v>0</v>
      </c>
      <c r="Y651" s="7">
        <v>4.32</v>
      </c>
      <c r="Z651" s="157">
        <v>36.098321918832674</v>
      </c>
      <c r="AA651" s="188"/>
      <c r="AB651" s="124"/>
      <c r="AC651" s="7">
        <v>12.8</v>
      </c>
      <c r="AD651" s="7">
        <v>106.95799087061526</v>
      </c>
      <c r="AE651" s="1322"/>
      <c r="AF651" s="1322"/>
      <c r="AG651" s="8">
        <v>35</v>
      </c>
      <c r="AH651" s="157">
        <v>584.92651257367811</v>
      </c>
      <c r="AI651" s="176">
        <f t="shared" si="21"/>
        <v>584.92651257367811</v>
      </c>
      <c r="AJ651" s="976"/>
      <c r="AK651" s="982"/>
      <c r="AL651" s="1313"/>
      <c r="AM651" s="151"/>
      <c r="AN651" s="90"/>
      <c r="AO651" s="128"/>
      <c r="AP651" s="106"/>
    </row>
    <row r="652" spans="1:42" s="69" customFormat="1" ht="15" customHeight="1">
      <c r="A652" s="1015"/>
      <c r="B652" s="794"/>
      <c r="C652" s="386"/>
      <c r="D652" s="518" t="s">
        <v>864</v>
      </c>
      <c r="E652" s="320" t="s">
        <v>64</v>
      </c>
      <c r="F652" s="607" t="s">
        <v>64</v>
      </c>
      <c r="G652" s="431">
        <v>5000</v>
      </c>
      <c r="H652" s="320" t="s">
        <v>64</v>
      </c>
      <c r="I652" s="638" t="s">
        <v>64</v>
      </c>
      <c r="J652" s="1048"/>
      <c r="K652" s="1081"/>
      <c r="L652" s="7">
        <v>180</v>
      </c>
      <c r="M652" s="320" t="s">
        <v>64</v>
      </c>
      <c r="N652" s="188"/>
      <c r="O652" s="188"/>
      <c r="P652" s="188"/>
      <c r="Q652" s="188"/>
      <c r="R652" s="214"/>
      <c r="S652" s="8">
        <v>180</v>
      </c>
      <c r="T652" s="157">
        <v>1504.0967466180284</v>
      </c>
      <c r="U652" s="607" t="s">
        <v>64</v>
      </c>
      <c r="V652" s="111"/>
      <c r="W652" s="7">
        <v>65</v>
      </c>
      <c r="X652" s="157">
        <v>543.14604738984349</v>
      </c>
      <c r="Y652" s="7">
        <v>13.32</v>
      </c>
      <c r="Z652" s="157">
        <v>111.30315924973407</v>
      </c>
      <c r="AA652" s="188"/>
      <c r="AB652" s="124"/>
      <c r="AC652" s="7">
        <v>44.800000000000004</v>
      </c>
      <c r="AD652" s="7">
        <v>374.35296804715375</v>
      </c>
      <c r="AE652" s="1322"/>
      <c r="AF652" s="1322"/>
      <c r="AG652" s="8">
        <v>180</v>
      </c>
      <c r="AH652" s="157">
        <v>3008.1934932360568</v>
      </c>
      <c r="AI652" s="176">
        <f t="shared" si="21"/>
        <v>3008.1934932360568</v>
      </c>
      <c r="AJ652" s="976"/>
      <c r="AK652" s="982"/>
      <c r="AL652" s="1313"/>
      <c r="AM652" s="151"/>
      <c r="AN652" s="90"/>
      <c r="AO652" s="128"/>
      <c r="AP652" s="106"/>
    </row>
    <row r="653" spans="1:42" s="69" customFormat="1" ht="15.75" customHeight="1">
      <c r="A653" s="1015"/>
      <c r="B653" s="794"/>
      <c r="C653" s="386"/>
      <c r="D653" s="518" t="s">
        <v>865</v>
      </c>
      <c r="E653" s="320" t="s">
        <v>64</v>
      </c>
      <c r="F653" s="607" t="s">
        <v>64</v>
      </c>
      <c r="G653" s="431">
        <v>15000</v>
      </c>
      <c r="H653" s="320" t="s">
        <v>64</v>
      </c>
      <c r="I653" s="638" t="s">
        <v>64</v>
      </c>
      <c r="J653" s="1048"/>
      <c r="K653" s="1081"/>
      <c r="L653" s="7">
        <v>430.00000000000006</v>
      </c>
      <c r="M653" s="320" t="s">
        <v>64</v>
      </c>
      <c r="N653" s="188"/>
      <c r="O653" s="188"/>
      <c r="P653" s="188"/>
      <c r="Q653" s="188"/>
      <c r="R653" s="214"/>
      <c r="S653" s="8">
        <v>430.00000000000006</v>
      </c>
      <c r="T653" s="157">
        <v>3593.1200058097315</v>
      </c>
      <c r="U653" s="607" t="s">
        <v>64</v>
      </c>
      <c r="V653" s="111"/>
      <c r="W653" s="7">
        <v>195.00000000000003</v>
      </c>
      <c r="X653" s="157">
        <v>1629.4381421695307</v>
      </c>
      <c r="Y653" s="7">
        <v>31.32</v>
      </c>
      <c r="Z653" s="157">
        <v>261.7128339115369</v>
      </c>
      <c r="AA653" s="188"/>
      <c r="AB653" s="124"/>
      <c r="AC653" s="7">
        <v>92.800000000000011</v>
      </c>
      <c r="AD653" s="7">
        <v>775.44543381196206</v>
      </c>
      <c r="AE653" s="1322"/>
      <c r="AF653" s="1322"/>
      <c r="AG653" s="8">
        <v>430.00000000000006</v>
      </c>
      <c r="AH653" s="157">
        <v>7186.2400116194631</v>
      </c>
      <c r="AI653" s="176">
        <f t="shared" si="21"/>
        <v>7186.2400116194631</v>
      </c>
      <c r="AJ653" s="976"/>
      <c r="AK653" s="982"/>
      <c r="AL653" s="1313"/>
      <c r="AM653" s="151"/>
      <c r="AN653" s="90"/>
      <c r="AO653" s="128"/>
      <c r="AP653" s="106"/>
    </row>
    <row r="654" spans="1:42" s="69" customFormat="1" ht="15" customHeight="1">
      <c r="A654" s="1015"/>
      <c r="B654" s="794"/>
      <c r="C654" s="386"/>
      <c r="D654" s="518" t="s">
        <v>866</v>
      </c>
      <c r="E654" s="320" t="s">
        <v>64</v>
      </c>
      <c r="F654" s="607" t="s">
        <v>64</v>
      </c>
      <c r="G654" s="427">
        <v>7777.77</v>
      </c>
      <c r="H654" s="320" t="s">
        <v>64</v>
      </c>
      <c r="I654" s="638" t="s">
        <v>64</v>
      </c>
      <c r="J654" s="1048"/>
      <c r="K654" s="1081"/>
      <c r="L654" s="7">
        <v>249.44425000000004</v>
      </c>
      <c r="M654" s="320" t="s">
        <v>64</v>
      </c>
      <c r="N654" s="188"/>
      <c r="O654" s="188"/>
      <c r="P654" s="188"/>
      <c r="Q654" s="188"/>
      <c r="R654" s="214"/>
      <c r="S654" s="8">
        <v>249.44425000000004</v>
      </c>
      <c r="T654" s="157">
        <v>2084.3793604865236</v>
      </c>
      <c r="U654" s="607" t="s">
        <v>64</v>
      </c>
      <c r="V654" s="7"/>
      <c r="W654" s="7">
        <v>101.11101000000002</v>
      </c>
      <c r="X654" s="157">
        <v>844.89300660146262</v>
      </c>
      <c r="Y654" s="7">
        <v>18.319986</v>
      </c>
      <c r="Z654" s="157">
        <v>153.08350744826569</v>
      </c>
      <c r="AA654" s="601"/>
      <c r="AB654" s="601"/>
      <c r="AC654" s="7">
        <v>58.133296000000001</v>
      </c>
      <c r="AD654" s="7">
        <v>485.76722990990481</v>
      </c>
      <c r="AE654" s="1322"/>
      <c r="AF654" s="1322"/>
      <c r="AG654" s="8">
        <v>249.44425000000004</v>
      </c>
      <c r="AH654" s="157">
        <v>4168.7587209730473</v>
      </c>
      <c r="AI654" s="176">
        <f t="shared" si="21"/>
        <v>4168.7587209730473</v>
      </c>
      <c r="AJ654" s="976"/>
      <c r="AK654" s="982"/>
      <c r="AL654" s="1313"/>
      <c r="AM654" s="151"/>
      <c r="AN654" s="90"/>
      <c r="AO654" s="128"/>
      <c r="AP654" s="106"/>
    </row>
    <row r="655" spans="1:42" s="69" customFormat="1" ht="15" customHeight="1">
      <c r="A655" s="1015"/>
      <c r="B655" s="794"/>
      <c r="C655" s="386"/>
      <c r="D655" s="518" t="s">
        <v>867</v>
      </c>
      <c r="E655" s="320" t="s">
        <v>64</v>
      </c>
      <c r="F655" s="607" t="s">
        <v>64</v>
      </c>
      <c r="G655" s="427">
        <v>2277.777</v>
      </c>
      <c r="H655" s="320" t="s">
        <v>64</v>
      </c>
      <c r="I655" s="638" t="s">
        <v>64</v>
      </c>
      <c r="J655" s="1048"/>
      <c r="K655" s="1081"/>
      <c r="L655" s="7">
        <v>51</v>
      </c>
      <c r="M655" s="320" t="s">
        <v>64</v>
      </c>
      <c r="N655" s="188"/>
      <c r="O655" s="188"/>
      <c r="P655" s="188"/>
      <c r="Q655" s="188"/>
      <c r="R655" s="214"/>
      <c r="S655" s="8">
        <v>51</v>
      </c>
      <c r="T655" s="157">
        <v>426.16074487510809</v>
      </c>
      <c r="U655" s="607" t="s">
        <v>64</v>
      </c>
      <c r="V655" s="7"/>
      <c r="W655" s="7">
        <v>0</v>
      </c>
      <c r="X655" s="157">
        <v>0</v>
      </c>
      <c r="Y655" s="7">
        <v>4.32</v>
      </c>
      <c r="Z655" s="157">
        <v>36.098321918832674</v>
      </c>
      <c r="AA655" s="601"/>
      <c r="AB655" s="601"/>
      <c r="AC655" s="7">
        <v>19.200000000000003</v>
      </c>
      <c r="AD655" s="7">
        <v>160.43698630592289</v>
      </c>
      <c r="AE655" s="1322"/>
      <c r="AF655" s="1322"/>
      <c r="AG655" s="8">
        <v>51</v>
      </c>
      <c r="AH655" s="157">
        <v>852.32148975021619</v>
      </c>
      <c r="AI655" s="176">
        <f t="shared" si="21"/>
        <v>852.32148975021619</v>
      </c>
      <c r="AJ655" s="976"/>
      <c r="AK655" s="982"/>
      <c r="AL655" s="1313"/>
      <c r="AM655" s="151"/>
      <c r="AN655" s="90"/>
      <c r="AO655" s="128"/>
      <c r="AP655" s="106"/>
    </row>
    <row r="656" spans="1:42" s="69" customFormat="1" ht="15" customHeight="1">
      <c r="A656" s="1015"/>
      <c r="B656" s="794"/>
      <c r="C656" s="386"/>
      <c r="D656" s="223" t="s">
        <v>816</v>
      </c>
      <c r="E656" s="320" t="s">
        <v>64</v>
      </c>
      <c r="F656" s="607" t="s">
        <v>64</v>
      </c>
      <c r="G656" s="427">
        <v>2277.777</v>
      </c>
      <c r="H656" s="320" t="s">
        <v>64</v>
      </c>
      <c r="I656" s="638" t="s">
        <v>64</v>
      </c>
      <c r="J656" s="1048"/>
      <c r="K656" s="1081"/>
      <c r="L656" s="7">
        <v>35</v>
      </c>
      <c r="M656" s="320" t="s">
        <v>64</v>
      </c>
      <c r="N656" s="188"/>
      <c r="O656" s="188"/>
      <c r="P656" s="188"/>
      <c r="Q656" s="188"/>
      <c r="R656" s="214"/>
      <c r="S656" s="8">
        <v>35</v>
      </c>
      <c r="T656" s="157">
        <v>292.46325628683906</v>
      </c>
      <c r="U656" s="607" t="s">
        <v>64</v>
      </c>
      <c r="V656" s="7"/>
      <c r="W656" s="7">
        <v>0</v>
      </c>
      <c r="X656" s="157">
        <v>0</v>
      </c>
      <c r="Y656" s="7">
        <v>4.32</v>
      </c>
      <c r="Z656" s="157">
        <v>36.098321918832674</v>
      </c>
      <c r="AA656" s="601"/>
      <c r="AB656" s="601"/>
      <c r="AC656" s="7">
        <v>12.8</v>
      </c>
      <c r="AD656" s="7">
        <v>106.95799087061526</v>
      </c>
      <c r="AE656" s="1322"/>
      <c r="AF656" s="1322"/>
      <c r="AG656" s="8">
        <v>35</v>
      </c>
      <c r="AH656" s="157">
        <v>584.92651257367811</v>
      </c>
      <c r="AI656" s="176">
        <f t="shared" si="21"/>
        <v>584.92651257367811</v>
      </c>
      <c r="AJ656" s="976"/>
      <c r="AK656" s="982"/>
      <c r="AL656" s="1313"/>
      <c r="AM656" s="151"/>
      <c r="AN656" s="90"/>
      <c r="AO656" s="128"/>
      <c r="AP656" s="106"/>
    </row>
    <row r="657" spans="1:42" s="69" customFormat="1" ht="15" customHeight="1">
      <c r="A657" s="1015"/>
      <c r="B657" s="794"/>
      <c r="C657" s="386"/>
      <c r="D657" s="518" t="s">
        <v>868</v>
      </c>
      <c r="E657" s="320" t="s">
        <v>64</v>
      </c>
      <c r="F657" s="607" t="s">
        <v>64</v>
      </c>
      <c r="G657" s="426">
        <v>27880</v>
      </c>
      <c r="H657" s="320" t="s">
        <v>64</v>
      </c>
      <c r="I657" s="638" t="s">
        <v>64</v>
      </c>
      <c r="J657" s="1048"/>
      <c r="K657" s="1048"/>
      <c r="L657" s="211">
        <v>389.56</v>
      </c>
      <c r="M657" s="225" t="s">
        <v>64</v>
      </c>
      <c r="N657" s="188"/>
      <c r="O657" s="188"/>
      <c r="P657" s="188"/>
      <c r="Q657" s="188"/>
      <c r="R657" s="214"/>
      <c r="S657" s="8">
        <v>389.56</v>
      </c>
      <c r="T657" s="157">
        <v>3255.1996034028853</v>
      </c>
      <c r="U657" s="607" t="s">
        <v>64</v>
      </c>
      <c r="V657" s="111"/>
      <c r="W657" s="7">
        <v>0</v>
      </c>
      <c r="X657" s="157">
        <v>0</v>
      </c>
      <c r="Y657" s="7">
        <v>54.503999999999998</v>
      </c>
      <c r="Z657" s="157">
        <v>455.44049487593873</v>
      </c>
      <c r="AA657" s="188"/>
      <c r="AB657" s="124"/>
      <c r="AC657" s="7">
        <v>154.62400000000002</v>
      </c>
      <c r="AD657" s="270">
        <v>1292.0525297170343</v>
      </c>
      <c r="AE657" s="1322"/>
      <c r="AF657" s="1322"/>
      <c r="AG657" s="8">
        <v>389.56</v>
      </c>
      <c r="AH657" s="157">
        <v>6510.3992068057705</v>
      </c>
      <c r="AI657" s="176">
        <f t="shared" si="21"/>
        <v>6510.3992068057705</v>
      </c>
      <c r="AJ657" s="976"/>
      <c r="AK657" s="982"/>
      <c r="AL657" s="1313"/>
      <c r="AM657" s="151"/>
      <c r="AN657" s="90"/>
      <c r="AO657" s="128"/>
      <c r="AP657" s="106"/>
    </row>
    <row r="658" spans="1:42" s="69" customFormat="1" ht="15" customHeight="1">
      <c r="A658" s="1015"/>
      <c r="B658" s="794"/>
      <c r="C658" s="386"/>
      <c r="D658" s="518" t="s">
        <v>869</v>
      </c>
      <c r="E658" s="320" t="s">
        <v>64</v>
      </c>
      <c r="F658" s="228" t="s">
        <v>64</v>
      </c>
      <c r="G658" s="431">
        <v>11152</v>
      </c>
      <c r="H658" s="320" t="s">
        <v>64</v>
      </c>
      <c r="I658" s="638" t="s">
        <v>64</v>
      </c>
      <c r="J658" s="1048"/>
      <c r="K658" s="1048"/>
      <c r="L658" s="211">
        <v>51</v>
      </c>
      <c r="M658" s="225" t="s">
        <v>64</v>
      </c>
      <c r="N658" s="188"/>
      <c r="O658" s="188"/>
      <c r="P658" s="188"/>
      <c r="Q658" s="188"/>
      <c r="R658" s="214"/>
      <c r="S658" s="8">
        <v>51</v>
      </c>
      <c r="T658" s="157">
        <v>426.16074487510809</v>
      </c>
      <c r="U658" s="607" t="s">
        <v>64</v>
      </c>
      <c r="V658" s="111"/>
      <c r="W658" s="7">
        <v>0</v>
      </c>
      <c r="X658" s="157">
        <v>0</v>
      </c>
      <c r="Y658" s="7">
        <v>4.32</v>
      </c>
      <c r="Z658" s="157">
        <v>36.098321918832674</v>
      </c>
      <c r="AA658" s="188"/>
      <c r="AB658" s="124"/>
      <c r="AC658" s="7">
        <v>19.200000000000003</v>
      </c>
      <c r="AD658" s="270">
        <v>160.43698630592289</v>
      </c>
      <c r="AE658" s="1322"/>
      <c r="AF658" s="1322"/>
      <c r="AG658" s="8">
        <v>51</v>
      </c>
      <c r="AH658" s="157">
        <v>852.32148975021619</v>
      </c>
      <c r="AI658" s="176">
        <f t="shared" si="21"/>
        <v>852.32148975021619</v>
      </c>
      <c r="AJ658" s="976"/>
      <c r="AK658" s="982"/>
      <c r="AL658" s="1313"/>
      <c r="AM658" s="151"/>
      <c r="AN658" s="90"/>
      <c r="AO658" s="128"/>
      <c r="AP658" s="106"/>
    </row>
    <row r="659" spans="1:42" s="69" customFormat="1" ht="15" customHeight="1">
      <c r="A659" s="1015"/>
      <c r="B659" s="794"/>
      <c r="C659" s="386"/>
      <c r="D659" s="223" t="s">
        <v>820</v>
      </c>
      <c r="E659" s="225" t="s">
        <v>64</v>
      </c>
      <c r="F659" s="228" t="s">
        <v>64</v>
      </c>
      <c r="G659" s="433">
        <v>15612.8</v>
      </c>
      <c r="H659" s="320" t="s">
        <v>64</v>
      </c>
      <c r="I659" s="638" t="s">
        <v>64</v>
      </c>
      <c r="J659" s="1048"/>
      <c r="K659" s="1048"/>
      <c r="L659" s="211">
        <v>237.96640000000002</v>
      </c>
      <c r="M659" s="225" t="s">
        <v>64</v>
      </c>
      <c r="N659" s="188"/>
      <c r="O659" s="188"/>
      <c r="P659" s="188"/>
      <c r="Q659" s="188"/>
      <c r="R659" s="214"/>
      <c r="S659" s="8">
        <v>237.96640000000002</v>
      </c>
      <c r="T659" s="157">
        <v>1988.4693780244688</v>
      </c>
      <c r="U659" s="607" t="s">
        <v>64</v>
      </c>
      <c r="V659" s="111"/>
      <c r="W659" s="7">
        <v>202.96640000000002</v>
      </c>
      <c r="X659" s="157">
        <v>1696.0061217376292</v>
      </c>
      <c r="Y659" s="7">
        <v>4.32</v>
      </c>
      <c r="Z659" s="157">
        <v>36.098321918832674</v>
      </c>
      <c r="AA659" s="188"/>
      <c r="AB659" s="124"/>
      <c r="AC659" s="7">
        <v>12.8</v>
      </c>
      <c r="AD659" s="270">
        <v>106.95799087061526</v>
      </c>
      <c r="AE659" s="1322"/>
      <c r="AF659" s="1322"/>
      <c r="AG659" s="192">
        <v>237.96640000000002</v>
      </c>
      <c r="AH659" s="157">
        <v>3976.9387560489376</v>
      </c>
      <c r="AI659" s="177">
        <f t="shared" si="21"/>
        <v>3976.9387560489376</v>
      </c>
      <c r="AJ659" s="976"/>
      <c r="AK659" s="982"/>
      <c r="AL659" s="1313"/>
      <c r="AM659" s="151"/>
      <c r="AN659" s="90"/>
      <c r="AO659" s="128"/>
      <c r="AP659" s="106"/>
    </row>
    <row r="660" spans="1:42" s="69" customFormat="1" ht="15" customHeight="1">
      <c r="A660" s="1015"/>
      <c r="B660" s="794"/>
      <c r="C660" s="386"/>
      <c r="D660" s="223" t="s">
        <v>821</v>
      </c>
      <c r="E660" s="225" t="s">
        <v>64</v>
      </c>
      <c r="F660" s="228" t="s">
        <v>64</v>
      </c>
      <c r="G660" s="434">
        <v>2222.2199999999998</v>
      </c>
      <c r="H660" s="320" t="s">
        <v>64</v>
      </c>
      <c r="I660" s="638" t="s">
        <v>64</v>
      </c>
      <c r="J660" s="1048"/>
      <c r="K660" s="1048"/>
      <c r="L660" s="211">
        <v>94.555499999999995</v>
      </c>
      <c r="M660" s="225" t="s">
        <v>64</v>
      </c>
      <c r="N660" s="188"/>
      <c r="O660" s="188"/>
      <c r="P660" s="188"/>
      <c r="Q660" s="188"/>
      <c r="R660" s="214"/>
      <c r="S660" s="8">
        <v>94.555499999999995</v>
      </c>
      <c r="T660" s="157">
        <v>790.11455513800513</v>
      </c>
      <c r="U660" s="607" t="s">
        <v>64</v>
      </c>
      <c r="V660" s="111"/>
      <c r="W660" s="7">
        <v>28.888860000000001</v>
      </c>
      <c r="X660" s="157">
        <v>241.39800188613165</v>
      </c>
      <c r="Y660" s="7">
        <v>8.3199959999999997</v>
      </c>
      <c r="Z660" s="157">
        <v>69.522660641527835</v>
      </c>
      <c r="AA660" s="188"/>
      <c r="AB660" s="124"/>
      <c r="AC660" s="7">
        <v>25.066656000000002</v>
      </c>
      <c r="AD660" s="270">
        <v>209.45930965662924</v>
      </c>
      <c r="AE660" s="1322"/>
      <c r="AF660" s="1322"/>
      <c r="AG660" s="192">
        <v>94.555499999999995</v>
      </c>
      <c r="AH660" s="157">
        <v>1580.2291102760103</v>
      </c>
      <c r="AI660" s="177">
        <f t="shared" si="21"/>
        <v>1580.2291102760103</v>
      </c>
      <c r="AJ660" s="976"/>
      <c r="AK660" s="982"/>
      <c r="AL660" s="1313"/>
      <c r="AM660" s="151"/>
      <c r="AN660" s="90"/>
      <c r="AO660" s="128"/>
      <c r="AP660" s="106"/>
    </row>
    <row r="661" spans="1:42" s="69" customFormat="1" ht="15" customHeight="1">
      <c r="A661" s="1015"/>
      <c r="B661" s="794"/>
      <c r="C661" s="386"/>
      <c r="D661" s="223" t="s">
        <v>822</v>
      </c>
      <c r="E661" s="225" t="s">
        <v>64</v>
      </c>
      <c r="F661" s="228" t="s">
        <v>64</v>
      </c>
      <c r="G661" s="434">
        <v>3333.33</v>
      </c>
      <c r="H661" s="320" t="s">
        <v>64</v>
      </c>
      <c r="I661" s="638" t="s">
        <v>64</v>
      </c>
      <c r="J661" s="1048"/>
      <c r="K661" s="1048"/>
      <c r="L661" s="211">
        <v>122.33325000000001</v>
      </c>
      <c r="M661" s="225" t="s">
        <v>64</v>
      </c>
      <c r="N661" s="188"/>
      <c r="O661" s="188"/>
      <c r="P661" s="188"/>
      <c r="Q661" s="188"/>
      <c r="R661" s="214"/>
      <c r="S661" s="8">
        <v>122.33325000000001</v>
      </c>
      <c r="T661" s="157">
        <v>1022.2280184900548</v>
      </c>
      <c r="U661" s="607" t="s">
        <v>64</v>
      </c>
      <c r="V661" s="111"/>
      <c r="W661" s="7">
        <v>43.333290000000005</v>
      </c>
      <c r="X661" s="157">
        <v>362.09700282919795</v>
      </c>
      <c r="Y661" s="7">
        <v>10.319994000000001</v>
      </c>
      <c r="Z661" s="157">
        <v>86.234830002875526</v>
      </c>
      <c r="AA661" s="188"/>
      <c r="AB661" s="124"/>
      <c r="AC661" s="7">
        <v>30.399984000000003</v>
      </c>
      <c r="AD661" s="270">
        <v>254.025094620223</v>
      </c>
      <c r="AE661" s="1322"/>
      <c r="AF661" s="1322"/>
      <c r="AG661" s="192">
        <v>122.33325000000001</v>
      </c>
      <c r="AH661" s="157">
        <v>2044.4560369801095</v>
      </c>
      <c r="AI661" s="177">
        <f t="shared" si="21"/>
        <v>2044.4560369801095</v>
      </c>
      <c r="AJ661" s="976"/>
      <c r="AK661" s="982"/>
      <c r="AL661" s="1313"/>
      <c r="AM661" s="151"/>
      <c r="AN661" s="90"/>
      <c r="AO661" s="128"/>
      <c r="AP661" s="106"/>
    </row>
    <row r="662" spans="1:42" s="69" customFormat="1" ht="15" customHeight="1">
      <c r="A662" s="1015"/>
      <c r="B662" s="794"/>
      <c r="C662" s="386"/>
      <c r="D662" s="518" t="s">
        <v>870</v>
      </c>
      <c r="E662" s="225" t="s">
        <v>64</v>
      </c>
      <c r="F662" s="228" t="s">
        <v>64</v>
      </c>
      <c r="G662" s="434">
        <v>1111.1099999999999</v>
      </c>
      <c r="H662" s="320" t="s">
        <v>64</v>
      </c>
      <c r="I662" s="638" t="s">
        <v>64</v>
      </c>
      <c r="J662" s="1048"/>
      <c r="K662" s="1048"/>
      <c r="L662" s="211">
        <v>82.777749999999997</v>
      </c>
      <c r="M662" s="225" t="s">
        <v>64</v>
      </c>
      <c r="N662" s="188"/>
      <c r="O662" s="188"/>
      <c r="P662" s="188"/>
      <c r="Q662" s="188"/>
      <c r="R662" s="214"/>
      <c r="S662" s="8">
        <v>82.777749999999997</v>
      </c>
      <c r="T662" s="157">
        <v>691.698580374225</v>
      </c>
      <c r="U662" s="607" t="s">
        <v>64</v>
      </c>
      <c r="V662" s="111"/>
      <c r="W662" s="7">
        <v>14.444430000000001</v>
      </c>
      <c r="X662" s="157">
        <v>120.69900094306583</v>
      </c>
      <c r="Y662" s="7">
        <v>6.319998</v>
      </c>
      <c r="Z662" s="157">
        <v>52.81049128018023</v>
      </c>
      <c r="AA662" s="188"/>
      <c r="AB662" s="124"/>
      <c r="AC662" s="7">
        <v>26.133328000000002</v>
      </c>
      <c r="AD662" s="270">
        <v>218.37252012834369</v>
      </c>
      <c r="AE662" s="1322"/>
      <c r="AF662" s="1322"/>
      <c r="AG662" s="192">
        <v>82.777749999999997</v>
      </c>
      <c r="AH662" s="157">
        <v>1383.39716074845</v>
      </c>
      <c r="AI662" s="177">
        <f t="shared" si="21"/>
        <v>1383.39716074845</v>
      </c>
      <c r="AJ662" s="976"/>
      <c r="AK662" s="982"/>
      <c r="AL662" s="1313"/>
      <c r="AM662" s="151"/>
      <c r="AN662" s="90"/>
      <c r="AO662" s="128"/>
      <c r="AP662" s="106"/>
    </row>
    <row r="663" spans="1:42" s="69" customFormat="1" ht="15" customHeight="1">
      <c r="A663" s="1015"/>
      <c r="B663" s="794"/>
      <c r="C663" s="386"/>
      <c r="D663" s="518" t="s">
        <v>793</v>
      </c>
      <c r="E663" s="225" t="s">
        <v>64</v>
      </c>
      <c r="F663" s="228" t="s">
        <v>64</v>
      </c>
      <c r="G663" s="434">
        <v>111.11</v>
      </c>
      <c r="H663" s="320" t="s">
        <v>64</v>
      </c>
      <c r="I663" s="638" t="s">
        <v>64</v>
      </c>
      <c r="J663" s="1048"/>
      <c r="K663" s="1048"/>
      <c r="L663" s="211">
        <v>52.333320000000001</v>
      </c>
      <c r="M663" s="225" t="s">
        <v>64</v>
      </c>
      <c r="N663" s="188"/>
      <c r="O663" s="188"/>
      <c r="P663" s="188"/>
      <c r="Q663" s="188"/>
      <c r="R663" s="214"/>
      <c r="S663" s="8">
        <v>52.333320000000001</v>
      </c>
      <c r="T663" s="157">
        <v>437.30209084288964</v>
      </c>
      <c r="U663" s="607" t="s">
        <v>64</v>
      </c>
      <c r="V663" s="111"/>
      <c r="W663" s="7">
        <v>0</v>
      </c>
      <c r="X663" s="157">
        <v>0</v>
      </c>
      <c r="Y663" s="7">
        <v>4.5199980000000002</v>
      </c>
      <c r="Z663" s="157">
        <v>37.769523813999953</v>
      </c>
      <c r="AA663" s="188"/>
      <c r="AB663" s="124"/>
      <c r="AC663" s="7">
        <v>19.733328</v>
      </c>
      <c r="AD663" s="270">
        <v>164.89352469303591</v>
      </c>
      <c r="AE663" s="1322"/>
      <c r="AF663" s="1322"/>
      <c r="AG663" s="192">
        <v>52.333320000000001</v>
      </c>
      <c r="AH663" s="157">
        <v>874.60418168577928</v>
      </c>
      <c r="AI663" s="177">
        <f t="shared" si="21"/>
        <v>874.60418168577928</v>
      </c>
      <c r="AJ663" s="976"/>
      <c r="AK663" s="982"/>
      <c r="AL663" s="1313"/>
      <c r="AM663" s="151"/>
      <c r="AN663" s="90"/>
      <c r="AO663" s="128"/>
      <c r="AP663" s="106"/>
    </row>
    <row r="664" spans="1:42" s="69" customFormat="1" ht="15.75" customHeight="1" thickBot="1">
      <c r="A664" s="1016"/>
      <c r="B664" s="918"/>
      <c r="C664" s="390"/>
      <c r="D664" s="789" t="s">
        <v>794</v>
      </c>
      <c r="E664" s="226" t="s">
        <v>64</v>
      </c>
      <c r="F664" s="229" t="s">
        <v>64</v>
      </c>
      <c r="G664" s="477">
        <v>300</v>
      </c>
      <c r="H664" s="409" t="s">
        <v>64</v>
      </c>
      <c r="I664" s="641" t="s">
        <v>64</v>
      </c>
      <c r="J664" s="1049"/>
      <c r="K664" s="1049"/>
      <c r="L664" s="444">
        <v>54.6</v>
      </c>
      <c r="M664" s="409" t="s">
        <v>64</v>
      </c>
      <c r="N664" s="189"/>
      <c r="O664" s="189"/>
      <c r="P664" s="189"/>
      <c r="Q664" s="189"/>
      <c r="R664" s="275"/>
      <c r="S664" s="190">
        <v>54.6</v>
      </c>
      <c r="T664" s="156">
        <v>456.24267980746868</v>
      </c>
      <c r="U664" s="229" t="s">
        <v>64</v>
      </c>
      <c r="V664" s="125"/>
      <c r="W664" s="46">
        <v>0</v>
      </c>
      <c r="X664" s="156">
        <v>0</v>
      </c>
      <c r="Y664" s="46">
        <v>4.8600000000000003</v>
      </c>
      <c r="Z664" s="156">
        <v>40.610612158686713</v>
      </c>
      <c r="AA664" s="189"/>
      <c r="AB664" s="216"/>
      <c r="AC664" s="46">
        <v>20.64</v>
      </c>
      <c r="AD664" s="271">
        <v>172.46976027886723</v>
      </c>
      <c r="AE664" s="1323"/>
      <c r="AF664" s="1323"/>
      <c r="AG664" s="193">
        <v>54.6</v>
      </c>
      <c r="AH664" s="156">
        <v>912.48535961493735</v>
      </c>
      <c r="AI664" s="180">
        <f t="shared" si="21"/>
        <v>912.48535961493735</v>
      </c>
      <c r="AJ664" s="977"/>
      <c r="AK664" s="983"/>
      <c r="AL664" s="1313"/>
      <c r="AM664" s="151"/>
      <c r="AN664" s="90"/>
      <c r="AO664" s="128"/>
      <c r="AP664" s="106"/>
    </row>
    <row r="665" spans="1:42" s="69" customFormat="1" ht="15" customHeight="1">
      <c r="A665" s="1014"/>
      <c r="B665" s="232" t="s">
        <v>151</v>
      </c>
      <c r="C665" s="912" t="s">
        <v>151</v>
      </c>
      <c r="D665" s="222" t="s">
        <v>604</v>
      </c>
      <c r="E665" s="240" t="s">
        <v>618</v>
      </c>
      <c r="F665" s="240" t="s">
        <v>0</v>
      </c>
      <c r="G665" s="430">
        <v>7002.576</v>
      </c>
      <c r="H665" s="49">
        <v>7002.58</v>
      </c>
      <c r="I665" s="802" t="s">
        <v>21</v>
      </c>
      <c r="J665" s="1047" t="s">
        <v>622</v>
      </c>
      <c r="K665" s="1047" t="s">
        <v>621</v>
      </c>
      <c r="L665" s="445">
        <v>588.10625472000004</v>
      </c>
      <c r="M665" s="50">
        <v>330.63</v>
      </c>
      <c r="N665" s="114"/>
      <c r="O665" s="114"/>
      <c r="P665" s="114"/>
      <c r="Q665" s="114"/>
      <c r="R665" s="173"/>
      <c r="S665" s="198">
        <v>257.47625472000004</v>
      </c>
      <c r="T665" s="117">
        <v>1305.339879020227</v>
      </c>
      <c r="U665" s="801" t="s">
        <v>21</v>
      </c>
      <c r="V665" s="120"/>
      <c r="W665" s="120">
        <v>91.033488000000006</v>
      </c>
      <c r="X665" s="117">
        <v>461.51689732295512</v>
      </c>
      <c r="Y665" s="120">
        <v>6.0038640000000001</v>
      </c>
      <c r="Z665" s="117">
        <v>30.438081041440359</v>
      </c>
      <c r="AA665" s="120">
        <v>31.047006720000006</v>
      </c>
      <c r="AB665" s="117">
        <v>157.4005185056663</v>
      </c>
      <c r="AC665" s="120">
        <v>33.642897600000005</v>
      </c>
      <c r="AD665" s="269">
        <v>170.56103263126519</v>
      </c>
      <c r="AE665" s="941" t="s">
        <v>19</v>
      </c>
      <c r="AF665" s="942"/>
      <c r="AG665" s="198">
        <v>257.47625472000004</v>
      </c>
      <c r="AH665" s="117">
        <v>2610.6797580404541</v>
      </c>
      <c r="AI665" s="177">
        <f t="shared" ref="AI665:AI695" si="22">AH665</f>
        <v>2610.6797580404541</v>
      </c>
      <c r="AJ665" s="975">
        <v>46219</v>
      </c>
      <c r="AK665" s="981">
        <f>SUM(AI665:AI677)</f>
        <v>30089.466567515439</v>
      </c>
      <c r="AL665" s="1313"/>
      <c r="AM665" s="151"/>
      <c r="AN665" s="90"/>
      <c r="AO665" s="128"/>
      <c r="AP665" s="106"/>
    </row>
    <row r="666" spans="1:42" s="69" customFormat="1" ht="15" customHeight="1">
      <c r="A666" s="1015"/>
      <c r="B666" s="787"/>
      <c r="C666" s="386"/>
      <c r="D666" s="223" t="s">
        <v>809</v>
      </c>
      <c r="E666" s="225" t="s">
        <v>64</v>
      </c>
      <c r="F666" s="228" t="s">
        <v>64</v>
      </c>
      <c r="G666" s="430">
        <v>2334.192</v>
      </c>
      <c r="H666" s="320" t="s">
        <v>64</v>
      </c>
      <c r="I666" s="803" t="s">
        <v>21</v>
      </c>
      <c r="J666" s="1048"/>
      <c r="K666" s="1048"/>
      <c r="L666" s="210">
        <v>98.986922240000013</v>
      </c>
      <c r="M666" s="225" t="s">
        <v>64</v>
      </c>
      <c r="N666" s="197"/>
      <c r="O666" s="197"/>
      <c r="P666" s="197"/>
      <c r="Q666" s="197"/>
      <c r="R666" s="213"/>
      <c r="S666" s="195">
        <v>98.986922240000013</v>
      </c>
      <c r="T666" s="159">
        <v>501.83880933743234</v>
      </c>
      <c r="U666" s="99" t="s">
        <v>21</v>
      </c>
      <c r="V666" s="24"/>
      <c r="W666" s="24">
        <v>0</v>
      </c>
      <c r="X666" s="159">
        <v>0</v>
      </c>
      <c r="Y666" s="24">
        <v>8.7012880000000017</v>
      </c>
      <c r="Z666" s="159">
        <v>44.113342558877463</v>
      </c>
      <c r="AA666" s="24">
        <v>17.645002240000004</v>
      </c>
      <c r="AB666" s="159">
        <v>89.455725205886793</v>
      </c>
      <c r="AC666" s="24">
        <v>20.368899200000005</v>
      </c>
      <c r="AD666" s="411">
        <v>103.26519797492573</v>
      </c>
      <c r="AE666" s="943"/>
      <c r="AF666" s="944"/>
      <c r="AG666" s="195">
        <v>98.986922240000013</v>
      </c>
      <c r="AH666" s="159">
        <v>1003.6776186748647</v>
      </c>
      <c r="AI666" s="177">
        <f t="shared" si="22"/>
        <v>1003.6776186748647</v>
      </c>
      <c r="AJ666" s="976"/>
      <c r="AK666" s="982"/>
      <c r="AL666" s="1313"/>
      <c r="AM666" s="151"/>
      <c r="AN666" s="90"/>
      <c r="AO666" s="128"/>
      <c r="AP666" s="106"/>
    </row>
    <row r="667" spans="1:42" s="69" customFormat="1" ht="15" customHeight="1">
      <c r="A667" s="1015"/>
      <c r="B667" s="787"/>
      <c r="C667" s="386"/>
      <c r="D667" s="223" t="s">
        <v>810</v>
      </c>
      <c r="E667" s="225" t="s">
        <v>64</v>
      </c>
      <c r="F667" s="228" t="s">
        <v>64</v>
      </c>
      <c r="G667" s="430">
        <v>7033.6</v>
      </c>
      <c r="H667" s="320" t="s">
        <v>64</v>
      </c>
      <c r="I667" s="803" t="s">
        <v>21</v>
      </c>
      <c r="J667" s="1048"/>
      <c r="K667" s="1048"/>
      <c r="L667" s="211">
        <v>261.80019200000004</v>
      </c>
      <c r="M667" s="225" t="s">
        <v>64</v>
      </c>
      <c r="N667" s="188"/>
      <c r="O667" s="188"/>
      <c r="P667" s="188"/>
      <c r="Q667" s="188"/>
      <c r="R667" s="214"/>
      <c r="S667" s="8">
        <v>261.80019200000004</v>
      </c>
      <c r="T667" s="157">
        <v>1327.2611539436339</v>
      </c>
      <c r="U667" s="99" t="s">
        <v>21</v>
      </c>
      <c r="V667" s="7"/>
      <c r="W667" s="7">
        <v>91.436800000000019</v>
      </c>
      <c r="X667" s="157">
        <v>463.56158776580742</v>
      </c>
      <c r="Y667" s="7">
        <v>15.750399999999999</v>
      </c>
      <c r="Z667" s="157">
        <v>79.850568173280038</v>
      </c>
      <c r="AA667" s="7">
        <v>32.027391999999999</v>
      </c>
      <c r="AB667" s="157">
        <v>162.37082539544159</v>
      </c>
      <c r="AC667" s="7">
        <v>35.187360000000005</v>
      </c>
      <c r="AD667" s="270">
        <v>178.39106870414398</v>
      </c>
      <c r="AE667" s="943"/>
      <c r="AF667" s="944"/>
      <c r="AG667" s="192">
        <v>261.80019200000004</v>
      </c>
      <c r="AH667" s="157">
        <v>2654.5223078872677</v>
      </c>
      <c r="AI667" s="177">
        <f t="shared" si="22"/>
        <v>2654.5223078872677</v>
      </c>
      <c r="AJ667" s="976"/>
      <c r="AK667" s="982"/>
      <c r="AL667" s="1313"/>
      <c r="AM667" s="151"/>
      <c r="AN667" s="90"/>
      <c r="AO667" s="128"/>
      <c r="AP667" s="106"/>
    </row>
    <row r="668" spans="1:42" s="69" customFormat="1" ht="15" customHeight="1">
      <c r="A668" s="1015"/>
      <c r="B668" s="787"/>
      <c r="C668" s="386"/>
      <c r="D668" s="223" t="s">
        <v>811</v>
      </c>
      <c r="E668" s="225" t="s">
        <v>64</v>
      </c>
      <c r="F668" s="228" t="s">
        <v>64</v>
      </c>
      <c r="G668" s="426">
        <v>75.024000000000001</v>
      </c>
      <c r="H668" s="320" t="s">
        <v>64</v>
      </c>
      <c r="I668" s="803" t="s">
        <v>21</v>
      </c>
      <c r="J668" s="1048"/>
      <c r="K668" s="1048"/>
      <c r="L668" s="211">
        <v>81.850305279999986</v>
      </c>
      <c r="M668" s="225" t="s">
        <v>64</v>
      </c>
      <c r="N668" s="188"/>
      <c r="O668" s="188"/>
      <c r="P668" s="188"/>
      <c r="Q668" s="188"/>
      <c r="R668" s="214"/>
      <c r="S668" s="8">
        <v>81.850305279999986</v>
      </c>
      <c r="T668" s="157">
        <v>414.96046968739961</v>
      </c>
      <c r="U668" s="99" t="s">
        <v>21</v>
      </c>
      <c r="V668" s="111"/>
      <c r="W668" s="7">
        <v>0</v>
      </c>
      <c r="X668" s="157">
        <v>0</v>
      </c>
      <c r="Y668" s="7">
        <v>5.3125360000000006</v>
      </c>
      <c r="Z668" s="157">
        <v>26.933221889031685</v>
      </c>
      <c r="AA668" s="7">
        <v>13.100065279999999</v>
      </c>
      <c r="AB668" s="157">
        <v>66.414037466671246</v>
      </c>
      <c r="AC668" s="7">
        <v>17.0950624</v>
      </c>
      <c r="AD668" s="270">
        <v>86.667668478113328</v>
      </c>
      <c r="AE668" s="943"/>
      <c r="AF668" s="944"/>
      <c r="AG668" s="192">
        <v>81.850305279999986</v>
      </c>
      <c r="AH668" s="157">
        <v>829.92093937479922</v>
      </c>
      <c r="AI668" s="177">
        <f t="shared" si="22"/>
        <v>829.92093937479922</v>
      </c>
      <c r="AJ668" s="976"/>
      <c r="AK668" s="982"/>
      <c r="AL668" s="1313"/>
      <c r="AM668" s="151"/>
      <c r="AN668" s="90"/>
      <c r="AO668" s="128"/>
      <c r="AP668" s="106"/>
    </row>
    <row r="669" spans="1:42" s="69" customFormat="1" ht="15" customHeight="1">
      <c r="A669" s="1015"/>
      <c r="B669" s="787"/>
      <c r="C669" s="386"/>
      <c r="D669" s="223" t="s">
        <v>812</v>
      </c>
      <c r="E669" s="225" t="s">
        <v>64</v>
      </c>
      <c r="F669" s="228" t="s">
        <v>64</v>
      </c>
      <c r="G669" s="479">
        <v>3333.33</v>
      </c>
      <c r="H669" s="320" t="s">
        <v>64</v>
      </c>
      <c r="I669" s="803" t="s">
        <v>21</v>
      </c>
      <c r="J669" s="1048"/>
      <c r="K669" s="1048"/>
      <c r="L669" s="211">
        <v>166.62924760000001</v>
      </c>
      <c r="M669" s="225" t="s">
        <v>64</v>
      </c>
      <c r="N669" s="188"/>
      <c r="O669" s="188"/>
      <c r="P669" s="188"/>
      <c r="Q669" s="188"/>
      <c r="R669" s="214"/>
      <c r="S669" s="8">
        <v>166.62924760000001</v>
      </c>
      <c r="T669" s="157">
        <v>844.76839287549274</v>
      </c>
      <c r="U669" s="99" t="s">
        <v>21</v>
      </c>
      <c r="V669" s="111"/>
      <c r="W669" s="7">
        <v>43.333290000000005</v>
      </c>
      <c r="X669" s="157">
        <v>219.68888582623396</v>
      </c>
      <c r="Y669" s="7">
        <v>10.199995000000001</v>
      </c>
      <c r="Z669" s="157">
        <v>51.711410257175423</v>
      </c>
      <c r="AA669" s="7">
        <v>21.962657600000004</v>
      </c>
      <c r="AB669" s="157">
        <v>111.34515237423862</v>
      </c>
      <c r="AC669" s="7">
        <v>25.566658000000004</v>
      </c>
      <c r="AD669" s="270">
        <v>129.61652831622914</v>
      </c>
      <c r="AE669" s="943"/>
      <c r="AF669" s="944"/>
      <c r="AG669" s="192">
        <v>166.62924760000001</v>
      </c>
      <c r="AH669" s="157">
        <v>1689.5367857509855</v>
      </c>
      <c r="AI669" s="177">
        <f t="shared" si="22"/>
        <v>1689.5367857509855</v>
      </c>
      <c r="AJ669" s="976"/>
      <c r="AK669" s="982"/>
      <c r="AL669" s="1313"/>
      <c r="AM669" s="151"/>
      <c r="AN669" s="90"/>
      <c r="AO669" s="128"/>
      <c r="AP669" s="106"/>
    </row>
    <row r="670" spans="1:42" s="69" customFormat="1" ht="15" customHeight="1">
      <c r="A670" s="1015"/>
      <c r="B670" s="787"/>
      <c r="C670" s="386"/>
      <c r="D670" s="223" t="s">
        <v>813</v>
      </c>
      <c r="E670" s="225" t="s">
        <v>64</v>
      </c>
      <c r="F670" s="228" t="s">
        <v>64</v>
      </c>
      <c r="G670" s="433">
        <v>15000</v>
      </c>
      <c r="H670" s="320" t="s">
        <v>64</v>
      </c>
      <c r="I670" s="803" t="s">
        <v>21</v>
      </c>
      <c r="J670" s="1048"/>
      <c r="K670" s="1048"/>
      <c r="L670" s="211">
        <v>466.69600000000008</v>
      </c>
      <c r="M670" s="225" t="s">
        <v>64</v>
      </c>
      <c r="N670" s="188"/>
      <c r="O670" s="188"/>
      <c r="P670" s="188"/>
      <c r="Q670" s="188"/>
      <c r="R670" s="214"/>
      <c r="S670" s="8">
        <v>466.69600000000008</v>
      </c>
      <c r="T670" s="157">
        <v>2366.0313874058525</v>
      </c>
      <c r="U670" s="99" t="s">
        <v>21</v>
      </c>
      <c r="V670" s="111"/>
      <c r="W670" s="7">
        <v>195.00000000000003</v>
      </c>
      <c r="X670" s="157">
        <v>988.60097481902756</v>
      </c>
      <c r="Y670" s="7">
        <v>27.7</v>
      </c>
      <c r="Z670" s="157">
        <v>140.43203591019011</v>
      </c>
      <c r="AA670" s="7">
        <v>53.696000000000005</v>
      </c>
      <c r="AB670" s="157">
        <v>272.22522022503858</v>
      </c>
      <c r="AC670" s="7">
        <v>55.9</v>
      </c>
      <c r="AD670" s="270">
        <v>283.39894611478786</v>
      </c>
      <c r="AE670" s="943"/>
      <c r="AF670" s="944"/>
      <c r="AG670" s="192">
        <v>466.69600000000008</v>
      </c>
      <c r="AH670" s="157">
        <v>4732.0627748117049</v>
      </c>
      <c r="AI670" s="177">
        <f t="shared" si="22"/>
        <v>4732.0627748117049</v>
      </c>
      <c r="AJ670" s="976"/>
      <c r="AK670" s="982"/>
      <c r="AL670" s="1313"/>
      <c r="AM670" s="151"/>
      <c r="AN670" s="90"/>
      <c r="AO670" s="128"/>
      <c r="AP670" s="106"/>
    </row>
    <row r="671" spans="1:42" s="69" customFormat="1" ht="15" customHeight="1">
      <c r="A671" s="1015"/>
      <c r="B671" s="787"/>
      <c r="C671" s="386"/>
      <c r="D671" s="223" t="s">
        <v>814</v>
      </c>
      <c r="E671" s="225" t="s">
        <v>64</v>
      </c>
      <c r="F671" s="228" t="s">
        <v>64</v>
      </c>
      <c r="G671" s="433">
        <v>1500</v>
      </c>
      <c r="H671" s="320" t="s">
        <v>64</v>
      </c>
      <c r="I671" s="803" t="s">
        <v>21</v>
      </c>
      <c r="J671" s="1048"/>
      <c r="K671" s="1048"/>
      <c r="L671" s="211">
        <v>88.376000000000005</v>
      </c>
      <c r="M671" s="225" t="s">
        <v>64</v>
      </c>
      <c r="N671" s="188"/>
      <c r="O671" s="188"/>
      <c r="P671" s="188"/>
      <c r="Q671" s="188"/>
      <c r="R671" s="214"/>
      <c r="S671" s="8">
        <v>88.376000000000005</v>
      </c>
      <c r="T671" s="157">
        <v>448.04410128516082</v>
      </c>
      <c r="U671" s="99" t="s">
        <v>21</v>
      </c>
      <c r="V671" s="111"/>
      <c r="W671" s="7">
        <v>0</v>
      </c>
      <c r="X671" s="157">
        <v>0</v>
      </c>
      <c r="Y671" s="7">
        <v>7.4499999999999993</v>
      </c>
      <c r="Z671" s="157">
        <v>37.76962698667564</v>
      </c>
      <c r="AA671" s="7">
        <v>15.375999999999999</v>
      </c>
      <c r="AB671" s="157">
        <v>77.952454301627512</v>
      </c>
      <c r="AC671" s="7">
        <v>18.2</v>
      </c>
      <c r="AD671" s="270">
        <v>92.269424316442567</v>
      </c>
      <c r="AE671" s="943"/>
      <c r="AF671" s="944"/>
      <c r="AG671" s="192">
        <v>88.376000000000005</v>
      </c>
      <c r="AH671" s="157">
        <v>896.08820257032164</v>
      </c>
      <c r="AI671" s="177">
        <f t="shared" si="22"/>
        <v>896.08820257032164</v>
      </c>
      <c r="AJ671" s="976"/>
      <c r="AK671" s="982"/>
      <c r="AL671" s="1313"/>
      <c r="AM671" s="151"/>
      <c r="AN671" s="90"/>
      <c r="AO671" s="128"/>
      <c r="AP671" s="106"/>
    </row>
    <row r="672" spans="1:42" s="69" customFormat="1" ht="15" customHeight="1">
      <c r="A672" s="1015"/>
      <c r="B672" s="787"/>
      <c r="C672" s="386"/>
      <c r="D672" s="223" t="s">
        <v>815</v>
      </c>
      <c r="E672" s="225" t="s">
        <v>64</v>
      </c>
      <c r="F672" s="228" t="s">
        <v>64</v>
      </c>
      <c r="G672" s="433">
        <v>35168</v>
      </c>
      <c r="H672" s="320" t="s">
        <v>64</v>
      </c>
      <c r="I672" s="803" t="s">
        <v>21</v>
      </c>
      <c r="J672" s="1048"/>
      <c r="K672" s="1048"/>
      <c r="L672" s="211">
        <v>985.41696000000002</v>
      </c>
      <c r="M672" s="225" t="s">
        <v>64</v>
      </c>
      <c r="N672" s="188"/>
      <c r="O672" s="188"/>
      <c r="P672" s="188"/>
      <c r="Q672" s="188"/>
      <c r="R672" s="214"/>
      <c r="S672" s="8">
        <v>985.41696000000002</v>
      </c>
      <c r="T672" s="157">
        <v>4995.8162423548911</v>
      </c>
      <c r="U672" s="99" t="s">
        <v>21</v>
      </c>
      <c r="V672" s="111"/>
      <c r="W672" s="7">
        <v>457.18400000000003</v>
      </c>
      <c r="X672" s="157">
        <v>2317.8079388290375</v>
      </c>
      <c r="Y672" s="7">
        <v>57.952000000000005</v>
      </c>
      <c r="Z672" s="157">
        <v>293.80207021903738</v>
      </c>
      <c r="AA672" s="7">
        <v>108.55296</v>
      </c>
      <c r="AB672" s="157">
        <v>550.33621577174802</v>
      </c>
      <c r="AC672" s="7">
        <v>108.33680000000001</v>
      </c>
      <c r="AD672" s="270">
        <v>549.24033891678971</v>
      </c>
      <c r="AE672" s="943"/>
      <c r="AF672" s="944"/>
      <c r="AG672" s="192">
        <v>985.41696000000002</v>
      </c>
      <c r="AH672" s="157">
        <v>9991.6324847097821</v>
      </c>
      <c r="AI672" s="177">
        <f t="shared" si="22"/>
        <v>9991.6324847097821</v>
      </c>
      <c r="AJ672" s="976"/>
      <c r="AK672" s="982"/>
      <c r="AL672" s="1313"/>
      <c r="AM672" s="151"/>
      <c r="AN672" s="90"/>
      <c r="AO672" s="128"/>
      <c r="AP672" s="106"/>
    </row>
    <row r="673" spans="1:42" s="69" customFormat="1" ht="15" customHeight="1">
      <c r="A673" s="1015"/>
      <c r="B673" s="787"/>
      <c r="C673" s="386"/>
      <c r="D673" s="223" t="s">
        <v>816</v>
      </c>
      <c r="E673" s="225" t="s">
        <v>64</v>
      </c>
      <c r="F673" s="228" t="s">
        <v>64</v>
      </c>
      <c r="G673" s="433">
        <v>14067</v>
      </c>
      <c r="H673" s="320" t="s">
        <v>64</v>
      </c>
      <c r="I673" s="803" t="s">
        <v>21</v>
      </c>
      <c r="J673" s="1048"/>
      <c r="K673" s="1048"/>
      <c r="L673" s="211">
        <v>248.22824000000003</v>
      </c>
      <c r="M673" s="225" t="s">
        <v>64</v>
      </c>
      <c r="N673" s="188"/>
      <c r="O673" s="188"/>
      <c r="P673" s="188"/>
      <c r="Q673" s="188"/>
      <c r="R673" s="214"/>
      <c r="S673" s="8">
        <v>248.22824000000003</v>
      </c>
      <c r="T673" s="157">
        <v>1258.4547694441608</v>
      </c>
      <c r="U673" s="99" t="s">
        <v>21</v>
      </c>
      <c r="V673" s="111"/>
      <c r="W673" s="7">
        <v>0</v>
      </c>
      <c r="X673" s="157">
        <v>0</v>
      </c>
      <c r="Y673" s="7">
        <v>26.300500000000003</v>
      </c>
      <c r="Z673" s="157">
        <v>133.33692276014284</v>
      </c>
      <c r="AA673" s="7">
        <v>49.558240000000005</v>
      </c>
      <c r="AB673" s="157">
        <v>251.24781730418115</v>
      </c>
      <c r="AC673" s="7">
        <v>50.874200000000009</v>
      </c>
      <c r="AD673" s="270">
        <v>257.91940365711906</v>
      </c>
      <c r="AE673" s="943"/>
      <c r="AF673" s="944"/>
      <c r="AG673" s="192">
        <v>248.22824000000003</v>
      </c>
      <c r="AH673" s="157">
        <v>2516.9095388883215</v>
      </c>
      <c r="AI673" s="177">
        <f t="shared" si="22"/>
        <v>2516.9095388883215</v>
      </c>
      <c r="AJ673" s="976"/>
      <c r="AK673" s="982"/>
      <c r="AL673" s="1313"/>
      <c r="AM673" s="151"/>
      <c r="AN673" s="90"/>
      <c r="AO673" s="128"/>
      <c r="AP673" s="106"/>
    </row>
    <row r="674" spans="1:42" s="69" customFormat="1" ht="15" customHeight="1">
      <c r="A674" s="1015"/>
      <c r="B674" s="787"/>
      <c r="C674" s="386"/>
      <c r="D674" s="223" t="s">
        <v>820</v>
      </c>
      <c r="E674" s="225" t="s">
        <v>64</v>
      </c>
      <c r="F674" s="228" t="s">
        <v>64</v>
      </c>
      <c r="G674" s="433">
        <v>240</v>
      </c>
      <c r="H674" s="320" t="s">
        <v>64</v>
      </c>
      <c r="I674" s="803" t="s">
        <v>21</v>
      </c>
      <c r="J674" s="1048"/>
      <c r="K674" s="1048"/>
      <c r="L674" s="211">
        <v>72.348800000000011</v>
      </c>
      <c r="M674" s="225" t="s">
        <v>64</v>
      </c>
      <c r="N674" s="188"/>
      <c r="O674" s="188"/>
      <c r="P674" s="188"/>
      <c r="Q674" s="188"/>
      <c r="R674" s="214"/>
      <c r="S674" s="8">
        <v>72.348800000000011</v>
      </c>
      <c r="T674" s="157">
        <v>366.79022670249674</v>
      </c>
      <c r="U674" s="99" t="s">
        <v>21</v>
      </c>
      <c r="V674" s="111"/>
      <c r="W674" s="7">
        <v>0</v>
      </c>
      <c r="X674" s="157">
        <v>0</v>
      </c>
      <c r="Y674" s="7">
        <v>5.56</v>
      </c>
      <c r="Z674" s="157">
        <v>28.187802153814339</v>
      </c>
      <c r="AA674" s="7">
        <v>11.9488</v>
      </c>
      <c r="AB674" s="157">
        <v>60.5774119380389</v>
      </c>
      <c r="AC674" s="7">
        <v>14.924000000000001</v>
      </c>
      <c r="AD674" s="270">
        <v>75.660927939482946</v>
      </c>
      <c r="AE674" s="943"/>
      <c r="AF674" s="944"/>
      <c r="AG674" s="192">
        <v>72.348800000000011</v>
      </c>
      <c r="AH674" s="157">
        <v>733.58045340499348</v>
      </c>
      <c r="AI674" s="177">
        <f t="shared" si="22"/>
        <v>733.58045340499348</v>
      </c>
      <c r="AJ674" s="976"/>
      <c r="AK674" s="982"/>
      <c r="AL674" s="1313"/>
      <c r="AM674" s="151"/>
      <c r="AN674" s="90"/>
      <c r="AO674" s="128"/>
      <c r="AP674" s="106"/>
    </row>
    <row r="675" spans="1:42" s="69" customFormat="1" ht="15.75" customHeight="1">
      <c r="A675" s="1015"/>
      <c r="B675" s="788"/>
      <c r="C675" s="388"/>
      <c r="D675" s="223" t="s">
        <v>821</v>
      </c>
      <c r="E675" s="320" t="s">
        <v>64</v>
      </c>
      <c r="F675" s="607" t="s">
        <v>64</v>
      </c>
      <c r="G675" s="431">
        <v>300</v>
      </c>
      <c r="H675" s="320" t="s">
        <v>64</v>
      </c>
      <c r="I675" s="803" t="s">
        <v>21</v>
      </c>
      <c r="J675" s="1048"/>
      <c r="K675" s="1081"/>
      <c r="L675" s="7">
        <v>73.112000000000009</v>
      </c>
      <c r="M675" s="320" t="s">
        <v>64</v>
      </c>
      <c r="N675" s="188"/>
      <c r="O675" s="188"/>
      <c r="P675" s="188"/>
      <c r="Q675" s="188"/>
      <c r="R675" s="214"/>
      <c r="S675" s="8">
        <v>73.112000000000009</v>
      </c>
      <c r="T675" s="157">
        <v>370.65945882548073</v>
      </c>
      <c r="U675" s="99" t="s">
        <v>21</v>
      </c>
      <c r="V675" s="111"/>
      <c r="W675" s="7">
        <v>0</v>
      </c>
      <c r="X675" s="157">
        <v>0</v>
      </c>
      <c r="Y675" s="7">
        <v>5.65</v>
      </c>
      <c r="Z675" s="157">
        <v>28.644079526807737</v>
      </c>
      <c r="AA675" s="7">
        <v>12.112</v>
      </c>
      <c r="AB675" s="157">
        <v>61.40479490773366</v>
      </c>
      <c r="AC675" s="7">
        <v>15.08</v>
      </c>
      <c r="AD675" s="270">
        <v>76.451808719338104</v>
      </c>
      <c r="AE675" s="943"/>
      <c r="AF675" s="944"/>
      <c r="AG675" s="192">
        <v>73.112000000000009</v>
      </c>
      <c r="AH675" s="157">
        <v>741.31891765096145</v>
      </c>
      <c r="AI675" s="176">
        <f t="shared" si="22"/>
        <v>741.31891765096145</v>
      </c>
      <c r="AJ675" s="976"/>
      <c r="AK675" s="982"/>
      <c r="AL675" s="1313"/>
      <c r="AM675" s="151"/>
      <c r="AN675" s="90"/>
      <c r="AO675" s="128"/>
      <c r="AP675" s="106"/>
    </row>
    <row r="676" spans="1:42" s="69" customFormat="1" ht="15" customHeight="1">
      <c r="A676" s="1015"/>
      <c r="B676" s="788"/>
      <c r="C676" s="388"/>
      <c r="D676" s="223" t="s">
        <v>822</v>
      </c>
      <c r="E676" s="320" t="s">
        <v>64</v>
      </c>
      <c r="F676" s="607" t="s">
        <v>64</v>
      </c>
      <c r="G676" s="427">
        <v>3333.33</v>
      </c>
      <c r="H676" s="320" t="s">
        <v>64</v>
      </c>
      <c r="I676" s="803" t="s">
        <v>21</v>
      </c>
      <c r="J676" s="1048"/>
      <c r="K676" s="1081"/>
      <c r="L676" s="7">
        <v>166.62924760000001</v>
      </c>
      <c r="M676" s="320" t="s">
        <v>64</v>
      </c>
      <c r="N676" s="188"/>
      <c r="O676" s="188"/>
      <c r="P676" s="188"/>
      <c r="Q676" s="188"/>
      <c r="R676" s="214"/>
      <c r="S676" s="8">
        <v>166.62924760000001</v>
      </c>
      <c r="T676" s="157">
        <v>844.76839287549274</v>
      </c>
      <c r="U676" s="99" t="s">
        <v>21</v>
      </c>
      <c r="V676" s="7"/>
      <c r="W676" s="7">
        <v>43.333290000000005</v>
      </c>
      <c r="X676" s="157">
        <v>219.68888582623396</v>
      </c>
      <c r="Y676" s="7">
        <v>10.199995000000001</v>
      </c>
      <c r="Z676" s="157">
        <v>51.711410257175423</v>
      </c>
      <c r="AA676" s="7">
        <v>21.962657600000004</v>
      </c>
      <c r="AB676" s="157">
        <v>111.34515237423862</v>
      </c>
      <c r="AC676" s="7">
        <v>25.566658000000004</v>
      </c>
      <c r="AD676" s="270">
        <v>129.61652831622914</v>
      </c>
      <c r="AE676" s="943"/>
      <c r="AF676" s="944"/>
      <c r="AG676" s="192">
        <v>166.62924760000001</v>
      </c>
      <c r="AH676" s="157">
        <v>1689.5367857509855</v>
      </c>
      <c r="AI676" s="176">
        <f t="shared" si="22"/>
        <v>1689.5367857509855</v>
      </c>
      <c r="AJ676" s="976"/>
      <c r="AK676" s="982"/>
      <c r="AL676" s="1313"/>
      <c r="AM676" s="151"/>
      <c r="AN676" s="90"/>
      <c r="AO676" s="128"/>
      <c r="AP676" s="106"/>
    </row>
    <row r="677" spans="1:42" s="69" customFormat="1" ht="15" customHeight="1" thickBot="1">
      <c r="A677" s="1015"/>
      <c r="B677" s="796"/>
      <c r="C677" s="390"/>
      <c r="D677" s="699" t="s">
        <v>613</v>
      </c>
      <c r="E677" s="226" t="s">
        <v>64</v>
      </c>
      <c r="F677" s="229" t="s">
        <v>64</v>
      </c>
      <c r="G677" s="429">
        <v>66666.66</v>
      </c>
      <c r="H677" s="226" t="s">
        <v>64</v>
      </c>
      <c r="I677" s="804" t="s">
        <v>21</v>
      </c>
      <c r="J677" s="1049"/>
      <c r="K677" s="1102"/>
      <c r="L677" s="1252" t="s">
        <v>623</v>
      </c>
      <c r="M677" s="1253"/>
      <c r="N677" s="1253"/>
      <c r="O677" s="1253"/>
      <c r="P677" s="1253"/>
      <c r="Q677" s="1254"/>
      <c r="R677" s="1252" t="s">
        <v>623</v>
      </c>
      <c r="S677" s="1253"/>
      <c r="T677" s="1253"/>
      <c r="U677" s="1253"/>
      <c r="V677" s="1253"/>
      <c r="W677" s="1254"/>
      <c r="X677" s="1337" t="s">
        <v>623</v>
      </c>
      <c r="Y677" s="1338"/>
      <c r="Z677" s="1338"/>
      <c r="AA677" s="1338"/>
      <c r="AB677" s="1338"/>
      <c r="AC677" s="1338"/>
      <c r="AD677" s="1339"/>
      <c r="AE677" s="943"/>
      <c r="AF677" s="944"/>
      <c r="AG677" s="1252" t="s">
        <v>624</v>
      </c>
      <c r="AH677" s="1253"/>
      <c r="AI677" s="1254"/>
      <c r="AJ677" s="976"/>
      <c r="AK677" s="983"/>
      <c r="AL677" s="1313"/>
      <c r="AM677" s="151"/>
      <c r="AN677" s="90"/>
      <c r="AO677" s="128"/>
      <c r="AP677" s="106"/>
    </row>
    <row r="678" spans="1:42" s="69" customFormat="1" ht="15" customHeight="1">
      <c r="A678" s="1015"/>
      <c r="B678" s="465" t="s">
        <v>151</v>
      </c>
      <c r="C678" s="386" t="s">
        <v>151</v>
      </c>
      <c r="D678" s="223" t="s">
        <v>614</v>
      </c>
      <c r="E678" s="223" t="s">
        <v>619</v>
      </c>
      <c r="F678" s="797"/>
      <c r="G678" s="430"/>
      <c r="H678" s="225"/>
      <c r="I678" s="643"/>
      <c r="J678" s="1047" t="s">
        <v>620</v>
      </c>
      <c r="K678" s="1082" t="s">
        <v>586</v>
      </c>
      <c r="L678" s="120">
        <v>198.7456</v>
      </c>
      <c r="M678" s="50">
        <v>63.24</v>
      </c>
      <c r="N678" s="115"/>
      <c r="O678" s="115"/>
      <c r="P678" s="115"/>
      <c r="Q678" s="115"/>
      <c r="R678" s="174"/>
      <c r="S678" s="12">
        <v>135.50559999999999</v>
      </c>
      <c r="T678" s="117">
        <v>590.63708619880106</v>
      </c>
      <c r="U678" s="600"/>
      <c r="V678" s="120"/>
      <c r="W678" s="600"/>
      <c r="X678" s="600"/>
      <c r="Y678" s="120">
        <v>3.5</v>
      </c>
      <c r="Z678" s="117">
        <v>15.255678006634437</v>
      </c>
      <c r="AA678" s="120">
        <v>26.485600000000005</v>
      </c>
      <c r="AB678" s="117">
        <v>115.44451011786215</v>
      </c>
      <c r="AC678" s="120">
        <v>47.484000000000009</v>
      </c>
      <c r="AD678" s="269">
        <v>206.97160413343724</v>
      </c>
      <c r="AE678" s="943"/>
      <c r="AF678" s="944"/>
      <c r="AG678" s="198">
        <v>135.50559999999999</v>
      </c>
      <c r="AH678" s="117">
        <v>1181.2741723976021</v>
      </c>
      <c r="AI678" s="177">
        <f t="shared" si="22"/>
        <v>1181.2741723976021</v>
      </c>
      <c r="AJ678" s="976"/>
      <c r="AK678" s="981">
        <f>SUM(AI678:AI680)</f>
        <v>2345.5875178639426</v>
      </c>
      <c r="AL678" s="1313"/>
      <c r="AM678" s="151"/>
      <c r="AN678" s="90"/>
      <c r="AO678" s="128"/>
      <c r="AP678" s="106"/>
    </row>
    <row r="679" spans="1:42" s="69" customFormat="1" ht="15" customHeight="1">
      <c r="A679" s="1015"/>
      <c r="B679" s="786"/>
      <c r="C679" s="388"/>
      <c r="D679" s="223" t="s">
        <v>615</v>
      </c>
      <c r="E679" s="225" t="s">
        <v>64</v>
      </c>
      <c r="F679" s="798"/>
      <c r="G679" s="426"/>
      <c r="H679" s="225" t="s">
        <v>64</v>
      </c>
      <c r="I679" s="643"/>
      <c r="J679" s="1048"/>
      <c r="K679" s="1081"/>
      <c r="L679" s="7">
        <v>66.78</v>
      </c>
      <c r="M679" s="320" t="s">
        <v>64</v>
      </c>
      <c r="N679" s="188"/>
      <c r="O679" s="188"/>
      <c r="P679" s="188"/>
      <c r="Q679" s="188"/>
      <c r="R679" s="214"/>
      <c r="S679" s="8">
        <v>66.78</v>
      </c>
      <c r="T679" s="157">
        <v>291.07833636658506</v>
      </c>
      <c r="U679" s="188"/>
      <c r="V679" s="111"/>
      <c r="W679" s="188"/>
      <c r="X679" s="124"/>
      <c r="Y679" s="7">
        <v>3.5</v>
      </c>
      <c r="Z679" s="157">
        <v>15.255678006634437</v>
      </c>
      <c r="AA679" s="7">
        <v>15.28</v>
      </c>
      <c r="AB679" s="157">
        <v>66.601931411821241</v>
      </c>
      <c r="AC679" s="7">
        <v>21.6</v>
      </c>
      <c r="AD679" s="270">
        <v>94.149327126658292</v>
      </c>
      <c r="AE679" s="943"/>
      <c r="AF679" s="944"/>
      <c r="AG679" s="192">
        <v>66.78</v>
      </c>
      <c r="AH679" s="157">
        <v>582.15667273317013</v>
      </c>
      <c r="AI679" s="176">
        <f t="shared" si="22"/>
        <v>582.15667273317013</v>
      </c>
      <c r="AJ679" s="976"/>
      <c r="AK679" s="982"/>
      <c r="AL679" s="1313"/>
      <c r="AM679" s="151"/>
      <c r="AN679" s="90"/>
      <c r="AO679" s="128"/>
      <c r="AP679" s="106"/>
    </row>
    <row r="680" spans="1:42" s="69" customFormat="1" ht="15" customHeight="1" thickBot="1">
      <c r="A680" s="1015"/>
      <c r="B680" s="795"/>
      <c r="C680" s="390"/>
      <c r="D680" s="224" t="s">
        <v>616</v>
      </c>
      <c r="E680" s="226" t="s">
        <v>64</v>
      </c>
      <c r="F680" s="799"/>
      <c r="G680" s="477"/>
      <c r="H680" s="226" t="s">
        <v>64</v>
      </c>
      <c r="I680" s="645"/>
      <c r="J680" s="1048"/>
      <c r="K680" s="1081"/>
      <c r="L680" s="28">
        <v>66.78</v>
      </c>
      <c r="M680" s="226" t="s">
        <v>64</v>
      </c>
      <c r="N680" s="116"/>
      <c r="O680" s="116"/>
      <c r="P680" s="116"/>
      <c r="Q680" s="116"/>
      <c r="R680" s="175"/>
      <c r="S680" s="29">
        <v>66.78</v>
      </c>
      <c r="T680" s="118">
        <v>291.07833636658506</v>
      </c>
      <c r="U680" s="116"/>
      <c r="V680" s="45"/>
      <c r="W680" s="116"/>
      <c r="X680" s="792"/>
      <c r="Y680" s="28">
        <v>3.5</v>
      </c>
      <c r="Z680" s="118">
        <v>15.255678006634437</v>
      </c>
      <c r="AA680" s="28">
        <v>15.28</v>
      </c>
      <c r="AB680" s="118">
        <v>66.601931411821241</v>
      </c>
      <c r="AC680" s="28">
        <v>21.6</v>
      </c>
      <c r="AD680" s="571">
        <v>94.149327126658292</v>
      </c>
      <c r="AE680" s="943"/>
      <c r="AF680" s="944"/>
      <c r="AG680" s="749">
        <v>66.78</v>
      </c>
      <c r="AH680" s="118">
        <v>582.15667273317013</v>
      </c>
      <c r="AI680" s="180">
        <f t="shared" si="22"/>
        <v>582.15667273317013</v>
      </c>
      <c r="AJ680" s="976"/>
      <c r="AK680" s="983"/>
      <c r="AL680" s="1313"/>
      <c r="AM680" s="151"/>
      <c r="AN680" s="90"/>
      <c r="AO680" s="128"/>
      <c r="AP680" s="106"/>
    </row>
    <row r="681" spans="1:42" s="69" customFormat="1" ht="15" customHeight="1">
      <c r="A681" s="1015"/>
      <c r="B681" s="232" t="s">
        <v>151</v>
      </c>
      <c r="C681" s="912" t="s">
        <v>151</v>
      </c>
      <c r="D681" s="223" t="s">
        <v>617</v>
      </c>
      <c r="E681" s="240" t="s">
        <v>584</v>
      </c>
      <c r="F681" s="798"/>
      <c r="G681" s="433">
        <v>30420</v>
      </c>
      <c r="H681" s="225" t="s">
        <v>221</v>
      </c>
      <c r="I681" s="643"/>
      <c r="J681" s="1048"/>
      <c r="K681" s="1081"/>
      <c r="L681" s="120">
        <v>854.60480000000007</v>
      </c>
      <c r="M681" s="50">
        <v>106.64</v>
      </c>
      <c r="N681" s="115"/>
      <c r="O681" s="115"/>
      <c r="P681" s="115"/>
      <c r="Q681" s="115"/>
      <c r="R681" s="174"/>
      <c r="S681" s="12">
        <v>747.96480000000008</v>
      </c>
      <c r="T681" s="117">
        <v>3260.2028997419266</v>
      </c>
      <c r="U681" s="115"/>
      <c r="V681" s="44"/>
      <c r="W681" s="115"/>
      <c r="X681" s="557"/>
      <c r="Y681" s="120">
        <v>6</v>
      </c>
      <c r="Z681" s="117">
        <v>26.152590868516185</v>
      </c>
      <c r="AA681" s="120">
        <v>173.40480000000002</v>
      </c>
      <c r="AB681" s="117">
        <v>755.83079817281248</v>
      </c>
      <c r="AC681" s="120">
        <v>255.85199999999998</v>
      </c>
      <c r="AD681" s="269">
        <v>1115.1987798152677</v>
      </c>
      <c r="AE681" s="943"/>
      <c r="AF681" s="944"/>
      <c r="AG681" s="198">
        <v>747.96480000000008</v>
      </c>
      <c r="AH681" s="117">
        <v>6520.4057994838531</v>
      </c>
      <c r="AI681" s="177">
        <f t="shared" si="22"/>
        <v>6520.4057994838531</v>
      </c>
      <c r="AJ681" s="976"/>
      <c r="AK681" s="981">
        <f>SUM(AI681:AI695)</f>
        <v>17909.308565353716</v>
      </c>
      <c r="AL681" s="1313"/>
      <c r="AM681" s="151"/>
      <c r="AN681" s="90"/>
      <c r="AO681" s="128"/>
      <c r="AP681" s="106"/>
    </row>
    <row r="682" spans="1:42" s="69" customFormat="1" ht="15" customHeight="1">
      <c r="A682" s="1015"/>
      <c r="B682" s="787"/>
      <c r="C682" s="386"/>
      <c r="D682" s="223" t="s">
        <v>809</v>
      </c>
      <c r="E682" s="225" t="s">
        <v>64</v>
      </c>
      <c r="F682" s="798"/>
      <c r="G682" s="433">
        <v>3042</v>
      </c>
      <c r="H682" s="225" t="s">
        <v>64</v>
      </c>
      <c r="I682" s="643"/>
      <c r="J682" s="1048"/>
      <c r="K682" s="1081"/>
      <c r="L682" s="7">
        <v>87.217279999999988</v>
      </c>
      <c r="M682" s="320" t="s">
        <v>64</v>
      </c>
      <c r="N682" s="188"/>
      <c r="O682" s="188"/>
      <c r="P682" s="188"/>
      <c r="Q682" s="188"/>
      <c r="R682" s="214"/>
      <c r="S682" s="8">
        <v>87.217279999999988</v>
      </c>
      <c r="T682" s="157">
        <v>380.15964008413658</v>
      </c>
      <c r="U682" s="188"/>
      <c r="V682" s="111"/>
      <c r="W682" s="188"/>
      <c r="X682" s="124"/>
      <c r="Y682" s="7">
        <v>3</v>
      </c>
      <c r="Z682" s="157">
        <v>13.076295434258093</v>
      </c>
      <c r="AA682" s="7">
        <v>24.881279999999997</v>
      </c>
      <c r="AB682" s="157">
        <v>108.45165602083242</v>
      </c>
      <c r="AC682" s="7">
        <v>26.7012</v>
      </c>
      <c r="AD682" s="270">
        <v>116.38425988307075</v>
      </c>
      <c r="AE682" s="943"/>
      <c r="AF682" s="944"/>
      <c r="AG682" s="192">
        <v>87.217279999999988</v>
      </c>
      <c r="AH682" s="157">
        <v>760.31928016827317</v>
      </c>
      <c r="AI682" s="176">
        <f t="shared" si="22"/>
        <v>760.31928016827317</v>
      </c>
      <c r="AJ682" s="976"/>
      <c r="AK682" s="982"/>
      <c r="AL682" s="1313"/>
      <c r="AM682" s="151"/>
      <c r="AN682" s="90"/>
      <c r="AO682" s="128"/>
      <c r="AP682" s="106"/>
    </row>
    <row r="683" spans="1:42" s="69" customFormat="1" ht="15" customHeight="1">
      <c r="A683" s="1015"/>
      <c r="B683" s="787"/>
      <c r="C683" s="386"/>
      <c r="D683" s="223" t="s">
        <v>810</v>
      </c>
      <c r="E683" s="225" t="s">
        <v>64</v>
      </c>
      <c r="F683" s="798"/>
      <c r="G683" s="433">
        <v>4380.4800000000005</v>
      </c>
      <c r="H683" s="225" t="s">
        <v>64</v>
      </c>
      <c r="I683" s="643"/>
      <c r="J683" s="1048"/>
      <c r="K683" s="1081"/>
      <c r="L683" s="7">
        <v>103.0648832</v>
      </c>
      <c r="M683" s="320" t="s">
        <v>64</v>
      </c>
      <c r="N683" s="188"/>
      <c r="O683" s="188"/>
      <c r="P683" s="188"/>
      <c r="Q683" s="188"/>
      <c r="R683" s="214"/>
      <c r="S683" s="8">
        <v>103.0648832</v>
      </c>
      <c r="T683" s="157">
        <v>449.23562054016759</v>
      </c>
      <c r="U683" s="188"/>
      <c r="V683" s="111"/>
      <c r="W683" s="188"/>
      <c r="X683" s="124"/>
      <c r="Y683" s="7">
        <v>3</v>
      </c>
      <c r="Z683" s="157">
        <v>13.076295434258093</v>
      </c>
      <c r="AA683" s="7">
        <v>30.021043200000001</v>
      </c>
      <c r="AB683" s="157">
        <v>130.85467670927503</v>
      </c>
      <c r="AC683" s="7">
        <v>31.519728000000001</v>
      </c>
      <c r="AD683" s="270">
        <v>137.3870917784858</v>
      </c>
      <c r="AE683" s="943"/>
      <c r="AF683" s="944"/>
      <c r="AG683" s="192">
        <v>103.0648832</v>
      </c>
      <c r="AH683" s="157">
        <v>898.47124108033518</v>
      </c>
      <c r="AI683" s="176">
        <f t="shared" si="22"/>
        <v>898.47124108033518</v>
      </c>
      <c r="AJ683" s="976"/>
      <c r="AK683" s="982"/>
      <c r="AL683" s="1313"/>
      <c r="AM683" s="151"/>
      <c r="AN683" s="90"/>
      <c r="AO683" s="128"/>
      <c r="AP683" s="106"/>
    </row>
    <row r="684" spans="1:42" s="69" customFormat="1" ht="15" customHeight="1">
      <c r="A684" s="1015"/>
      <c r="B684" s="787"/>
      <c r="C684" s="386"/>
      <c r="D684" s="223" t="s">
        <v>811</v>
      </c>
      <c r="E684" s="320" t="s">
        <v>64</v>
      </c>
      <c r="F684" s="800"/>
      <c r="G684" s="431">
        <v>12168</v>
      </c>
      <c r="H684" s="320" t="s">
        <v>64</v>
      </c>
      <c r="I684" s="644"/>
      <c r="J684" s="1048"/>
      <c r="K684" s="1081"/>
      <c r="L684" s="7">
        <v>195.26911999999999</v>
      </c>
      <c r="M684" s="320" t="s">
        <v>64</v>
      </c>
      <c r="N684" s="188"/>
      <c r="O684" s="188"/>
      <c r="P684" s="188"/>
      <c r="Q684" s="188"/>
      <c r="R684" s="214"/>
      <c r="S684" s="8">
        <v>195.26911999999999</v>
      </c>
      <c r="T684" s="157">
        <v>851.13223410253238</v>
      </c>
      <c r="U684" s="188"/>
      <c r="V684" s="111"/>
      <c r="W684" s="188"/>
      <c r="X684" s="124"/>
      <c r="Y684" s="7">
        <v>3</v>
      </c>
      <c r="Z684" s="157">
        <v>13.076295434258093</v>
      </c>
      <c r="AA684" s="7">
        <v>59.92512</v>
      </c>
      <c r="AB684" s="157">
        <v>261.19952435112316</v>
      </c>
      <c r="AC684" s="7">
        <v>59.5548</v>
      </c>
      <c r="AD684" s="270">
        <v>259.58538644271795</v>
      </c>
      <c r="AE684" s="943"/>
      <c r="AF684" s="944"/>
      <c r="AG684" s="192">
        <v>195.26911999999999</v>
      </c>
      <c r="AH684" s="157">
        <v>1702.2644682050648</v>
      </c>
      <c r="AI684" s="176">
        <f t="shared" si="22"/>
        <v>1702.2644682050648</v>
      </c>
      <c r="AJ684" s="976"/>
      <c r="AK684" s="982"/>
      <c r="AL684" s="1313"/>
      <c r="AM684" s="151"/>
      <c r="AN684" s="90"/>
      <c r="AO684" s="128"/>
      <c r="AP684" s="106"/>
    </row>
    <row r="685" spans="1:42" s="69" customFormat="1" ht="15" customHeight="1">
      <c r="A685" s="1015"/>
      <c r="B685" s="787"/>
      <c r="C685" s="386"/>
      <c r="D685" s="223" t="s">
        <v>812</v>
      </c>
      <c r="E685" s="320" t="s">
        <v>64</v>
      </c>
      <c r="F685" s="800"/>
      <c r="G685" s="431">
        <v>18008.64</v>
      </c>
      <c r="H685" s="320" t="s">
        <v>64</v>
      </c>
      <c r="I685" s="805"/>
      <c r="J685" s="1048"/>
      <c r="K685" s="1081"/>
      <c r="L685" s="7">
        <v>264.42229759999998</v>
      </c>
      <c r="M685" s="320" t="s">
        <v>64</v>
      </c>
      <c r="N685" s="188"/>
      <c r="O685" s="188"/>
      <c r="P685" s="188"/>
      <c r="Q685" s="188"/>
      <c r="R685" s="214"/>
      <c r="S685" s="8">
        <v>264.42229759999998</v>
      </c>
      <c r="T685" s="157">
        <v>1152.554694274306</v>
      </c>
      <c r="U685" s="188"/>
      <c r="V685" s="111"/>
      <c r="W685" s="188"/>
      <c r="X685" s="124"/>
      <c r="Y685" s="7">
        <v>3</v>
      </c>
      <c r="Z685" s="157">
        <v>13.076295434258093</v>
      </c>
      <c r="AA685" s="7">
        <v>82.353177599999995</v>
      </c>
      <c r="AB685" s="157">
        <v>358.95816008250875</v>
      </c>
      <c r="AC685" s="7">
        <v>80.581103999999996</v>
      </c>
      <c r="AD685" s="270">
        <v>351.23410744089222</v>
      </c>
      <c r="AE685" s="943"/>
      <c r="AF685" s="944"/>
      <c r="AG685" s="192">
        <v>264.42229759999998</v>
      </c>
      <c r="AH685" s="157">
        <v>2305.1093885486121</v>
      </c>
      <c r="AI685" s="176">
        <f t="shared" si="22"/>
        <v>2305.1093885486121</v>
      </c>
      <c r="AJ685" s="976"/>
      <c r="AK685" s="982"/>
      <c r="AL685" s="1313"/>
      <c r="AM685" s="151"/>
      <c r="AN685" s="90"/>
      <c r="AO685" s="128"/>
      <c r="AP685" s="106"/>
    </row>
    <row r="686" spans="1:42" s="69" customFormat="1" ht="15.75" customHeight="1">
      <c r="A686" s="1015"/>
      <c r="B686" s="787"/>
      <c r="C686" s="386"/>
      <c r="D686" s="223" t="s">
        <v>813</v>
      </c>
      <c r="E686" s="320" t="s">
        <v>64</v>
      </c>
      <c r="F686" s="800"/>
      <c r="G686" s="479">
        <v>217.33333333333334</v>
      </c>
      <c r="H686" s="320" t="s">
        <v>64</v>
      </c>
      <c r="I686" s="644"/>
      <c r="J686" s="1048"/>
      <c r="K686" s="1081"/>
      <c r="L686" s="7">
        <v>65.373226666666667</v>
      </c>
      <c r="M686" s="320" t="s">
        <v>64</v>
      </c>
      <c r="N686" s="188"/>
      <c r="O686" s="188"/>
      <c r="P686" s="188"/>
      <c r="Q686" s="188"/>
      <c r="R686" s="214"/>
      <c r="S686" s="8">
        <v>65.373226666666667</v>
      </c>
      <c r="T686" s="157">
        <v>284.94654179468421</v>
      </c>
      <c r="U686" s="188"/>
      <c r="V686" s="111"/>
      <c r="W686" s="188"/>
      <c r="X686" s="124"/>
      <c r="Y686" s="7">
        <v>3</v>
      </c>
      <c r="Z686" s="157">
        <v>13.076295434258093</v>
      </c>
      <c r="AA686" s="7">
        <v>15.634559999999999</v>
      </c>
      <c r="AB686" s="157">
        <v>68.147375181544675</v>
      </c>
      <c r="AC686" s="7">
        <v>21.032399999999999</v>
      </c>
      <c r="AD686" s="270">
        <v>91.675292030496678</v>
      </c>
      <c r="AE686" s="943"/>
      <c r="AF686" s="944"/>
      <c r="AG686" s="192">
        <v>65.373226666666667</v>
      </c>
      <c r="AH686" s="157">
        <v>569.89308358936842</v>
      </c>
      <c r="AI686" s="176">
        <f t="shared" si="22"/>
        <v>569.89308358936842</v>
      </c>
      <c r="AJ686" s="976"/>
      <c r="AK686" s="982"/>
      <c r="AL686" s="1313"/>
      <c r="AM686" s="151"/>
      <c r="AN686" s="90"/>
      <c r="AO686" s="128"/>
      <c r="AP686" s="106"/>
    </row>
    <row r="687" spans="1:42" s="69" customFormat="1" ht="15" customHeight="1">
      <c r="A687" s="1015"/>
      <c r="B687" s="787"/>
      <c r="C687" s="386"/>
      <c r="D687" s="223" t="s">
        <v>814</v>
      </c>
      <c r="E687" s="320" t="s">
        <v>64</v>
      </c>
      <c r="F687" s="800"/>
      <c r="G687" s="427">
        <v>1521.3333333333335</v>
      </c>
      <c r="H687" s="320" t="s">
        <v>64</v>
      </c>
      <c r="I687" s="643"/>
      <c r="J687" s="1048"/>
      <c r="K687" s="1081"/>
      <c r="L687" s="7">
        <v>80.812586666666661</v>
      </c>
      <c r="M687" s="320" t="s">
        <v>64</v>
      </c>
      <c r="N687" s="188"/>
      <c r="O687" s="188"/>
      <c r="P687" s="188"/>
      <c r="Q687" s="188"/>
      <c r="R687" s="214"/>
      <c r="S687" s="8">
        <v>80.812586666666661</v>
      </c>
      <c r="T687" s="157">
        <v>352.24308601997336</v>
      </c>
      <c r="U687" s="601"/>
      <c r="V687" s="7"/>
      <c r="W687" s="601"/>
      <c r="X687" s="601"/>
      <c r="Y687" s="7">
        <v>3</v>
      </c>
      <c r="Z687" s="157">
        <v>13.076295434258093</v>
      </c>
      <c r="AA687" s="7">
        <v>20.641920000000002</v>
      </c>
      <c r="AB687" s="157">
        <v>89.973281416773673</v>
      </c>
      <c r="AC687" s="7">
        <v>25.726800000000001</v>
      </c>
      <c r="AD687" s="270">
        <v>112.13707912602366</v>
      </c>
      <c r="AE687" s="943"/>
      <c r="AF687" s="944"/>
      <c r="AG687" s="192">
        <v>80.812586666666661</v>
      </c>
      <c r="AH687" s="157">
        <v>704.48617203994672</v>
      </c>
      <c r="AI687" s="176">
        <f t="shared" si="22"/>
        <v>704.48617203994672</v>
      </c>
      <c r="AJ687" s="976"/>
      <c r="AK687" s="982"/>
      <c r="AL687" s="1313"/>
      <c r="AM687" s="151"/>
      <c r="AN687" s="90"/>
      <c r="AO687" s="128"/>
      <c r="AP687" s="106"/>
    </row>
    <row r="688" spans="1:42" s="69" customFormat="1" ht="15" customHeight="1">
      <c r="A688" s="1015"/>
      <c r="B688" s="787"/>
      <c r="C688" s="386"/>
      <c r="D688" s="223" t="s">
        <v>815</v>
      </c>
      <c r="E688" s="320" t="s">
        <v>64</v>
      </c>
      <c r="F688" s="800"/>
      <c r="G688" s="427">
        <v>21.733333333333334</v>
      </c>
      <c r="H688" s="320" t="s">
        <v>64</v>
      </c>
      <c r="I688" s="643"/>
      <c r="J688" s="1048"/>
      <c r="K688" s="1081"/>
      <c r="L688" s="7">
        <v>51.45732266666667</v>
      </c>
      <c r="M688" s="320" t="s">
        <v>64</v>
      </c>
      <c r="N688" s="188"/>
      <c r="O688" s="188"/>
      <c r="P688" s="188"/>
      <c r="Q688" s="188"/>
      <c r="R688" s="214"/>
      <c r="S688" s="8">
        <v>51.45732266666667</v>
      </c>
      <c r="T688" s="157">
        <v>224.29038448175959</v>
      </c>
      <c r="U688" s="601"/>
      <c r="V688" s="7"/>
      <c r="W688" s="601"/>
      <c r="X688" s="601"/>
      <c r="Y688" s="7">
        <v>3</v>
      </c>
      <c r="Z688" s="157">
        <v>13.076295434258093</v>
      </c>
      <c r="AA688" s="7">
        <v>13.283455999999999</v>
      </c>
      <c r="AB688" s="157">
        <v>57.899465014656109</v>
      </c>
      <c r="AC688" s="7">
        <v>15.828240000000001</v>
      </c>
      <c r="AD688" s="270">
        <v>68.991580814780491</v>
      </c>
      <c r="AE688" s="943"/>
      <c r="AF688" s="944"/>
      <c r="AG688" s="192">
        <v>51.45732266666667</v>
      </c>
      <c r="AH688" s="157">
        <v>448.58076896351918</v>
      </c>
      <c r="AI688" s="176">
        <f t="shared" si="22"/>
        <v>448.58076896351918</v>
      </c>
      <c r="AJ688" s="976"/>
      <c r="AK688" s="982"/>
      <c r="AL688" s="1313"/>
      <c r="AM688" s="151"/>
      <c r="AN688" s="90"/>
      <c r="AO688" s="128"/>
      <c r="AP688" s="106"/>
    </row>
    <row r="689" spans="1:42" s="69" customFormat="1" ht="15" customHeight="1">
      <c r="A689" s="1015"/>
      <c r="B689" s="787"/>
      <c r="C689" s="386"/>
      <c r="D689" s="223" t="s">
        <v>816</v>
      </c>
      <c r="E689" s="320" t="s">
        <v>64</v>
      </c>
      <c r="F689" s="800"/>
      <c r="G689" s="427">
        <v>152.13333333333333</v>
      </c>
      <c r="H689" s="320" t="s">
        <v>64</v>
      </c>
      <c r="I689" s="643"/>
      <c r="J689" s="1048"/>
      <c r="K689" s="1048"/>
      <c r="L689" s="7">
        <v>53.001258666666665</v>
      </c>
      <c r="M689" s="320" t="s">
        <v>64</v>
      </c>
      <c r="N689" s="188"/>
      <c r="O689" s="188"/>
      <c r="P689" s="188"/>
      <c r="Q689" s="188"/>
      <c r="R689" s="214"/>
      <c r="S689" s="8">
        <v>53.001258666666665</v>
      </c>
      <c r="T689" s="157">
        <v>231.02003890428858</v>
      </c>
      <c r="U689" s="601"/>
      <c r="V689" s="7"/>
      <c r="W689" s="601"/>
      <c r="X689" s="601"/>
      <c r="Y689" s="7">
        <v>3</v>
      </c>
      <c r="Z689" s="157">
        <v>13.076295434258093</v>
      </c>
      <c r="AA689" s="7">
        <v>13.784191999999999</v>
      </c>
      <c r="AB689" s="157">
        <v>60.082055638178971</v>
      </c>
      <c r="AC689" s="7">
        <v>16.29768</v>
      </c>
      <c r="AD689" s="270">
        <v>71.037759524333168</v>
      </c>
      <c r="AE689" s="943"/>
      <c r="AF689" s="944"/>
      <c r="AG689" s="192">
        <v>53.001258666666665</v>
      </c>
      <c r="AH689" s="157">
        <v>462.04007780857717</v>
      </c>
      <c r="AI689" s="176">
        <f t="shared" si="22"/>
        <v>462.04007780857717</v>
      </c>
      <c r="AJ689" s="976"/>
      <c r="AK689" s="982"/>
      <c r="AL689" s="1313"/>
      <c r="AM689" s="151"/>
      <c r="AN689" s="90"/>
      <c r="AO689" s="128"/>
      <c r="AP689" s="106"/>
    </row>
    <row r="690" spans="1:42" s="69" customFormat="1" ht="15" customHeight="1">
      <c r="A690" s="1015"/>
      <c r="B690" s="787"/>
      <c r="C690" s="386"/>
      <c r="D690" s="223" t="s">
        <v>820</v>
      </c>
      <c r="E690" s="320" t="s">
        <v>64</v>
      </c>
      <c r="F690" s="800"/>
      <c r="G690" s="427">
        <v>173.86666666666667</v>
      </c>
      <c r="H690" s="320" t="s">
        <v>64</v>
      </c>
      <c r="I690" s="643"/>
      <c r="J690" s="1048"/>
      <c r="K690" s="1048"/>
      <c r="L690" s="7">
        <v>53.258581333333339</v>
      </c>
      <c r="M690" s="320" t="s">
        <v>64</v>
      </c>
      <c r="N690" s="188"/>
      <c r="O690" s="188"/>
      <c r="P690" s="188"/>
      <c r="Q690" s="188"/>
      <c r="R690" s="214"/>
      <c r="S690" s="8">
        <v>53.258581333333339</v>
      </c>
      <c r="T690" s="157">
        <v>232.14164797471005</v>
      </c>
      <c r="U690" s="188"/>
      <c r="V690" s="111"/>
      <c r="W690" s="188"/>
      <c r="X690" s="124"/>
      <c r="Y690" s="7">
        <v>3</v>
      </c>
      <c r="Z690" s="157">
        <v>13.076295434258093</v>
      </c>
      <c r="AA690" s="7">
        <v>13.867647999999999</v>
      </c>
      <c r="AB690" s="157">
        <v>60.445820742099478</v>
      </c>
      <c r="AC690" s="7">
        <v>16.375920000000001</v>
      </c>
      <c r="AD690" s="270">
        <v>71.378789309258607</v>
      </c>
      <c r="AE690" s="943"/>
      <c r="AF690" s="944"/>
      <c r="AG690" s="192">
        <v>53.258581333333339</v>
      </c>
      <c r="AH690" s="157">
        <v>464.28329594942011</v>
      </c>
      <c r="AI690" s="176">
        <f t="shared" si="22"/>
        <v>464.28329594942011</v>
      </c>
      <c r="AJ690" s="976"/>
      <c r="AK690" s="982"/>
      <c r="AL690" s="1313"/>
      <c r="AM690" s="151"/>
      <c r="AN690" s="90"/>
      <c r="AO690" s="128"/>
      <c r="AP690" s="106"/>
    </row>
    <row r="691" spans="1:42" s="69" customFormat="1" ht="15" customHeight="1">
      <c r="A691" s="1015"/>
      <c r="B691" s="787"/>
      <c r="C691" s="386"/>
      <c r="D691" s="223" t="s">
        <v>821</v>
      </c>
      <c r="E691" s="320" t="s">
        <v>64</v>
      </c>
      <c r="F691" s="800"/>
      <c r="G691" s="431">
        <v>2173.3333333333335</v>
      </c>
      <c r="H691" s="320" t="s">
        <v>64</v>
      </c>
      <c r="I691" s="643"/>
      <c r="J691" s="1048"/>
      <c r="K691" s="1048"/>
      <c r="L691" s="7">
        <v>88.532266666666658</v>
      </c>
      <c r="M691" s="320" t="s">
        <v>64</v>
      </c>
      <c r="N691" s="188"/>
      <c r="O691" s="188"/>
      <c r="P691" s="188"/>
      <c r="Q691" s="188"/>
      <c r="R691" s="214"/>
      <c r="S691" s="8">
        <v>88.532266666666658</v>
      </c>
      <c r="T691" s="157">
        <v>385.8913581326176</v>
      </c>
      <c r="U691" s="188"/>
      <c r="V691" s="111"/>
      <c r="W691" s="188"/>
      <c r="X691" s="124"/>
      <c r="Y691" s="7">
        <v>3</v>
      </c>
      <c r="Z691" s="157">
        <v>13.076295434258093</v>
      </c>
      <c r="AA691" s="7">
        <v>23.145600000000002</v>
      </c>
      <c r="AB691" s="157">
        <v>100.88623453438804</v>
      </c>
      <c r="AC691" s="7">
        <v>28.074000000000002</v>
      </c>
      <c r="AD691" s="270">
        <v>122.36797267378736</v>
      </c>
      <c r="AE691" s="943"/>
      <c r="AF691" s="944"/>
      <c r="AG691" s="192">
        <v>88.532266666666658</v>
      </c>
      <c r="AH691" s="157">
        <v>771.78271626523519</v>
      </c>
      <c r="AI691" s="176">
        <f t="shared" si="22"/>
        <v>771.78271626523519</v>
      </c>
      <c r="AJ691" s="976"/>
      <c r="AK691" s="982"/>
      <c r="AL691" s="1313"/>
      <c r="AM691" s="151"/>
      <c r="AN691" s="90"/>
      <c r="AO691" s="128"/>
      <c r="AP691" s="106"/>
    </row>
    <row r="692" spans="1:42" s="69" customFormat="1" ht="15" customHeight="1">
      <c r="A692" s="1015"/>
      <c r="B692" s="787"/>
      <c r="C692" s="386"/>
      <c r="D692" s="223" t="s">
        <v>822</v>
      </c>
      <c r="E692" s="320" t="s">
        <v>64</v>
      </c>
      <c r="F692" s="800"/>
      <c r="G692" s="431">
        <v>869.33333333333348</v>
      </c>
      <c r="H692" s="320" t="s">
        <v>64</v>
      </c>
      <c r="I692" s="643"/>
      <c r="J692" s="1048"/>
      <c r="K692" s="1048"/>
      <c r="L692" s="7">
        <v>61.49290666666667</v>
      </c>
      <c r="M692" s="320" t="s">
        <v>64</v>
      </c>
      <c r="N692" s="188"/>
      <c r="O692" s="188"/>
      <c r="P692" s="188"/>
      <c r="Q692" s="188"/>
      <c r="R692" s="214"/>
      <c r="S692" s="8">
        <v>61.49290666666667</v>
      </c>
      <c r="T692" s="157">
        <v>268.03313822819752</v>
      </c>
      <c r="U692" s="188"/>
      <c r="V692" s="111"/>
      <c r="W692" s="188"/>
      <c r="X692" s="124"/>
      <c r="Y692" s="7">
        <v>3</v>
      </c>
      <c r="Z692" s="157">
        <v>13.076295434258093</v>
      </c>
      <c r="AA692" s="7">
        <v>16.538240000000002</v>
      </c>
      <c r="AB692" s="157">
        <v>72.086304067554877</v>
      </c>
      <c r="AC692" s="7">
        <v>18.8796</v>
      </c>
      <c r="AD692" s="270">
        <v>82.291742426873</v>
      </c>
      <c r="AE692" s="943"/>
      <c r="AF692" s="944"/>
      <c r="AG692" s="192">
        <v>61.49290666666667</v>
      </c>
      <c r="AH692" s="157">
        <v>536.06627645639503</v>
      </c>
      <c r="AI692" s="176">
        <f t="shared" si="22"/>
        <v>536.06627645639503</v>
      </c>
      <c r="AJ692" s="976"/>
      <c r="AK692" s="982"/>
      <c r="AL692" s="1313"/>
      <c r="AM692" s="151"/>
      <c r="AN692" s="90"/>
      <c r="AO692" s="128"/>
      <c r="AP692" s="106"/>
    </row>
    <row r="693" spans="1:42" s="69" customFormat="1" ht="15" customHeight="1">
      <c r="A693" s="1015"/>
      <c r="B693" s="787"/>
      <c r="C693" s="386"/>
      <c r="D693" s="223" t="s">
        <v>823</v>
      </c>
      <c r="E693" s="320" t="s">
        <v>64</v>
      </c>
      <c r="F693" s="800"/>
      <c r="G693" s="431">
        <v>1217.0666666666668</v>
      </c>
      <c r="H693" s="320" t="s">
        <v>64</v>
      </c>
      <c r="I693" s="643"/>
      <c r="J693" s="1048"/>
      <c r="K693" s="1048"/>
      <c r="L693" s="7">
        <v>65.610069333333342</v>
      </c>
      <c r="M693" s="320" t="s">
        <v>64</v>
      </c>
      <c r="N693" s="188"/>
      <c r="O693" s="188"/>
      <c r="P693" s="188"/>
      <c r="Q693" s="188"/>
      <c r="R693" s="214"/>
      <c r="S693" s="8">
        <v>65.610069333333342</v>
      </c>
      <c r="T693" s="157">
        <v>285.97888335494127</v>
      </c>
      <c r="U693" s="188"/>
      <c r="V693" s="111"/>
      <c r="W693" s="188"/>
      <c r="X693" s="124"/>
      <c r="Y693" s="7">
        <v>3</v>
      </c>
      <c r="Z693" s="157">
        <v>13.076295434258093</v>
      </c>
      <c r="AA693" s="7">
        <v>17.873536000000001</v>
      </c>
      <c r="AB693" s="157">
        <v>77.906545730282531</v>
      </c>
      <c r="AC693" s="7">
        <v>20.131440000000001</v>
      </c>
      <c r="AD693" s="270">
        <v>87.748218985680282</v>
      </c>
      <c r="AE693" s="943"/>
      <c r="AF693" s="944"/>
      <c r="AG693" s="192">
        <v>65.610069333333342</v>
      </c>
      <c r="AH693" s="157">
        <v>571.95776670988255</v>
      </c>
      <c r="AI693" s="176">
        <f t="shared" si="22"/>
        <v>571.95776670988255</v>
      </c>
      <c r="AJ693" s="976"/>
      <c r="AK693" s="982"/>
      <c r="AL693" s="1313"/>
      <c r="AM693" s="151"/>
      <c r="AN693" s="90"/>
      <c r="AO693" s="128"/>
      <c r="AP693" s="106"/>
    </row>
    <row r="694" spans="1:42" s="69" customFormat="1" ht="15" customHeight="1">
      <c r="A694" s="1015"/>
      <c r="B694" s="787"/>
      <c r="C694" s="386"/>
      <c r="D694" s="223" t="s">
        <v>825</v>
      </c>
      <c r="E694" s="320" t="s">
        <v>64</v>
      </c>
      <c r="F694" s="800"/>
      <c r="G694" s="431">
        <v>1698.9</v>
      </c>
      <c r="H694" s="320" t="s">
        <v>64</v>
      </c>
      <c r="I694" s="643"/>
      <c r="J694" s="1048"/>
      <c r="K694" s="1048"/>
      <c r="L694" s="7">
        <v>71.314976000000001</v>
      </c>
      <c r="M694" s="320" t="s">
        <v>64</v>
      </c>
      <c r="N694" s="188"/>
      <c r="O694" s="188"/>
      <c r="P694" s="188"/>
      <c r="Q694" s="188"/>
      <c r="R694" s="214"/>
      <c r="S694" s="8">
        <v>71.314976000000001</v>
      </c>
      <c r="T694" s="157">
        <v>310.84523168767521</v>
      </c>
      <c r="U694" s="188"/>
      <c r="V694" s="111"/>
      <c r="W694" s="188"/>
      <c r="X694" s="124"/>
      <c r="Y694" s="7">
        <v>3</v>
      </c>
      <c r="Z694" s="157">
        <v>13.076295434258093</v>
      </c>
      <c r="AA694" s="7">
        <v>19.723776000000001</v>
      </c>
      <c r="AB694" s="157">
        <v>85.971307351709783</v>
      </c>
      <c r="AC694" s="7">
        <v>21.866040000000002</v>
      </c>
      <c r="AD694" s="270">
        <v>95.308933005768338</v>
      </c>
      <c r="AE694" s="943"/>
      <c r="AF694" s="944"/>
      <c r="AG694" s="192">
        <v>71.314976000000001</v>
      </c>
      <c r="AH694" s="157">
        <v>621.69046337535042</v>
      </c>
      <c r="AI694" s="176">
        <f t="shared" si="22"/>
        <v>621.69046337535042</v>
      </c>
      <c r="AJ694" s="976"/>
      <c r="AK694" s="982"/>
      <c r="AL694" s="1313"/>
      <c r="AM694" s="151"/>
      <c r="AN694" s="90"/>
      <c r="AO694" s="128"/>
      <c r="AP694" s="106"/>
    </row>
    <row r="695" spans="1:42" s="69" customFormat="1" ht="15" customHeight="1" thickBot="1">
      <c r="A695" s="1015"/>
      <c r="B695" s="796"/>
      <c r="C695" s="390"/>
      <c r="D695" s="224" t="s">
        <v>826</v>
      </c>
      <c r="E695" s="226" t="s">
        <v>64</v>
      </c>
      <c r="F695" s="799"/>
      <c r="G695" s="477">
        <v>1217.0666666666668</v>
      </c>
      <c r="H695" s="226" t="s">
        <v>64</v>
      </c>
      <c r="I695" s="645"/>
      <c r="J695" s="1049"/>
      <c r="K695" s="1049"/>
      <c r="L695" s="28">
        <v>65.610069333333342</v>
      </c>
      <c r="M695" s="226" t="s">
        <v>64</v>
      </c>
      <c r="N695" s="116"/>
      <c r="O695" s="116"/>
      <c r="P695" s="116"/>
      <c r="Q695" s="116"/>
      <c r="R695" s="175"/>
      <c r="S695" s="29">
        <v>65.610069333333342</v>
      </c>
      <c r="T695" s="118">
        <v>285.97888335494127</v>
      </c>
      <c r="U695" s="116"/>
      <c r="V695" s="45"/>
      <c r="W695" s="116"/>
      <c r="X695" s="792"/>
      <c r="Y695" s="28">
        <v>3</v>
      </c>
      <c r="Z695" s="118">
        <v>13.076295434258093</v>
      </c>
      <c r="AA695" s="28">
        <v>17.87</v>
      </c>
      <c r="AB695" s="118">
        <v>77.906545730282531</v>
      </c>
      <c r="AC695" s="28">
        <v>20.131440000000001</v>
      </c>
      <c r="AD695" s="571">
        <v>87.748218985680282</v>
      </c>
      <c r="AE695" s="945"/>
      <c r="AF695" s="946"/>
      <c r="AG695" s="193">
        <v>65.610069333333342</v>
      </c>
      <c r="AH695" s="118">
        <v>571.95776670988255</v>
      </c>
      <c r="AI695" s="180">
        <f t="shared" si="22"/>
        <v>571.95776670988255</v>
      </c>
      <c r="AJ695" s="977"/>
      <c r="AK695" s="983"/>
      <c r="AL695" s="1313"/>
      <c r="AM695" s="151"/>
      <c r="AN695" s="90"/>
      <c r="AO695" s="128"/>
      <c r="AP695" s="106"/>
    </row>
    <row r="696" spans="1:42" s="69" customFormat="1">
      <c r="A696" s="66"/>
      <c r="B696" s="66"/>
      <c r="C696" s="67"/>
      <c r="D696" s="128"/>
      <c r="E696" s="128"/>
      <c r="F696" s="128"/>
      <c r="G696" s="59"/>
      <c r="H696" s="59"/>
      <c r="I696" s="59"/>
      <c r="J696" s="128"/>
      <c r="K696" s="128"/>
      <c r="L696" s="61"/>
      <c r="M696" s="60"/>
      <c r="N696" s="61"/>
      <c r="O696" s="61"/>
      <c r="P696" s="61"/>
      <c r="Q696" s="61"/>
      <c r="R696" s="160"/>
      <c r="S696" s="61"/>
      <c r="T696" s="160"/>
      <c r="U696" s="61"/>
      <c r="V696" s="61"/>
      <c r="W696" s="61"/>
      <c r="X696" s="151"/>
      <c r="Y696" s="60"/>
      <c r="Z696" s="151"/>
      <c r="AA696" s="60"/>
      <c r="AB696" s="60"/>
      <c r="AC696" s="60"/>
      <c r="AD696" s="60"/>
      <c r="AE696" s="60"/>
      <c r="AF696" s="60"/>
      <c r="AG696" s="60"/>
      <c r="AH696" s="151"/>
      <c r="AI696" s="151"/>
      <c r="AJ696" s="60"/>
      <c r="AM696" s="850"/>
      <c r="AN696" s="128"/>
      <c r="AO696" s="106"/>
    </row>
    <row r="697" spans="1:42" s="144" customFormat="1">
      <c r="A697" s="139"/>
      <c r="B697" s="139"/>
      <c r="C697" s="140"/>
      <c r="D697" s="141"/>
      <c r="E697" s="141"/>
      <c r="F697" s="141"/>
      <c r="G697" s="142"/>
      <c r="H697" s="142"/>
      <c r="I697" s="142"/>
      <c r="J697" s="141"/>
      <c r="K697" s="141"/>
      <c r="L697" s="143"/>
      <c r="M697" s="137"/>
      <c r="N697" s="143"/>
      <c r="O697" s="143"/>
      <c r="P697" s="143"/>
      <c r="Q697" s="143"/>
      <c r="R697" s="169"/>
      <c r="S697" s="143"/>
      <c r="T697" s="169"/>
      <c r="U697" s="143"/>
      <c r="V697" s="143"/>
      <c r="W697" s="143"/>
      <c r="X697" s="155"/>
      <c r="Y697" s="137"/>
      <c r="Z697" s="155"/>
      <c r="AA697" s="137"/>
      <c r="AB697" s="137"/>
      <c r="AC697" s="137"/>
      <c r="AD697" s="137"/>
      <c r="AE697" s="137"/>
      <c r="AF697" s="137"/>
      <c r="AG697" s="137"/>
      <c r="AH697" s="155"/>
      <c r="AI697" s="155"/>
      <c r="AJ697" s="137"/>
      <c r="AM697" s="851"/>
      <c r="AN697" s="141"/>
      <c r="AO697" s="145"/>
    </row>
    <row r="698" spans="1:42" s="69" customFormat="1" ht="13.5" thickBot="1">
      <c r="A698" s="70"/>
      <c r="B698" s="70"/>
      <c r="C698" s="71"/>
      <c r="D698" s="63"/>
      <c r="E698" s="63"/>
      <c r="F698" s="63"/>
      <c r="G698" s="62"/>
      <c r="H698" s="62"/>
      <c r="I698" s="62"/>
      <c r="J698" s="63"/>
      <c r="K698" s="63"/>
      <c r="L698" s="65"/>
      <c r="M698" s="64"/>
      <c r="N698" s="65"/>
      <c r="O698" s="65"/>
      <c r="P698" s="65"/>
      <c r="Q698" s="65"/>
      <c r="R698" s="168"/>
      <c r="S698" s="65"/>
      <c r="T698" s="168"/>
      <c r="U698" s="65"/>
      <c r="V698" s="65"/>
      <c r="W698" s="65"/>
      <c r="X698" s="152"/>
      <c r="Y698" s="64"/>
      <c r="Z698" s="152"/>
      <c r="AA698" s="64"/>
      <c r="AB698" s="64"/>
      <c r="AC698" s="64"/>
      <c r="AD698" s="64"/>
      <c r="AE698" s="64"/>
      <c r="AF698" s="64"/>
      <c r="AG698" s="64"/>
      <c r="AH698" s="152"/>
      <c r="AI698" s="152"/>
      <c r="AJ698" s="64"/>
      <c r="AK698" s="751"/>
      <c r="AL698" s="751"/>
      <c r="AM698" s="850"/>
      <c r="AN698" s="128"/>
      <c r="AO698" s="106"/>
    </row>
    <row r="699" spans="1:42" s="69" customFormat="1" ht="12.75" customHeight="1">
      <c r="A699" s="1014" t="s">
        <v>39</v>
      </c>
      <c r="B699" s="465" t="s">
        <v>151</v>
      </c>
      <c r="C699" s="386" t="s">
        <v>151</v>
      </c>
      <c r="D699" s="223" t="s">
        <v>534</v>
      </c>
      <c r="E699" s="240" t="s">
        <v>0</v>
      </c>
      <c r="F699" s="240" t="s">
        <v>0</v>
      </c>
      <c r="G699" s="474">
        <f>3*74*28.036</f>
        <v>6223.9920000000002</v>
      </c>
      <c r="H699" s="474">
        <f t="shared" ref="H699:I699" si="23">3*74*28.036</f>
        <v>6223.9920000000002</v>
      </c>
      <c r="I699" s="754">
        <f t="shared" si="23"/>
        <v>6223.9920000000002</v>
      </c>
      <c r="J699" s="1000" t="s">
        <v>544</v>
      </c>
      <c r="K699" s="1047" t="s">
        <v>545</v>
      </c>
      <c r="L699" s="209">
        <v>487.55998914746891</v>
      </c>
      <c r="M699" s="120">
        <v>322.24</v>
      </c>
      <c r="N699" s="115"/>
      <c r="O699" s="115"/>
      <c r="P699" s="115"/>
      <c r="Q699" s="760"/>
      <c r="R699" s="174"/>
      <c r="S699" s="676">
        <v>165.3199891474689</v>
      </c>
      <c r="T699" s="117">
        <v>1447.0564592632195</v>
      </c>
      <c r="U699" s="120">
        <v>80.900000000000006</v>
      </c>
      <c r="V699" s="120"/>
      <c r="W699" s="120">
        <v>80.911896000000013</v>
      </c>
      <c r="X699" s="117">
        <v>708.22701079173487</v>
      </c>
      <c r="Y699" s="120"/>
      <c r="Z699" s="117"/>
      <c r="AA699" s="115"/>
      <c r="AB699" s="174"/>
      <c r="AC699" s="120">
        <v>32.791237258987536</v>
      </c>
      <c r="AD699" s="177">
        <v>287.02380109959688</v>
      </c>
      <c r="AE699" s="941" t="s">
        <v>19</v>
      </c>
      <c r="AF699" s="942"/>
      <c r="AG699" s="209">
        <v>165.3199891474689</v>
      </c>
      <c r="AH699" s="117">
        <v>3602.2358028678382</v>
      </c>
      <c r="AI699" s="177">
        <f t="shared" ref="AI699:AI743" si="24">AH699</f>
        <v>3602.2358028678382</v>
      </c>
      <c r="AJ699" s="975">
        <v>46208</v>
      </c>
      <c r="AK699" s="981">
        <f>SUM(AI699:AI709)</f>
        <v>84358.732065173448</v>
      </c>
      <c r="AL699" s="1005">
        <f>AK699+AK710+AK724</f>
        <v>126605.54212885619</v>
      </c>
      <c r="AM699" s="440"/>
      <c r="AN699" s="89"/>
      <c r="AO699" s="89"/>
    </row>
    <row r="700" spans="1:42" s="69" customFormat="1" ht="12.75" customHeight="1">
      <c r="A700" s="1015"/>
      <c r="B700" s="608"/>
      <c r="C700" s="609"/>
      <c r="D700" s="223" t="s">
        <v>809</v>
      </c>
      <c r="E700" s="225" t="s">
        <v>64</v>
      </c>
      <c r="F700" s="228" t="s">
        <v>64</v>
      </c>
      <c r="G700" s="426">
        <f>74*28.036</f>
        <v>2074.6640000000002</v>
      </c>
      <c r="H700" s="320" t="s">
        <v>64</v>
      </c>
      <c r="I700" s="638" t="s">
        <v>64</v>
      </c>
      <c r="J700" s="1001"/>
      <c r="K700" s="1048"/>
      <c r="L700" s="211">
        <v>118.20664000000001</v>
      </c>
      <c r="M700" s="320" t="s">
        <v>64</v>
      </c>
      <c r="N700" s="188"/>
      <c r="O700" s="188"/>
      <c r="P700" s="188"/>
      <c r="Q700" s="758"/>
      <c r="R700" s="214"/>
      <c r="S700" s="633">
        <v>118.20664000000001</v>
      </c>
      <c r="T700" s="157">
        <v>1034.6702949951211</v>
      </c>
      <c r="U700" s="607" t="s">
        <v>64</v>
      </c>
      <c r="V700" s="7"/>
      <c r="W700" s="7">
        <v>0</v>
      </c>
      <c r="X700" s="157">
        <v>0</v>
      </c>
      <c r="Y700" s="7">
        <v>9.9119960000000003</v>
      </c>
      <c r="Z700" s="157">
        <v>86.76033618171094</v>
      </c>
      <c r="AA700" s="188"/>
      <c r="AB700" s="214"/>
      <c r="AC700" s="7">
        <v>45.090656000000003</v>
      </c>
      <c r="AD700" s="176">
        <v>394.68140152738926</v>
      </c>
      <c r="AE700" s="943"/>
      <c r="AF700" s="944"/>
      <c r="AG700" s="211">
        <v>118.20664000000001</v>
      </c>
      <c r="AH700" s="157">
        <v>2069.3405899902423</v>
      </c>
      <c r="AI700" s="176">
        <f t="shared" si="24"/>
        <v>2069.3405899902423</v>
      </c>
      <c r="AJ700" s="976"/>
      <c r="AK700" s="982"/>
      <c r="AL700" s="1006"/>
      <c r="AM700" s="440"/>
      <c r="AN700" s="89"/>
      <c r="AO700" s="89"/>
    </row>
    <row r="701" spans="1:42" s="69" customFormat="1" ht="12.75" customHeight="1">
      <c r="A701" s="1015"/>
      <c r="B701" s="608"/>
      <c r="C701" s="609"/>
      <c r="D701" s="223" t="s">
        <v>810</v>
      </c>
      <c r="E701" s="225" t="s">
        <v>64</v>
      </c>
      <c r="F701" s="228" t="s">
        <v>64</v>
      </c>
      <c r="G701" s="426">
        <f>G706/15</f>
        <v>1400</v>
      </c>
      <c r="H701" s="320" t="s">
        <v>64</v>
      </c>
      <c r="I701" s="638" t="s">
        <v>64</v>
      </c>
      <c r="J701" s="1001"/>
      <c r="K701" s="1048"/>
      <c r="L701" s="211">
        <v>129.66</v>
      </c>
      <c r="M701" s="320" t="s">
        <v>64</v>
      </c>
      <c r="N701" s="188"/>
      <c r="O701" s="188"/>
      <c r="P701" s="188"/>
      <c r="Q701" s="758"/>
      <c r="R701" s="214"/>
      <c r="S701" s="633">
        <v>129.66</v>
      </c>
      <c r="T701" s="157">
        <v>1134.922289044571</v>
      </c>
      <c r="U701" s="607" t="s">
        <v>64</v>
      </c>
      <c r="V701" s="7"/>
      <c r="W701" s="7">
        <v>18.200000000000003</v>
      </c>
      <c r="X701" s="157">
        <v>159.30576631660654</v>
      </c>
      <c r="Y701" s="7">
        <v>8.9</v>
      </c>
      <c r="Z701" s="157">
        <v>77.902270341637248</v>
      </c>
      <c r="AA701" s="188"/>
      <c r="AB701" s="214"/>
      <c r="AC701" s="7">
        <v>42.392000000000003</v>
      </c>
      <c r="AD701" s="176">
        <v>371.05989262052663</v>
      </c>
      <c r="AE701" s="943"/>
      <c r="AF701" s="944"/>
      <c r="AG701" s="211">
        <v>129.66</v>
      </c>
      <c r="AH701" s="157">
        <v>2269.844578089142</v>
      </c>
      <c r="AI701" s="176">
        <f t="shared" si="24"/>
        <v>2269.844578089142</v>
      </c>
      <c r="AJ701" s="976"/>
      <c r="AK701" s="982"/>
      <c r="AL701" s="1006"/>
      <c r="AM701" s="440"/>
      <c r="AN701" s="89"/>
      <c r="AO701" s="89"/>
    </row>
    <row r="702" spans="1:42" s="69" customFormat="1" ht="12.75" customHeight="1">
      <c r="A702" s="1015"/>
      <c r="B702" s="608"/>
      <c r="C702" s="609"/>
      <c r="D702" s="223" t="s">
        <v>811</v>
      </c>
      <c r="E702" s="225" t="s">
        <v>64</v>
      </c>
      <c r="F702" s="228" t="s">
        <v>64</v>
      </c>
      <c r="G702" s="426">
        <f>G701*10%</f>
        <v>140</v>
      </c>
      <c r="H702" s="225" t="s">
        <v>64</v>
      </c>
      <c r="I702" s="638" t="s">
        <v>64</v>
      </c>
      <c r="J702" s="1001"/>
      <c r="K702" s="1048"/>
      <c r="L702" s="211">
        <v>92.4</v>
      </c>
      <c r="M702" s="320" t="s">
        <v>64</v>
      </c>
      <c r="N702" s="188"/>
      <c r="O702" s="188"/>
      <c r="P702" s="188"/>
      <c r="Q702" s="758"/>
      <c r="R702" s="214"/>
      <c r="S702" s="633">
        <v>92.4</v>
      </c>
      <c r="T702" s="157">
        <v>808.78312129969402</v>
      </c>
      <c r="U702" s="607" t="s">
        <v>64</v>
      </c>
      <c r="V702" s="7"/>
      <c r="W702" s="7">
        <v>0</v>
      </c>
      <c r="X702" s="157">
        <v>0</v>
      </c>
      <c r="Y702" s="7">
        <v>4.53</v>
      </c>
      <c r="Z702" s="157">
        <v>39.651380297485048</v>
      </c>
      <c r="AA702" s="188"/>
      <c r="AB702" s="214"/>
      <c r="AC702" s="7">
        <v>35.760000000000005</v>
      </c>
      <c r="AD702" s="176">
        <v>313.00957161988185</v>
      </c>
      <c r="AE702" s="943"/>
      <c r="AF702" s="944"/>
      <c r="AG702" s="211">
        <v>92.4</v>
      </c>
      <c r="AH702" s="157">
        <v>1617.566242599388</v>
      </c>
      <c r="AI702" s="176">
        <f t="shared" si="24"/>
        <v>1617.566242599388</v>
      </c>
      <c r="AJ702" s="976"/>
      <c r="AK702" s="982"/>
      <c r="AL702" s="1006"/>
      <c r="AM702" s="440"/>
      <c r="AN702" s="89"/>
      <c r="AO702" s="89"/>
    </row>
    <row r="703" spans="1:42" s="69" customFormat="1" ht="12.75" customHeight="1">
      <c r="A703" s="1015"/>
      <c r="B703" s="608"/>
      <c r="C703" s="609"/>
      <c r="D703" s="223" t="s">
        <v>812</v>
      </c>
      <c r="E703" s="225" t="s">
        <v>64</v>
      </c>
      <c r="F703" s="228" t="s">
        <v>64</v>
      </c>
      <c r="G703" s="426">
        <v>120000</v>
      </c>
      <c r="H703" s="225" t="s">
        <v>64</v>
      </c>
      <c r="I703" s="638" t="s">
        <v>64</v>
      </c>
      <c r="J703" s="1001"/>
      <c r="K703" s="1048"/>
      <c r="L703" s="211">
        <v>2851.0000000000005</v>
      </c>
      <c r="M703" s="320" t="s">
        <v>64</v>
      </c>
      <c r="N703" s="188"/>
      <c r="O703" s="188"/>
      <c r="P703" s="188"/>
      <c r="Q703" s="758"/>
      <c r="R703" s="214"/>
      <c r="S703" s="633">
        <v>2851.0000000000005</v>
      </c>
      <c r="T703" s="157">
        <v>24954.985701573918</v>
      </c>
      <c r="U703" s="607" t="s">
        <v>64</v>
      </c>
      <c r="V703" s="7"/>
      <c r="W703" s="7">
        <v>1560.0000000000002</v>
      </c>
      <c r="X703" s="157">
        <v>13654.779969994848</v>
      </c>
      <c r="Y703" s="7">
        <v>184.32</v>
      </c>
      <c r="Z703" s="157">
        <v>1613.36477183939</v>
      </c>
      <c r="AA703" s="188"/>
      <c r="AB703" s="214"/>
      <c r="AC703" s="7">
        <v>515.20000000000005</v>
      </c>
      <c r="AD703" s="176">
        <v>4509.5786157316279</v>
      </c>
      <c r="AE703" s="943"/>
      <c r="AF703" s="944"/>
      <c r="AG703" s="211">
        <v>2851.0000000000005</v>
      </c>
      <c r="AH703" s="157">
        <v>49909.971403147836</v>
      </c>
      <c r="AI703" s="176">
        <f t="shared" si="24"/>
        <v>49909.971403147836</v>
      </c>
      <c r="AJ703" s="976"/>
      <c r="AK703" s="982"/>
      <c r="AL703" s="1006"/>
      <c r="AM703" s="440"/>
      <c r="AN703" s="89"/>
      <c r="AO703" s="89"/>
    </row>
    <row r="704" spans="1:42" s="69" customFormat="1" ht="12.75" customHeight="1">
      <c r="A704" s="1015"/>
      <c r="B704" s="608"/>
      <c r="C704" s="609"/>
      <c r="D704" s="223" t="s">
        <v>813</v>
      </c>
      <c r="E704" s="225" t="s">
        <v>64</v>
      </c>
      <c r="F704" s="228" t="s">
        <v>64</v>
      </c>
      <c r="G704" s="426">
        <f>G703*10%</f>
        <v>12000</v>
      </c>
      <c r="H704" s="225" t="s">
        <v>64</v>
      </c>
      <c r="I704" s="638" t="s">
        <v>64</v>
      </c>
      <c r="J704" s="1001"/>
      <c r="K704" s="1048"/>
      <c r="L704" s="211">
        <v>211</v>
      </c>
      <c r="M704" s="320" t="s">
        <v>64</v>
      </c>
      <c r="N704" s="188"/>
      <c r="O704" s="188"/>
      <c r="P704" s="188"/>
      <c r="Q704" s="758"/>
      <c r="R704" s="214"/>
      <c r="S704" s="633">
        <v>211</v>
      </c>
      <c r="T704" s="157">
        <v>1846.8965215826349</v>
      </c>
      <c r="U704" s="607" t="s">
        <v>64</v>
      </c>
      <c r="V704" s="7"/>
      <c r="W704" s="7">
        <v>0</v>
      </c>
      <c r="X704" s="157">
        <v>0</v>
      </c>
      <c r="Y704" s="7">
        <v>22.32</v>
      </c>
      <c r="Z704" s="157">
        <v>195.36839033992638</v>
      </c>
      <c r="AA704" s="188"/>
      <c r="AB704" s="214"/>
      <c r="AC704" s="7">
        <v>83.2</v>
      </c>
      <c r="AD704" s="176">
        <v>728.25493173305802</v>
      </c>
      <c r="AE704" s="943"/>
      <c r="AF704" s="944"/>
      <c r="AG704" s="211">
        <v>211</v>
      </c>
      <c r="AH704" s="157">
        <v>3693.7930431652699</v>
      </c>
      <c r="AI704" s="176">
        <f t="shared" si="24"/>
        <v>3693.7930431652699</v>
      </c>
      <c r="AJ704" s="976"/>
      <c r="AK704" s="982"/>
      <c r="AL704" s="1006"/>
      <c r="AM704" s="440"/>
      <c r="AN704" s="89"/>
      <c r="AO704" s="89"/>
    </row>
    <row r="705" spans="1:42" s="69" customFormat="1" ht="12.75" customHeight="1">
      <c r="A705" s="1015"/>
      <c r="B705" s="608"/>
      <c r="C705" s="609"/>
      <c r="D705" s="223" t="s">
        <v>814</v>
      </c>
      <c r="E705" s="225" t="s">
        <v>64</v>
      </c>
      <c r="F705" s="228" t="s">
        <v>64</v>
      </c>
      <c r="G705" s="430">
        <v>3425</v>
      </c>
      <c r="H705" s="225" t="s">
        <v>64</v>
      </c>
      <c r="I705" s="638" t="s">
        <v>64</v>
      </c>
      <c r="J705" s="1001"/>
      <c r="K705" s="1048"/>
      <c r="L705" s="211">
        <v>169.77500000000001</v>
      </c>
      <c r="M705" s="320" t="s">
        <v>64</v>
      </c>
      <c r="N705" s="188"/>
      <c r="O705" s="188"/>
      <c r="P705" s="188"/>
      <c r="Q705" s="758"/>
      <c r="R705" s="214"/>
      <c r="S705" s="633">
        <v>169.77500000000001</v>
      </c>
      <c r="T705" s="157">
        <v>1486.0514547473563</v>
      </c>
      <c r="U705" s="607" t="s">
        <v>64</v>
      </c>
      <c r="V705" s="7"/>
      <c r="W705" s="7">
        <v>44.525000000000006</v>
      </c>
      <c r="X705" s="157">
        <v>389.73017831026908</v>
      </c>
      <c r="Y705" s="7">
        <v>9.4574999999999996</v>
      </c>
      <c r="Z705" s="157">
        <v>82.782103568093746</v>
      </c>
      <c r="AA705" s="188"/>
      <c r="AB705" s="214"/>
      <c r="AC705" s="7">
        <v>48.9</v>
      </c>
      <c r="AD705" s="176">
        <v>428.02483367483808</v>
      </c>
      <c r="AE705" s="943"/>
      <c r="AF705" s="944"/>
      <c r="AG705" s="211">
        <v>169.77500000000001</v>
      </c>
      <c r="AH705" s="157">
        <v>2972.1029094947125</v>
      </c>
      <c r="AI705" s="176">
        <f t="shared" si="24"/>
        <v>2972.1029094947125</v>
      </c>
      <c r="AJ705" s="976"/>
      <c r="AK705" s="982"/>
      <c r="AL705" s="1006"/>
      <c r="AM705" s="440"/>
      <c r="AN705" s="89"/>
      <c r="AO705" s="89"/>
    </row>
    <row r="706" spans="1:42" s="69" customFormat="1" ht="12.75" customHeight="1">
      <c r="A706" s="1015"/>
      <c r="B706" s="608"/>
      <c r="C706" s="609"/>
      <c r="D706" s="223" t="s">
        <v>815</v>
      </c>
      <c r="E706" s="320" t="s">
        <v>64</v>
      </c>
      <c r="F706" s="607" t="s">
        <v>64</v>
      </c>
      <c r="G706" s="430">
        <v>21000</v>
      </c>
      <c r="H706" s="320" t="s">
        <v>64</v>
      </c>
      <c r="I706" s="639" t="s">
        <v>64</v>
      </c>
      <c r="J706" s="1001"/>
      <c r="K706" s="1081"/>
      <c r="L706" s="7">
        <v>574.00000000000011</v>
      </c>
      <c r="M706" s="320" t="s">
        <v>64</v>
      </c>
      <c r="N706" s="188"/>
      <c r="O706" s="188"/>
      <c r="P706" s="188"/>
      <c r="Q706" s="758"/>
      <c r="R706" s="214"/>
      <c r="S706" s="633">
        <v>574.00000000000011</v>
      </c>
      <c r="T706" s="157">
        <v>5024.258783831433</v>
      </c>
      <c r="U706" s="607" t="s">
        <v>64</v>
      </c>
      <c r="V706" s="7"/>
      <c r="W706" s="7">
        <v>273</v>
      </c>
      <c r="X706" s="157">
        <v>2389.5864947490995</v>
      </c>
      <c r="Y706" s="7">
        <v>35.82</v>
      </c>
      <c r="Z706" s="157">
        <v>313.5347554648817</v>
      </c>
      <c r="AA706" s="188"/>
      <c r="AB706" s="214"/>
      <c r="AC706" s="7">
        <v>119.2</v>
      </c>
      <c r="AD706" s="176">
        <v>1043.3652387329385</v>
      </c>
      <c r="AE706" s="943"/>
      <c r="AF706" s="944"/>
      <c r="AG706" s="211">
        <v>574.00000000000011</v>
      </c>
      <c r="AH706" s="157">
        <v>10048.517567662866</v>
      </c>
      <c r="AI706" s="176">
        <f t="shared" si="24"/>
        <v>10048.517567662866</v>
      </c>
      <c r="AJ706" s="976"/>
      <c r="AK706" s="982"/>
      <c r="AL706" s="1006"/>
      <c r="AM706" s="440"/>
      <c r="AN706" s="89"/>
      <c r="AO706" s="89"/>
    </row>
    <row r="707" spans="1:42" s="69" customFormat="1" ht="12.75" customHeight="1">
      <c r="A707" s="1015"/>
      <c r="B707" s="608"/>
      <c r="C707" s="609"/>
      <c r="D707" s="223" t="s">
        <v>816</v>
      </c>
      <c r="E707" s="320" t="s">
        <v>64</v>
      </c>
      <c r="F707" s="607" t="s">
        <v>64</v>
      </c>
      <c r="G707" s="430">
        <v>8400</v>
      </c>
      <c r="H707" s="320" t="s">
        <v>64</v>
      </c>
      <c r="I707" s="639" t="s">
        <v>64</v>
      </c>
      <c r="J707" s="1001"/>
      <c r="K707" s="1081"/>
      <c r="L707" s="7">
        <v>175</v>
      </c>
      <c r="M707" s="320" t="s">
        <v>64</v>
      </c>
      <c r="N707" s="188"/>
      <c r="O707" s="188"/>
      <c r="P707" s="188"/>
      <c r="Q707" s="188"/>
      <c r="R707" s="214"/>
      <c r="S707" s="7">
        <v>175</v>
      </c>
      <c r="T707" s="157">
        <v>1531.7862145827551</v>
      </c>
      <c r="U707" s="607" t="s">
        <v>64</v>
      </c>
      <c r="V707" s="7"/>
      <c r="W707" s="7">
        <v>0</v>
      </c>
      <c r="X707" s="157">
        <v>0</v>
      </c>
      <c r="Y707" s="7">
        <v>16.920000000000002</v>
      </c>
      <c r="Z707" s="157">
        <v>148.10184428994421</v>
      </c>
      <c r="AA707" s="188"/>
      <c r="AB707" s="214"/>
      <c r="AC707" s="7">
        <v>68.8</v>
      </c>
      <c r="AD707" s="176">
        <v>602.21080893310602</v>
      </c>
      <c r="AE707" s="943"/>
      <c r="AF707" s="944"/>
      <c r="AG707" s="192">
        <v>175</v>
      </c>
      <c r="AH707" s="157">
        <v>3063.5724291655101</v>
      </c>
      <c r="AI707" s="176">
        <f t="shared" si="24"/>
        <v>3063.5724291655101</v>
      </c>
      <c r="AJ707" s="976"/>
      <c r="AK707" s="982"/>
      <c r="AL707" s="1006"/>
      <c r="AM707" s="440"/>
      <c r="AN707" s="89"/>
      <c r="AO707" s="89"/>
    </row>
    <row r="708" spans="1:42" s="69" customFormat="1" ht="15" customHeight="1">
      <c r="A708" s="1015"/>
      <c r="B708" s="610"/>
      <c r="C708" s="611"/>
      <c r="D708" s="223" t="s">
        <v>820</v>
      </c>
      <c r="E708" s="320" t="s">
        <v>64</v>
      </c>
      <c r="F708" s="607" t="s">
        <v>64</v>
      </c>
      <c r="G708" s="427">
        <v>3333.33</v>
      </c>
      <c r="H708" s="320" t="s">
        <v>64</v>
      </c>
      <c r="I708" s="639" t="s">
        <v>64</v>
      </c>
      <c r="J708" s="1001"/>
      <c r="K708" s="1081"/>
      <c r="L708" s="7">
        <v>167.66659000000001</v>
      </c>
      <c r="M708" s="320" t="s">
        <v>64</v>
      </c>
      <c r="N708" s="188"/>
      <c r="O708" s="188"/>
      <c r="P708" s="188"/>
      <c r="Q708" s="188"/>
      <c r="R708" s="214"/>
      <c r="S708" s="7">
        <v>167.66659000000001</v>
      </c>
      <c r="T708" s="157">
        <v>1467.5964069034214</v>
      </c>
      <c r="U708" s="607" t="s">
        <v>64</v>
      </c>
      <c r="V708" s="188"/>
      <c r="W708" s="410">
        <v>43.333290000000005</v>
      </c>
      <c r="X708" s="507">
        <v>379.29906431152421</v>
      </c>
      <c r="Y708" s="7">
        <v>9.3199949999999987</v>
      </c>
      <c r="Z708" s="157">
        <v>81.578513491315235</v>
      </c>
      <c r="AA708" s="188"/>
      <c r="AB708" s="214"/>
      <c r="AC708" s="7">
        <v>48.533320000000003</v>
      </c>
      <c r="AD708" s="270">
        <v>424.81526013676256</v>
      </c>
      <c r="AE708" s="943"/>
      <c r="AF708" s="944"/>
      <c r="AG708" s="192">
        <v>167.66659000000001</v>
      </c>
      <c r="AH708" s="157">
        <v>2935.1928138068429</v>
      </c>
      <c r="AI708" s="176">
        <f t="shared" si="24"/>
        <v>2935.1928138068429</v>
      </c>
      <c r="AJ708" s="976"/>
      <c r="AK708" s="982"/>
      <c r="AL708" s="1006"/>
      <c r="AM708" s="151"/>
      <c r="AN708" s="90"/>
      <c r="AO708" s="128"/>
      <c r="AP708" s="106"/>
    </row>
    <row r="709" spans="1:42" s="69" customFormat="1" ht="15" customHeight="1" thickBot="1">
      <c r="A709" s="1015"/>
      <c r="B709" s="616"/>
      <c r="C709" s="617"/>
      <c r="D709" s="224" t="s">
        <v>821</v>
      </c>
      <c r="E709" s="226" t="s">
        <v>64</v>
      </c>
      <c r="F709" s="229" t="s">
        <v>64</v>
      </c>
      <c r="G709" s="429">
        <v>3333.33</v>
      </c>
      <c r="H709" s="226" t="s">
        <v>64</v>
      </c>
      <c r="I709" s="641" t="s">
        <v>64</v>
      </c>
      <c r="J709" s="1001"/>
      <c r="K709" s="1081"/>
      <c r="L709" s="28">
        <v>124.33330000000001</v>
      </c>
      <c r="M709" s="226" t="s">
        <v>64</v>
      </c>
      <c r="N709" s="116"/>
      <c r="O709" s="116"/>
      <c r="P709" s="116"/>
      <c r="Q709" s="116"/>
      <c r="R709" s="175"/>
      <c r="S709" s="28">
        <v>124.33330000000001</v>
      </c>
      <c r="T709" s="118">
        <v>1088.2973425918974</v>
      </c>
      <c r="U709" s="229" t="s">
        <v>64</v>
      </c>
      <c r="V709" s="116"/>
      <c r="W709" s="28">
        <v>0</v>
      </c>
      <c r="X709" s="118">
        <v>0</v>
      </c>
      <c r="Y709" s="28">
        <v>9.3199949999999987</v>
      </c>
      <c r="Z709" s="118">
        <v>81.578513491315235</v>
      </c>
      <c r="AA709" s="116"/>
      <c r="AB709" s="175"/>
      <c r="AC709" s="28">
        <v>48.533320000000003</v>
      </c>
      <c r="AD709" s="757">
        <v>424.81526013676256</v>
      </c>
      <c r="AE709" s="943"/>
      <c r="AF709" s="944"/>
      <c r="AG709" s="749">
        <v>124.33330000000001</v>
      </c>
      <c r="AH709" s="118">
        <v>2176.5946851837948</v>
      </c>
      <c r="AI709" s="180">
        <f t="shared" si="24"/>
        <v>2176.5946851837948</v>
      </c>
      <c r="AJ709" s="976"/>
      <c r="AK709" s="983"/>
      <c r="AL709" s="1006"/>
      <c r="AM709" s="151"/>
      <c r="AN709" s="90"/>
      <c r="AO709" s="128"/>
      <c r="AP709" s="106"/>
    </row>
    <row r="710" spans="1:42" s="69" customFormat="1" ht="15" customHeight="1">
      <c r="A710" s="1015"/>
      <c r="B710" s="232" t="s">
        <v>151</v>
      </c>
      <c r="C710" s="912" t="s">
        <v>151</v>
      </c>
      <c r="D710" s="222" t="s">
        <v>535</v>
      </c>
      <c r="E710" s="240" t="s">
        <v>1</v>
      </c>
      <c r="F710" s="240" t="s">
        <v>1</v>
      </c>
      <c r="G710" s="474">
        <f>3*74*28.036</f>
        <v>6223.9920000000002</v>
      </c>
      <c r="H710" s="474">
        <f>3*74*28.036</f>
        <v>6223.9920000000002</v>
      </c>
      <c r="I710" s="755">
        <f>3*74*28.036</f>
        <v>6223.9920000000002</v>
      </c>
      <c r="J710" s="1001"/>
      <c r="K710" s="1081"/>
      <c r="L710" s="120">
        <v>327.38660320000002</v>
      </c>
      <c r="M710" s="120">
        <v>189.91</v>
      </c>
      <c r="N710" s="115"/>
      <c r="O710" s="115"/>
      <c r="P710" s="115"/>
      <c r="Q710" s="115"/>
      <c r="R710" s="174"/>
      <c r="S710" s="120">
        <v>137.47660320000003</v>
      </c>
      <c r="T710" s="117">
        <v>942.09460641816713</v>
      </c>
      <c r="U710" s="228" t="s">
        <v>64</v>
      </c>
      <c r="V710" s="115"/>
      <c r="W710" s="120">
        <v>1.8960000000163291E-3</v>
      </c>
      <c r="X710" s="117">
        <v>1.2992839015564431E-2</v>
      </c>
      <c r="Y710" s="120">
        <v>4.3959879999999991</v>
      </c>
      <c r="Z710" s="117">
        <v>30.124664766804401</v>
      </c>
      <c r="AA710" s="120">
        <v>17.724787200000009</v>
      </c>
      <c r="AB710" s="117">
        <v>121.46376934216966</v>
      </c>
      <c r="AC710" s="120">
        <v>13.935968000000015</v>
      </c>
      <c r="AD710" s="269">
        <v>95.499888580431602</v>
      </c>
      <c r="AE710" s="943"/>
      <c r="AF710" s="944"/>
      <c r="AG710" s="198">
        <v>137.47660320000003</v>
      </c>
      <c r="AH710" s="117">
        <v>1884.1892128363343</v>
      </c>
      <c r="AI710" s="177">
        <f t="shared" si="24"/>
        <v>1884.1892128363343</v>
      </c>
      <c r="AJ710" s="976"/>
      <c r="AK710" s="978">
        <f>SUM(AI710:AI723)</f>
        <v>25360.609699708464</v>
      </c>
      <c r="AL710" s="1006"/>
      <c r="AM710" s="151"/>
      <c r="AN710" s="90"/>
      <c r="AO710" s="128"/>
      <c r="AP710" s="106"/>
    </row>
    <row r="711" spans="1:42" s="69" customFormat="1" ht="15" customHeight="1">
      <c r="A711" s="1015"/>
      <c r="B711" s="619"/>
      <c r="C711" s="613"/>
      <c r="D711" s="223" t="s">
        <v>809</v>
      </c>
      <c r="E711" s="320" t="s">
        <v>64</v>
      </c>
      <c r="F711" s="607" t="s">
        <v>64</v>
      </c>
      <c r="G711" s="426">
        <f>74*28.036</f>
        <v>2074.6640000000002</v>
      </c>
      <c r="H711" s="320" t="s">
        <v>64</v>
      </c>
      <c r="I711" s="639" t="s">
        <v>64</v>
      </c>
      <c r="J711" s="1001"/>
      <c r="K711" s="1081"/>
      <c r="L711" s="7">
        <v>96.506102399999989</v>
      </c>
      <c r="M711" s="320" t="s">
        <v>64</v>
      </c>
      <c r="N711" s="188"/>
      <c r="O711" s="188"/>
      <c r="P711" s="188"/>
      <c r="Q711" s="188"/>
      <c r="R711" s="214"/>
      <c r="S711" s="7">
        <v>96.506102399999989</v>
      </c>
      <c r="T711" s="157">
        <v>661.33346650420674</v>
      </c>
      <c r="U711" s="607" t="s">
        <v>64</v>
      </c>
      <c r="V711" s="188"/>
      <c r="W711" s="7">
        <v>0</v>
      </c>
      <c r="X711" s="157">
        <v>0</v>
      </c>
      <c r="Y711" s="7">
        <v>9.3119960000000006</v>
      </c>
      <c r="Z711" s="157">
        <v>63.81290344965069</v>
      </c>
      <c r="AA711" s="7">
        <v>12.759462399999997</v>
      </c>
      <c r="AB711" s="157">
        <v>87.437574307446994</v>
      </c>
      <c r="AC711" s="7">
        <v>31.898655999999995</v>
      </c>
      <c r="AD711" s="270">
        <v>218.5939357686172</v>
      </c>
      <c r="AE711" s="943"/>
      <c r="AF711" s="944"/>
      <c r="AG711" s="192">
        <v>96.506102399999989</v>
      </c>
      <c r="AH711" s="157">
        <v>1322.6669330084135</v>
      </c>
      <c r="AI711" s="176">
        <f t="shared" si="24"/>
        <v>1322.6669330084135</v>
      </c>
      <c r="AJ711" s="976"/>
      <c r="AK711" s="979"/>
      <c r="AL711" s="1006"/>
      <c r="AM711" s="151"/>
      <c r="AN711" s="90"/>
      <c r="AO711" s="128"/>
      <c r="AP711" s="106"/>
    </row>
    <row r="712" spans="1:42" s="69" customFormat="1" ht="15" customHeight="1">
      <c r="A712" s="1015"/>
      <c r="B712" s="619"/>
      <c r="C712" s="613"/>
      <c r="D712" s="223" t="s">
        <v>810</v>
      </c>
      <c r="E712" s="320" t="s">
        <v>64</v>
      </c>
      <c r="F712" s="607" t="s">
        <v>64</v>
      </c>
      <c r="G712" s="426">
        <f>G711*2</f>
        <v>4149.3280000000004</v>
      </c>
      <c r="H712" s="320" t="s">
        <v>64</v>
      </c>
      <c r="I712" s="639" t="s">
        <v>64</v>
      </c>
      <c r="J712" s="1001"/>
      <c r="K712" s="1081"/>
      <c r="L712" s="7">
        <v>120.57220480000001</v>
      </c>
      <c r="M712" s="320" t="s">
        <v>64</v>
      </c>
      <c r="N712" s="188"/>
      <c r="O712" s="188"/>
      <c r="P712" s="188"/>
      <c r="Q712" s="188"/>
      <c r="R712" s="214"/>
      <c r="S712" s="7">
        <v>120.57220480000001</v>
      </c>
      <c r="T712" s="157">
        <v>826.25276724924731</v>
      </c>
      <c r="U712" s="607" t="s">
        <v>64</v>
      </c>
      <c r="V712" s="188"/>
      <c r="W712" s="7">
        <v>0</v>
      </c>
      <c r="X712" s="157">
        <v>0</v>
      </c>
      <c r="Y712" s="7">
        <v>12.423992</v>
      </c>
      <c r="Z712" s="157">
        <v>85.138675097716273</v>
      </c>
      <c r="AA712" s="7">
        <v>16.078924799999999</v>
      </c>
      <c r="AB712" s="157">
        <v>110.18506406538356</v>
      </c>
      <c r="AC712" s="7">
        <v>40.197312000000004</v>
      </c>
      <c r="AD712" s="270">
        <v>275.46266016345879</v>
      </c>
      <c r="AE712" s="943"/>
      <c r="AF712" s="944"/>
      <c r="AG712" s="192">
        <v>120.57220480000001</v>
      </c>
      <c r="AH712" s="157">
        <v>1652.5055344984946</v>
      </c>
      <c r="AI712" s="176">
        <f t="shared" si="24"/>
        <v>1652.5055344984946</v>
      </c>
      <c r="AJ712" s="976"/>
      <c r="AK712" s="979"/>
      <c r="AL712" s="1006"/>
      <c r="AM712" s="151"/>
      <c r="AN712" s="90"/>
      <c r="AO712" s="128"/>
      <c r="AP712" s="106"/>
    </row>
    <row r="713" spans="1:42" s="69" customFormat="1" ht="15" customHeight="1">
      <c r="A713" s="1015"/>
      <c r="B713" s="619"/>
      <c r="C713" s="613"/>
      <c r="D713" s="223" t="s">
        <v>811</v>
      </c>
      <c r="E713" s="320" t="s">
        <v>64</v>
      </c>
      <c r="F713" s="607" t="s">
        <v>64</v>
      </c>
      <c r="G713" s="426">
        <f>G711*3</f>
        <v>6223.9920000000002</v>
      </c>
      <c r="H713" s="320" t="s">
        <v>64</v>
      </c>
      <c r="I713" s="639" t="s">
        <v>64</v>
      </c>
      <c r="J713" s="1001"/>
      <c r="K713" s="1081"/>
      <c r="L713" s="7">
        <v>135.51830720000001</v>
      </c>
      <c r="M713" s="320" t="s">
        <v>64</v>
      </c>
      <c r="N713" s="188"/>
      <c r="O713" s="188"/>
      <c r="P713" s="188"/>
      <c r="Q713" s="188"/>
      <c r="R713" s="214"/>
      <c r="S713" s="7">
        <v>135.51830720000001</v>
      </c>
      <c r="T713" s="157">
        <v>928.67486766679463</v>
      </c>
      <c r="U713" s="607" t="s">
        <v>64</v>
      </c>
      <c r="V713" s="188"/>
      <c r="W713" s="7">
        <v>0</v>
      </c>
      <c r="X713" s="157">
        <v>0</v>
      </c>
      <c r="Y713" s="7">
        <v>14.535988</v>
      </c>
      <c r="Z713" s="157">
        <v>99.61168355197762</v>
      </c>
      <c r="AA713" s="7">
        <v>18.278387200000001</v>
      </c>
      <c r="AB713" s="157">
        <v>125.25745904625948</v>
      </c>
      <c r="AC713" s="7">
        <v>45.695968000000008</v>
      </c>
      <c r="AD713" s="270">
        <v>313.14364761564877</v>
      </c>
      <c r="AE713" s="943"/>
      <c r="AF713" s="944"/>
      <c r="AG713" s="192">
        <v>135.51830720000001</v>
      </c>
      <c r="AH713" s="157">
        <v>1857.3497353335893</v>
      </c>
      <c r="AI713" s="176">
        <f t="shared" si="24"/>
        <v>1857.3497353335893</v>
      </c>
      <c r="AJ713" s="976"/>
      <c r="AK713" s="979"/>
      <c r="AL713" s="1006"/>
      <c r="AM713" s="151"/>
      <c r="AN713" s="90"/>
      <c r="AO713" s="128"/>
      <c r="AP713" s="106"/>
    </row>
    <row r="714" spans="1:42" s="69" customFormat="1" ht="15" customHeight="1">
      <c r="A714" s="1015"/>
      <c r="B714" s="618"/>
      <c r="C714" s="615"/>
      <c r="D714" s="223" t="s">
        <v>812</v>
      </c>
      <c r="E714" s="320" t="s">
        <v>64</v>
      </c>
      <c r="F714" s="607" t="s">
        <v>64</v>
      </c>
      <c r="G714" s="430">
        <f>G701</f>
        <v>1400</v>
      </c>
      <c r="H714" s="320" t="s">
        <v>64</v>
      </c>
      <c r="I714" s="639" t="s">
        <v>64</v>
      </c>
      <c r="J714" s="1001"/>
      <c r="K714" s="1081"/>
      <c r="L714" s="7">
        <v>97.76</v>
      </c>
      <c r="M714" s="320" t="s">
        <v>64</v>
      </c>
      <c r="N714" s="188"/>
      <c r="O714" s="188"/>
      <c r="P714" s="188"/>
      <c r="Q714" s="188"/>
      <c r="R714" s="214"/>
      <c r="S714" s="7">
        <v>97.76</v>
      </c>
      <c r="T714" s="157">
        <v>669.92612982628634</v>
      </c>
      <c r="U714" s="607" t="s">
        <v>64</v>
      </c>
      <c r="V714" s="188"/>
      <c r="W714" s="7">
        <v>18.200000000000003</v>
      </c>
      <c r="X714" s="157">
        <v>124.72029012723412</v>
      </c>
      <c r="Y714" s="7">
        <v>7.3</v>
      </c>
      <c r="Z714" s="157">
        <v>50.025171314769793</v>
      </c>
      <c r="AA714" s="7">
        <v>10.56</v>
      </c>
      <c r="AB714" s="157">
        <v>72.365179326570981</v>
      </c>
      <c r="AC714" s="7">
        <v>26.400000000000002</v>
      </c>
      <c r="AD714" s="270">
        <v>180.91294831642765</v>
      </c>
      <c r="AE714" s="943"/>
      <c r="AF714" s="944"/>
      <c r="AG714" s="192">
        <v>97.76</v>
      </c>
      <c r="AH714" s="157">
        <v>1339.8522596525727</v>
      </c>
      <c r="AI714" s="176">
        <f t="shared" si="24"/>
        <v>1339.8522596525727</v>
      </c>
      <c r="AJ714" s="976"/>
      <c r="AK714" s="979"/>
      <c r="AL714" s="1006"/>
      <c r="AM714" s="151"/>
      <c r="AN714" s="90"/>
      <c r="AO714" s="128"/>
      <c r="AP714" s="106"/>
    </row>
    <row r="715" spans="1:42" s="69" customFormat="1" ht="15" customHeight="1">
      <c r="A715" s="1015"/>
      <c r="B715" s="618"/>
      <c r="C715" s="615"/>
      <c r="D715" s="223" t="s">
        <v>813</v>
      </c>
      <c r="E715" s="320" t="s">
        <v>64</v>
      </c>
      <c r="F715" s="607" t="s">
        <v>64</v>
      </c>
      <c r="G715" s="430">
        <f>2*G714</f>
        <v>2800</v>
      </c>
      <c r="H715" s="320" t="s">
        <v>64</v>
      </c>
      <c r="I715" s="639" t="s">
        <v>64</v>
      </c>
      <c r="J715" s="1001"/>
      <c r="K715" s="1081"/>
      <c r="L715" s="7">
        <v>132.19999999999999</v>
      </c>
      <c r="M715" s="320" t="s">
        <v>64</v>
      </c>
      <c r="N715" s="188"/>
      <c r="O715" s="188"/>
      <c r="P715" s="188"/>
      <c r="Q715" s="188"/>
      <c r="R715" s="214"/>
      <c r="S715" s="7">
        <v>132.19999999999999</v>
      </c>
      <c r="T715" s="157">
        <v>905.9352942208991</v>
      </c>
      <c r="U715" s="607" t="s">
        <v>64</v>
      </c>
      <c r="V715" s="188"/>
      <c r="W715" s="7">
        <v>36.400000000000006</v>
      </c>
      <c r="X715" s="157">
        <v>249.44058025446824</v>
      </c>
      <c r="Y715" s="7">
        <v>9.4</v>
      </c>
      <c r="Z715" s="157">
        <v>64.415974021758331</v>
      </c>
      <c r="AA715" s="7">
        <v>12.8</v>
      </c>
      <c r="AB715" s="157">
        <v>87.715368880692239</v>
      </c>
      <c r="AC715" s="7">
        <v>32</v>
      </c>
      <c r="AD715" s="270">
        <v>219.28842220173047</v>
      </c>
      <c r="AE715" s="943"/>
      <c r="AF715" s="944"/>
      <c r="AG715" s="192">
        <v>132.19999999999999</v>
      </c>
      <c r="AH715" s="157">
        <v>1811.8705884417982</v>
      </c>
      <c r="AI715" s="176">
        <f t="shared" si="24"/>
        <v>1811.8705884417982</v>
      </c>
      <c r="AJ715" s="976"/>
      <c r="AK715" s="979"/>
      <c r="AL715" s="1006"/>
      <c r="AM715" s="151"/>
      <c r="AN715" s="90"/>
      <c r="AO715" s="128"/>
      <c r="AP715" s="106"/>
    </row>
    <row r="716" spans="1:42" s="69" customFormat="1" ht="15" customHeight="1">
      <c r="A716" s="1015"/>
      <c r="B716" s="619"/>
      <c r="C716" s="613"/>
      <c r="D716" s="223" t="s">
        <v>814</v>
      </c>
      <c r="E716" s="320" t="s">
        <v>64</v>
      </c>
      <c r="F716" s="607" t="s">
        <v>64</v>
      </c>
      <c r="G716" s="426">
        <f>G702</f>
        <v>140</v>
      </c>
      <c r="H716" s="320" t="s">
        <v>64</v>
      </c>
      <c r="I716" s="639" t="s">
        <v>64</v>
      </c>
      <c r="J716" s="1001"/>
      <c r="K716" s="1081"/>
      <c r="L716" s="7">
        <v>64.943999999999988</v>
      </c>
      <c r="M716" s="320" t="s">
        <v>64</v>
      </c>
      <c r="N716" s="188"/>
      <c r="O716" s="188"/>
      <c r="P716" s="188"/>
      <c r="Q716" s="188"/>
      <c r="R716" s="214"/>
      <c r="S716" s="7">
        <v>64.943999999999988</v>
      </c>
      <c r="T716" s="157">
        <v>445.04585285841233</v>
      </c>
      <c r="U716" s="607" t="s">
        <v>64</v>
      </c>
      <c r="V716" s="188"/>
      <c r="W716" s="7">
        <v>0</v>
      </c>
      <c r="X716" s="157">
        <v>0</v>
      </c>
      <c r="Y716" s="7">
        <v>5.41</v>
      </c>
      <c r="Z716" s="157">
        <v>37.07344887848005</v>
      </c>
      <c r="AA716" s="7">
        <v>8.5439999999999987</v>
      </c>
      <c r="AB716" s="157">
        <v>58.55000872786205</v>
      </c>
      <c r="AC716" s="7">
        <v>21.36</v>
      </c>
      <c r="AD716" s="270">
        <v>146.37502181965525</v>
      </c>
      <c r="AE716" s="943"/>
      <c r="AF716" s="944"/>
      <c r="AG716" s="192">
        <v>64.943999999999988</v>
      </c>
      <c r="AH716" s="157">
        <v>890.09170571682466</v>
      </c>
      <c r="AI716" s="176">
        <f t="shared" si="24"/>
        <v>890.09170571682466</v>
      </c>
      <c r="AJ716" s="976"/>
      <c r="AK716" s="979"/>
      <c r="AL716" s="1006"/>
      <c r="AM716" s="151"/>
      <c r="AN716" s="90"/>
      <c r="AO716" s="128"/>
      <c r="AP716" s="106"/>
    </row>
    <row r="717" spans="1:42" s="69" customFormat="1" ht="15" customHeight="1">
      <c r="A717" s="1015"/>
      <c r="B717" s="619"/>
      <c r="C717" s="613"/>
      <c r="D717" s="223" t="s">
        <v>815</v>
      </c>
      <c r="E717" s="320" t="s">
        <v>64</v>
      </c>
      <c r="F717" s="607" t="s">
        <v>64</v>
      </c>
      <c r="G717" s="426">
        <f>2*G716</f>
        <v>280</v>
      </c>
      <c r="H717" s="320" t="s">
        <v>64</v>
      </c>
      <c r="I717" s="639" t="s">
        <v>64</v>
      </c>
      <c r="J717" s="1001"/>
      <c r="K717" s="1081"/>
      <c r="L717" s="7">
        <v>66.567999999999998</v>
      </c>
      <c r="M717" s="320" t="s">
        <v>64</v>
      </c>
      <c r="N717" s="188"/>
      <c r="O717" s="188"/>
      <c r="P717" s="188"/>
      <c r="Q717" s="188"/>
      <c r="R717" s="214"/>
      <c r="S717" s="7">
        <v>66.567999999999998</v>
      </c>
      <c r="T717" s="157">
        <v>456.17474028514988</v>
      </c>
      <c r="U717" s="607" t="s">
        <v>64</v>
      </c>
      <c r="V717" s="188"/>
      <c r="W717" s="7">
        <v>0</v>
      </c>
      <c r="X717" s="157">
        <v>0</v>
      </c>
      <c r="Y717" s="7">
        <v>5.620000000000001</v>
      </c>
      <c r="Z717" s="157">
        <v>38.512529149178903</v>
      </c>
      <c r="AA717" s="7">
        <v>8.7680000000000007</v>
      </c>
      <c r="AB717" s="157">
        <v>60.085027683274134</v>
      </c>
      <c r="AC717" s="7">
        <v>21.92</v>
      </c>
      <c r="AD717" s="270">
        <v>150.21256920818539</v>
      </c>
      <c r="AE717" s="943"/>
      <c r="AF717" s="944"/>
      <c r="AG717" s="192">
        <v>66.567999999999998</v>
      </c>
      <c r="AH717" s="157">
        <v>912.34948057029976</v>
      </c>
      <c r="AI717" s="176">
        <f t="shared" si="24"/>
        <v>912.34948057029976</v>
      </c>
      <c r="AJ717" s="976"/>
      <c r="AK717" s="979"/>
      <c r="AL717" s="1006"/>
      <c r="AM717" s="151"/>
      <c r="AN717" s="90"/>
      <c r="AO717" s="128"/>
      <c r="AP717" s="106"/>
    </row>
    <row r="718" spans="1:42" s="69" customFormat="1" ht="12.75" customHeight="1">
      <c r="A718" s="1015"/>
      <c r="B718" s="619"/>
      <c r="C718" s="388"/>
      <c r="D718" s="223" t="s">
        <v>816</v>
      </c>
      <c r="E718" s="320" t="s">
        <v>64</v>
      </c>
      <c r="F718" s="607" t="s">
        <v>64</v>
      </c>
      <c r="G718" s="426">
        <f>3*G716</f>
        <v>420</v>
      </c>
      <c r="H718" s="320" t="s">
        <v>64</v>
      </c>
      <c r="I718" s="639" t="s">
        <v>64</v>
      </c>
      <c r="J718" s="1001"/>
      <c r="K718" s="1081"/>
      <c r="L718" s="7">
        <v>68.191999999999993</v>
      </c>
      <c r="M718" s="320" t="s">
        <v>64</v>
      </c>
      <c r="N718" s="188"/>
      <c r="O718" s="188"/>
      <c r="P718" s="188"/>
      <c r="Q718" s="758"/>
      <c r="R718" s="214"/>
      <c r="S718" s="633">
        <v>68.191999999999993</v>
      </c>
      <c r="T718" s="157">
        <v>467.30362771188766</v>
      </c>
      <c r="U718" s="607" t="s">
        <v>64</v>
      </c>
      <c r="V718" s="7"/>
      <c r="W718" s="7">
        <v>0</v>
      </c>
      <c r="X718" s="157">
        <v>0</v>
      </c>
      <c r="Y718" s="7">
        <v>5.83</v>
      </c>
      <c r="Z718" s="157">
        <v>39.951609419877776</v>
      </c>
      <c r="AA718" s="7">
        <v>8.9919999999999991</v>
      </c>
      <c r="AB718" s="157">
        <v>61.620046638686183</v>
      </c>
      <c r="AC718" s="7">
        <v>22.48</v>
      </c>
      <c r="AD718" s="176">
        <v>154.05011659671561</v>
      </c>
      <c r="AE718" s="943"/>
      <c r="AF718" s="944"/>
      <c r="AG718" s="211">
        <v>68.191999999999993</v>
      </c>
      <c r="AH718" s="157">
        <v>934.60725542377531</v>
      </c>
      <c r="AI718" s="176">
        <f t="shared" si="24"/>
        <v>934.60725542377531</v>
      </c>
      <c r="AJ718" s="976"/>
      <c r="AK718" s="979"/>
      <c r="AL718" s="1006"/>
      <c r="AM718" s="440"/>
      <c r="AN718" s="89"/>
      <c r="AO718" s="89"/>
    </row>
    <row r="719" spans="1:42" s="69" customFormat="1" ht="12.75" customHeight="1">
      <c r="A719" s="1015"/>
      <c r="B719" s="753"/>
      <c r="C719" s="525"/>
      <c r="D719" s="223" t="s">
        <v>820</v>
      </c>
      <c r="E719" s="320" t="s">
        <v>64</v>
      </c>
      <c r="F719" s="607" t="s">
        <v>64</v>
      </c>
      <c r="G719" s="426">
        <f>G704</f>
        <v>12000</v>
      </c>
      <c r="H719" s="320" t="s">
        <v>64</v>
      </c>
      <c r="I719" s="639" t="s">
        <v>64</v>
      </c>
      <c r="J719" s="1001"/>
      <c r="K719" s="1081"/>
      <c r="L719" s="7">
        <v>202.52</v>
      </c>
      <c r="M719" s="320" t="s">
        <v>64</v>
      </c>
      <c r="N719" s="188"/>
      <c r="O719" s="188"/>
      <c r="P719" s="188"/>
      <c r="Q719" s="758"/>
      <c r="R719" s="214"/>
      <c r="S719" s="633">
        <v>202.52</v>
      </c>
      <c r="T719" s="157">
        <v>1387.821602009202</v>
      </c>
      <c r="U719" s="607" t="s">
        <v>64</v>
      </c>
      <c r="V719" s="7"/>
      <c r="W719" s="7">
        <v>0</v>
      </c>
      <c r="X719" s="157">
        <v>0</v>
      </c>
      <c r="Y719" s="7">
        <v>23.199999999999996</v>
      </c>
      <c r="Z719" s="157">
        <v>158.98410609625449</v>
      </c>
      <c r="AA719" s="7">
        <v>27.520000000000003</v>
      </c>
      <c r="AB719" s="157">
        <v>188.58804309348818</v>
      </c>
      <c r="AC719" s="7">
        <v>68.8</v>
      </c>
      <c r="AD719" s="176">
        <v>471.47010773371989</v>
      </c>
      <c r="AE719" s="943"/>
      <c r="AF719" s="944"/>
      <c r="AG719" s="211">
        <v>202.52</v>
      </c>
      <c r="AH719" s="157">
        <v>2775.643204018404</v>
      </c>
      <c r="AI719" s="176">
        <f t="shared" si="24"/>
        <v>2775.643204018404</v>
      </c>
      <c r="AJ719" s="976"/>
      <c r="AK719" s="979"/>
      <c r="AL719" s="1006"/>
      <c r="AM719" s="440"/>
      <c r="AN719" s="89"/>
      <c r="AO719" s="89"/>
    </row>
    <row r="720" spans="1:42" s="69" customFormat="1" ht="12.75" customHeight="1">
      <c r="A720" s="1015"/>
      <c r="B720" s="621"/>
      <c r="C720" s="388"/>
      <c r="D720" s="223" t="s">
        <v>821</v>
      </c>
      <c r="E720" s="320" t="s">
        <v>64</v>
      </c>
      <c r="F720" s="607" t="s">
        <v>64</v>
      </c>
      <c r="G720" s="426">
        <f>G707+G707*40%</f>
        <v>11760</v>
      </c>
      <c r="H720" s="320" t="s">
        <v>64</v>
      </c>
      <c r="I720" s="639" t="s">
        <v>64</v>
      </c>
      <c r="J720" s="1001"/>
      <c r="K720" s="1081"/>
      <c r="L720" s="7">
        <v>197.23600000000002</v>
      </c>
      <c r="M720" s="320" t="s">
        <v>64</v>
      </c>
      <c r="N720" s="188"/>
      <c r="O720" s="188"/>
      <c r="P720" s="188"/>
      <c r="Q720" s="758"/>
      <c r="R720" s="214"/>
      <c r="S720" s="633">
        <v>197.23600000000002</v>
      </c>
      <c r="T720" s="157">
        <v>1351.6116012931404</v>
      </c>
      <c r="U720" s="607" t="s">
        <v>64</v>
      </c>
      <c r="V720" s="7"/>
      <c r="W720" s="7">
        <v>0</v>
      </c>
      <c r="X720" s="157">
        <v>0</v>
      </c>
      <c r="Y720" s="7">
        <v>20.340000000000003</v>
      </c>
      <c r="Z720" s="157">
        <v>139.38520336197499</v>
      </c>
      <c r="AA720" s="7">
        <v>27.136000000000006</v>
      </c>
      <c r="AB720" s="157">
        <v>185.9565820270673</v>
      </c>
      <c r="AC720" s="7">
        <v>44.096000000000011</v>
      </c>
      <c r="AD720" s="176">
        <v>302.1794457939842</v>
      </c>
      <c r="AE720" s="943"/>
      <c r="AF720" s="944"/>
      <c r="AG720" s="211">
        <v>197.23600000000002</v>
      </c>
      <c r="AH720" s="157">
        <v>2703.2232025862809</v>
      </c>
      <c r="AI720" s="176">
        <f t="shared" si="24"/>
        <v>2703.2232025862809</v>
      </c>
      <c r="AJ720" s="976"/>
      <c r="AK720" s="979"/>
      <c r="AL720" s="1006"/>
      <c r="AM720" s="440"/>
      <c r="AN720" s="89"/>
      <c r="AO720" s="89"/>
    </row>
    <row r="721" spans="1:42" s="69" customFormat="1" ht="12.75" customHeight="1">
      <c r="A721" s="1015"/>
      <c r="B721" s="469"/>
      <c r="C721" s="388"/>
      <c r="D721" s="223" t="s">
        <v>822</v>
      </c>
      <c r="E721" s="320" t="s">
        <v>64</v>
      </c>
      <c r="F721" s="607" t="s">
        <v>64</v>
      </c>
      <c r="G721" s="431">
        <f>G707</f>
        <v>8400</v>
      </c>
      <c r="H721" s="320" t="s">
        <v>64</v>
      </c>
      <c r="I721" s="639" t="s">
        <v>64</v>
      </c>
      <c r="J721" s="1001"/>
      <c r="K721" s="1081"/>
      <c r="L721" s="7">
        <v>158.26</v>
      </c>
      <c r="M721" s="320" t="s">
        <v>64</v>
      </c>
      <c r="N721" s="188"/>
      <c r="O721" s="188"/>
      <c r="P721" s="188"/>
      <c r="Q721" s="758"/>
      <c r="R721" s="214"/>
      <c r="S721" s="633">
        <v>158.26</v>
      </c>
      <c r="T721" s="157">
        <v>1084.518303051434</v>
      </c>
      <c r="U721" s="607" t="s">
        <v>64</v>
      </c>
      <c r="V721" s="7"/>
      <c r="W721" s="7">
        <v>0</v>
      </c>
      <c r="X721" s="157">
        <v>0</v>
      </c>
      <c r="Y721" s="7">
        <v>15.299999999999997</v>
      </c>
      <c r="Z721" s="157">
        <v>104.84727686520222</v>
      </c>
      <c r="AA721" s="7">
        <v>21.759999999999998</v>
      </c>
      <c r="AB721" s="157">
        <v>149.1161270971767</v>
      </c>
      <c r="AC721" s="7">
        <v>35.36</v>
      </c>
      <c r="AD721" s="176">
        <v>242.31370653291205</v>
      </c>
      <c r="AE721" s="943"/>
      <c r="AF721" s="944"/>
      <c r="AG721" s="211">
        <v>158.26</v>
      </c>
      <c r="AH721" s="157">
        <v>2169.0366061028681</v>
      </c>
      <c r="AI721" s="176">
        <f t="shared" si="24"/>
        <v>2169.0366061028681</v>
      </c>
      <c r="AJ721" s="976"/>
      <c r="AK721" s="979"/>
      <c r="AL721" s="1006"/>
      <c r="AM721" s="440"/>
      <c r="AN721" s="89"/>
      <c r="AO721" s="89"/>
    </row>
    <row r="722" spans="1:42" s="69" customFormat="1" ht="12.75" customHeight="1">
      <c r="A722" s="1015"/>
      <c r="B722" s="621"/>
      <c r="C722" s="613"/>
      <c r="D722" s="223" t="s">
        <v>823</v>
      </c>
      <c r="E722" s="320" t="s">
        <v>64</v>
      </c>
      <c r="F722" s="607" t="s">
        <v>64</v>
      </c>
      <c r="G722" s="427">
        <v>6666.66</v>
      </c>
      <c r="H722" s="320" t="s">
        <v>64</v>
      </c>
      <c r="I722" s="638" t="s">
        <v>64</v>
      </c>
      <c r="J722" s="1001"/>
      <c r="K722" s="1081"/>
      <c r="L722" s="7">
        <v>227.31983600000004</v>
      </c>
      <c r="M722" s="320" t="s">
        <v>64</v>
      </c>
      <c r="N722" s="188"/>
      <c r="O722" s="188"/>
      <c r="P722" s="188"/>
      <c r="Q722" s="758"/>
      <c r="R722" s="214"/>
      <c r="S722" s="633">
        <v>227.31983600000004</v>
      </c>
      <c r="T722" s="157">
        <v>1557.7690053623794</v>
      </c>
      <c r="U722" s="607" t="s">
        <v>64</v>
      </c>
      <c r="V722" s="7"/>
      <c r="W722" s="7">
        <v>86.66658000000001</v>
      </c>
      <c r="X722" s="157">
        <v>593.90554955687685</v>
      </c>
      <c r="Y722" s="7">
        <v>15.199990000000001</v>
      </c>
      <c r="Z722" s="157">
        <v>104.16193201819002</v>
      </c>
      <c r="AA722" s="7">
        <v>18.986656</v>
      </c>
      <c r="AB722" s="157">
        <v>130.11105741021933</v>
      </c>
      <c r="AC722" s="7">
        <v>41.53331</v>
      </c>
      <c r="AD722" s="176">
        <v>284.61793808485504</v>
      </c>
      <c r="AE722" s="943"/>
      <c r="AF722" s="944"/>
      <c r="AG722" s="211">
        <v>227.31983600000004</v>
      </c>
      <c r="AH722" s="157">
        <v>3115.5380107247588</v>
      </c>
      <c r="AI722" s="176">
        <f t="shared" si="24"/>
        <v>3115.5380107247588</v>
      </c>
      <c r="AJ722" s="976"/>
      <c r="AK722" s="979"/>
      <c r="AL722" s="1006"/>
      <c r="AM722" s="440"/>
      <c r="AN722" s="89"/>
      <c r="AO722" s="89"/>
    </row>
    <row r="723" spans="1:42" s="69" customFormat="1" ht="12.75" customHeight="1" thickBot="1">
      <c r="A723" s="1015"/>
      <c r="B723" s="549"/>
      <c r="C723" s="390"/>
      <c r="D723" s="224" t="s">
        <v>825</v>
      </c>
      <c r="E723" s="226" t="s">
        <v>64</v>
      </c>
      <c r="F723" s="229" t="s">
        <v>64</v>
      </c>
      <c r="G723" s="435">
        <v>3333.33</v>
      </c>
      <c r="H723" s="226" t="s">
        <v>64</v>
      </c>
      <c r="I723" s="641" t="s">
        <v>64</v>
      </c>
      <c r="J723" s="1002"/>
      <c r="K723" s="1081"/>
      <c r="L723" s="28">
        <v>145.31991800000003</v>
      </c>
      <c r="M723" s="226" t="s">
        <v>64</v>
      </c>
      <c r="N723" s="116"/>
      <c r="O723" s="116"/>
      <c r="P723" s="116"/>
      <c r="Q723" s="759"/>
      <c r="R723" s="175"/>
      <c r="S723" s="677">
        <v>145.31991800000003</v>
      </c>
      <c r="T723" s="118">
        <v>995.84298539702695</v>
      </c>
      <c r="U723" s="229" t="s">
        <v>64</v>
      </c>
      <c r="V723" s="28"/>
      <c r="W723" s="28">
        <v>43.333290000000005</v>
      </c>
      <c r="X723" s="118">
        <v>296.95277477843842</v>
      </c>
      <c r="Y723" s="28">
        <v>10.199995000000001</v>
      </c>
      <c r="Z723" s="118">
        <v>69.898150312985592</v>
      </c>
      <c r="AA723" s="28">
        <v>13.653328000000002</v>
      </c>
      <c r="AB723" s="118">
        <v>93.563023591334584</v>
      </c>
      <c r="AC723" s="28">
        <v>29.866655000000002</v>
      </c>
      <c r="AD723" s="178">
        <v>204.66911410604442</v>
      </c>
      <c r="AE723" s="943"/>
      <c r="AF723" s="944"/>
      <c r="AG723" s="547">
        <v>145.31991800000003</v>
      </c>
      <c r="AH723" s="118">
        <v>1991.6859707940539</v>
      </c>
      <c r="AI723" s="180">
        <f t="shared" si="24"/>
        <v>1991.6859707940539</v>
      </c>
      <c r="AJ723" s="976"/>
      <c r="AK723" s="980"/>
      <c r="AL723" s="1006"/>
      <c r="AM723" s="440"/>
      <c r="AN723" s="89"/>
      <c r="AO723" s="89"/>
    </row>
    <row r="724" spans="1:42" s="69" customFormat="1" ht="12.75" customHeight="1">
      <c r="A724" s="1015"/>
      <c r="B724" s="465" t="s">
        <v>151</v>
      </c>
      <c r="C724" s="386" t="s">
        <v>151</v>
      </c>
      <c r="D724" s="222" t="s">
        <v>536</v>
      </c>
      <c r="E724" s="222" t="s">
        <v>541</v>
      </c>
      <c r="F724" s="592"/>
      <c r="G724" s="430"/>
      <c r="H724" s="225" t="s">
        <v>64</v>
      </c>
      <c r="I724" s="756"/>
      <c r="J724" s="1000" t="s">
        <v>543</v>
      </c>
      <c r="K724" s="1081"/>
      <c r="L724" s="1066" t="s">
        <v>546</v>
      </c>
      <c r="M724" s="1067"/>
      <c r="N724" s="1068"/>
      <c r="O724" s="1066" t="s">
        <v>546</v>
      </c>
      <c r="P724" s="1067"/>
      <c r="Q724" s="1067"/>
      <c r="R724" s="1067"/>
      <c r="S724" s="1067"/>
      <c r="T724" s="1068"/>
      <c r="U724" s="1223" t="s">
        <v>546</v>
      </c>
      <c r="V724" s="1224"/>
      <c r="W724" s="1224"/>
      <c r="X724" s="1224"/>
      <c r="Y724" s="1224"/>
      <c r="Z724" s="1225"/>
      <c r="AA724" s="1314" t="s">
        <v>546</v>
      </c>
      <c r="AB724" s="1315"/>
      <c r="AC724" s="1315"/>
      <c r="AD724" s="1316"/>
      <c r="AE724" s="943"/>
      <c r="AF724" s="944"/>
      <c r="AG724" s="1223" t="s">
        <v>546</v>
      </c>
      <c r="AH724" s="1224"/>
      <c r="AI724" s="1225"/>
      <c r="AJ724" s="976"/>
      <c r="AK724" s="981">
        <f>SUM(AI724:AI748)</f>
        <v>16886.200363974272</v>
      </c>
      <c r="AL724" s="1006"/>
      <c r="AM724" s="440"/>
      <c r="AN724" s="89"/>
      <c r="AO724" s="89"/>
    </row>
    <row r="725" spans="1:42" s="69" customFormat="1" ht="12.75" customHeight="1">
      <c r="A725" s="1015"/>
      <c r="B725" s="385"/>
      <c r="C725" s="386"/>
      <c r="D725" s="223" t="s">
        <v>537</v>
      </c>
      <c r="E725" s="320" t="s">
        <v>64</v>
      </c>
      <c r="F725" s="636"/>
      <c r="G725" s="430"/>
      <c r="H725" s="320" t="s">
        <v>64</v>
      </c>
      <c r="I725" s="644"/>
      <c r="J725" s="1017"/>
      <c r="K725" s="1081"/>
      <c r="L725" s="1069"/>
      <c r="M725" s="1070"/>
      <c r="N725" s="1071"/>
      <c r="O725" s="1069"/>
      <c r="P725" s="1070"/>
      <c r="Q725" s="1070"/>
      <c r="R725" s="1070"/>
      <c r="S725" s="1070"/>
      <c r="T725" s="1071"/>
      <c r="U725" s="1226"/>
      <c r="V725" s="1227"/>
      <c r="W725" s="1227"/>
      <c r="X725" s="1227"/>
      <c r="Y725" s="1227"/>
      <c r="Z725" s="1228"/>
      <c r="AA725" s="1244"/>
      <c r="AB725" s="1245"/>
      <c r="AC725" s="1245"/>
      <c r="AD725" s="1317"/>
      <c r="AE725" s="943"/>
      <c r="AF725" s="944"/>
      <c r="AG725" s="1226"/>
      <c r="AH725" s="1227"/>
      <c r="AI725" s="1228"/>
      <c r="AJ725" s="976"/>
      <c r="AK725" s="982"/>
      <c r="AL725" s="1006"/>
      <c r="AM725" s="440"/>
      <c r="AN725" s="89"/>
      <c r="AO725" s="89"/>
    </row>
    <row r="726" spans="1:42" s="69" customFormat="1" ht="12.75" customHeight="1">
      <c r="A726" s="1015"/>
      <c r="B726" s="385"/>
      <c r="C726" s="386"/>
      <c r="D726" s="223" t="s">
        <v>538</v>
      </c>
      <c r="E726" s="320" t="s">
        <v>64</v>
      </c>
      <c r="F726" s="636"/>
      <c r="G726" s="426"/>
      <c r="H726" s="320" t="s">
        <v>64</v>
      </c>
      <c r="I726" s="644"/>
      <c r="J726" s="1017"/>
      <c r="K726" s="1081"/>
      <c r="L726" s="1069"/>
      <c r="M726" s="1070"/>
      <c r="N726" s="1071"/>
      <c r="O726" s="1069"/>
      <c r="P726" s="1070"/>
      <c r="Q726" s="1070"/>
      <c r="R726" s="1070"/>
      <c r="S726" s="1070"/>
      <c r="T726" s="1071"/>
      <c r="U726" s="1226"/>
      <c r="V726" s="1227"/>
      <c r="W726" s="1227"/>
      <c r="X726" s="1227"/>
      <c r="Y726" s="1227"/>
      <c r="Z726" s="1228"/>
      <c r="AA726" s="1244"/>
      <c r="AB726" s="1245"/>
      <c r="AC726" s="1245"/>
      <c r="AD726" s="1317"/>
      <c r="AE726" s="943"/>
      <c r="AF726" s="944"/>
      <c r="AG726" s="1226"/>
      <c r="AH726" s="1227"/>
      <c r="AI726" s="1228"/>
      <c r="AJ726" s="976"/>
      <c r="AK726" s="982"/>
      <c r="AL726" s="1006"/>
      <c r="AM726" s="440"/>
      <c r="AN726" s="89"/>
      <c r="AO726" s="89"/>
    </row>
    <row r="727" spans="1:42" s="69" customFormat="1" ht="15" customHeight="1">
      <c r="A727" s="1015"/>
      <c r="B727" s="385"/>
      <c r="C727" s="386"/>
      <c r="D727" s="223" t="s">
        <v>539</v>
      </c>
      <c r="E727" s="222" t="s">
        <v>542</v>
      </c>
      <c r="F727" s="636"/>
      <c r="G727" s="426">
        <v>429287.3</v>
      </c>
      <c r="H727" s="320" t="s">
        <v>64</v>
      </c>
      <c r="I727" s="644"/>
      <c r="J727" s="1017"/>
      <c r="K727" s="1081"/>
      <c r="L727" s="1069"/>
      <c r="M727" s="1070"/>
      <c r="N727" s="1071"/>
      <c r="O727" s="1069"/>
      <c r="P727" s="1070"/>
      <c r="Q727" s="1070"/>
      <c r="R727" s="1070"/>
      <c r="S727" s="1070"/>
      <c r="T727" s="1071"/>
      <c r="U727" s="1226"/>
      <c r="V727" s="1227"/>
      <c r="W727" s="1227"/>
      <c r="X727" s="1227"/>
      <c r="Y727" s="1227"/>
      <c r="Z727" s="1228"/>
      <c r="AA727" s="1244"/>
      <c r="AB727" s="1245"/>
      <c r="AC727" s="1245"/>
      <c r="AD727" s="1317"/>
      <c r="AE727" s="943"/>
      <c r="AF727" s="944"/>
      <c r="AG727" s="1226"/>
      <c r="AH727" s="1227"/>
      <c r="AI727" s="1228"/>
      <c r="AJ727" s="976"/>
      <c r="AK727" s="982"/>
      <c r="AL727" s="1006"/>
      <c r="AM727" s="151"/>
      <c r="AN727" s="90"/>
      <c r="AO727" s="128"/>
      <c r="AP727" s="106"/>
    </row>
    <row r="728" spans="1:42" s="69" customFormat="1" ht="15" customHeight="1">
      <c r="A728" s="1015"/>
      <c r="B728" s="385"/>
      <c r="C728" s="386"/>
      <c r="D728" s="223" t="s">
        <v>540</v>
      </c>
      <c r="E728" s="222" t="s">
        <v>542</v>
      </c>
      <c r="F728" s="636"/>
      <c r="G728" s="426">
        <v>429287.3</v>
      </c>
      <c r="H728" s="320" t="s">
        <v>64</v>
      </c>
      <c r="I728" s="644"/>
      <c r="J728" s="1017"/>
      <c r="K728" s="1081"/>
      <c r="L728" s="1072"/>
      <c r="M728" s="1073"/>
      <c r="N728" s="1074"/>
      <c r="O728" s="1072"/>
      <c r="P728" s="1073"/>
      <c r="Q728" s="1073"/>
      <c r="R728" s="1073"/>
      <c r="S728" s="1073"/>
      <c r="T728" s="1074"/>
      <c r="U728" s="1229"/>
      <c r="V728" s="1230"/>
      <c r="W728" s="1230"/>
      <c r="X728" s="1230"/>
      <c r="Y728" s="1230"/>
      <c r="Z728" s="1231"/>
      <c r="AA728" s="1241"/>
      <c r="AB728" s="1242"/>
      <c r="AC728" s="1242"/>
      <c r="AD728" s="1318"/>
      <c r="AE728" s="943"/>
      <c r="AF728" s="944"/>
      <c r="AG728" s="1229"/>
      <c r="AH728" s="1230"/>
      <c r="AI728" s="1231"/>
      <c r="AJ728" s="976"/>
      <c r="AK728" s="982"/>
      <c r="AL728" s="1006"/>
      <c r="AM728" s="151"/>
      <c r="AN728" s="90"/>
      <c r="AO728" s="128"/>
      <c r="AP728" s="106"/>
    </row>
    <row r="729" spans="1:42" s="69" customFormat="1" ht="15" customHeight="1">
      <c r="A729" s="1015"/>
      <c r="B729" s="385"/>
      <c r="C729" s="388"/>
      <c r="D729" s="223" t="s">
        <v>813</v>
      </c>
      <c r="E729" s="320" t="s">
        <v>64</v>
      </c>
      <c r="F729" s="636"/>
      <c r="G729" s="426">
        <v>12447.98</v>
      </c>
      <c r="H729" s="320" t="s">
        <v>64</v>
      </c>
      <c r="I729" s="644"/>
      <c r="J729" s="1017"/>
      <c r="K729" s="1081"/>
      <c r="L729" s="1075" t="s">
        <v>547</v>
      </c>
      <c r="M729" s="1076"/>
      <c r="N729" s="1077"/>
      <c r="O729" s="1075" t="s">
        <v>547</v>
      </c>
      <c r="P729" s="1076"/>
      <c r="Q729" s="1076"/>
      <c r="R729" s="1076"/>
      <c r="S729" s="1076"/>
      <c r="T729" s="1077"/>
      <c r="U729" s="1075" t="s">
        <v>547</v>
      </c>
      <c r="V729" s="1076"/>
      <c r="W729" s="1076"/>
      <c r="X729" s="1076"/>
      <c r="Y729" s="1076"/>
      <c r="Z729" s="1077"/>
      <c r="AA729" s="1075" t="s">
        <v>547</v>
      </c>
      <c r="AB729" s="1076"/>
      <c r="AC729" s="1076"/>
      <c r="AD729" s="1319"/>
      <c r="AE729" s="943"/>
      <c r="AF729" s="944"/>
      <c r="AG729" s="1075" t="s">
        <v>547</v>
      </c>
      <c r="AH729" s="1076"/>
      <c r="AI729" s="1077"/>
      <c r="AJ729" s="976"/>
      <c r="AK729" s="982"/>
      <c r="AL729" s="1006"/>
      <c r="AM729" s="151"/>
      <c r="AN729" s="90"/>
      <c r="AO729" s="128"/>
      <c r="AP729" s="106"/>
    </row>
    <row r="730" spans="1:42" s="69" customFormat="1" ht="15" customHeight="1">
      <c r="A730" s="1015"/>
      <c r="B730" s="385"/>
      <c r="C730" s="388"/>
      <c r="D730" s="223" t="s">
        <v>814</v>
      </c>
      <c r="E730" s="320" t="s">
        <v>64</v>
      </c>
      <c r="F730" s="636"/>
      <c r="G730" s="542">
        <f>3*150*28.036</f>
        <v>12616.2</v>
      </c>
      <c r="H730" s="320" t="s">
        <v>64</v>
      </c>
      <c r="I730" s="644"/>
      <c r="J730" s="1017"/>
      <c r="K730" s="1081"/>
      <c r="L730" s="7">
        <v>227.35270399999999</v>
      </c>
      <c r="M730" s="320" t="s">
        <v>64</v>
      </c>
      <c r="N730" s="188"/>
      <c r="O730" s="188"/>
      <c r="P730" s="188"/>
      <c r="Q730" s="188"/>
      <c r="R730" s="214"/>
      <c r="S730" s="7">
        <v>227.35270399999999</v>
      </c>
      <c r="T730" s="157">
        <v>990.97704176047796</v>
      </c>
      <c r="U730" s="207"/>
      <c r="V730" s="188"/>
      <c r="W730" s="188"/>
      <c r="X730" s="214"/>
      <c r="Y730" s="7">
        <v>20.339440000000003</v>
      </c>
      <c r="Z730" s="157">
        <v>88.654842135788797</v>
      </c>
      <c r="AA730" s="7">
        <v>43.423103999999995</v>
      </c>
      <c r="AB730" s="157">
        <v>189.27111219217133</v>
      </c>
      <c r="AC730" s="7">
        <v>81.418319999999994</v>
      </c>
      <c r="AD730" s="270">
        <v>354.88333536032195</v>
      </c>
      <c r="AE730" s="943"/>
      <c r="AF730" s="944"/>
      <c r="AG730" s="192">
        <v>227.35270399999999</v>
      </c>
      <c r="AH730" s="157">
        <v>1981.9540835209559</v>
      </c>
      <c r="AI730" s="176">
        <f t="shared" si="24"/>
        <v>1981.9540835209559</v>
      </c>
      <c r="AJ730" s="976"/>
      <c r="AK730" s="982"/>
      <c r="AL730" s="1006"/>
      <c r="AM730" s="151"/>
      <c r="AN730" s="90"/>
      <c r="AO730" s="128"/>
      <c r="AP730" s="106"/>
    </row>
    <row r="731" spans="1:42" s="69" customFormat="1" ht="15" customHeight="1">
      <c r="A731" s="1015"/>
      <c r="B731" s="385"/>
      <c r="C731" s="388"/>
      <c r="D731" s="223" t="s">
        <v>815</v>
      </c>
      <c r="E731" s="320" t="s">
        <v>64</v>
      </c>
      <c r="F731" s="636"/>
      <c r="G731" s="542">
        <f>150*28.036</f>
        <v>4205.4000000000005</v>
      </c>
      <c r="H731" s="320" t="s">
        <v>64</v>
      </c>
      <c r="I731" s="644"/>
      <c r="J731" s="1017"/>
      <c r="K731" s="1081"/>
      <c r="L731" s="7">
        <v>143.91756799999999</v>
      </c>
      <c r="M731" s="320" t="s">
        <v>64</v>
      </c>
      <c r="N731" s="188"/>
      <c r="O731" s="188"/>
      <c r="P731" s="188"/>
      <c r="Q731" s="188"/>
      <c r="R731" s="214"/>
      <c r="S731" s="7">
        <v>143.91756799999999</v>
      </c>
      <c r="T731" s="157">
        <v>627.30287911597611</v>
      </c>
      <c r="U731" s="207"/>
      <c r="V731" s="188"/>
      <c r="W731" s="188"/>
      <c r="X731" s="214"/>
      <c r="Y731" s="7">
        <v>10.246480000000002</v>
      </c>
      <c r="Z731" s="157">
        <v>44.661999880405624</v>
      </c>
      <c r="AA731" s="7">
        <v>27.274367999999999</v>
      </c>
      <c r="AB731" s="157">
        <v>118.88256458355841</v>
      </c>
      <c r="AC731" s="7">
        <v>51.139440000000008</v>
      </c>
      <c r="AD731" s="270">
        <v>222.90480859417198</v>
      </c>
      <c r="AE731" s="943"/>
      <c r="AF731" s="944"/>
      <c r="AG731" s="192">
        <v>143.91756799999999</v>
      </c>
      <c r="AH731" s="157">
        <v>1254.6057582319522</v>
      </c>
      <c r="AI731" s="176">
        <f t="shared" si="24"/>
        <v>1254.6057582319522</v>
      </c>
      <c r="AJ731" s="976"/>
      <c r="AK731" s="982"/>
      <c r="AL731" s="1006"/>
      <c r="AM731" s="151"/>
      <c r="AN731" s="90"/>
      <c r="AO731" s="128"/>
      <c r="AP731" s="106"/>
    </row>
    <row r="732" spans="1:42" s="69" customFormat="1" ht="15" customHeight="1">
      <c r="A732" s="1015"/>
      <c r="B732" s="385"/>
      <c r="C732" s="388"/>
      <c r="D732" s="223" t="s">
        <v>816</v>
      </c>
      <c r="E732" s="320" t="s">
        <v>64</v>
      </c>
      <c r="F732" s="636"/>
      <c r="G732" s="426">
        <f>4*G731</f>
        <v>16821.600000000002</v>
      </c>
      <c r="H732" s="320" t="s">
        <v>64</v>
      </c>
      <c r="I732" s="644"/>
      <c r="J732" s="1017"/>
      <c r="K732" s="1081"/>
      <c r="L732" s="7">
        <v>269.07027200000005</v>
      </c>
      <c r="M732" s="320" t="s">
        <v>64</v>
      </c>
      <c r="N732" s="188"/>
      <c r="O732" s="188"/>
      <c r="P732" s="188"/>
      <c r="Q732" s="188"/>
      <c r="R732" s="214"/>
      <c r="S732" s="7">
        <v>269.07027200000005</v>
      </c>
      <c r="T732" s="157">
        <v>1172.8141230827271</v>
      </c>
      <c r="U732" s="207"/>
      <c r="V732" s="188"/>
      <c r="W732" s="188"/>
      <c r="X732" s="214"/>
      <c r="Y732" s="7">
        <v>25.385920000000002</v>
      </c>
      <c r="Z732" s="157">
        <v>110.65126326348035</v>
      </c>
      <c r="AA732" s="7">
        <v>51.497472000000009</v>
      </c>
      <c r="AB732" s="157">
        <v>224.46538599647809</v>
      </c>
      <c r="AC732" s="7">
        <v>96.557760000000016</v>
      </c>
      <c r="AD732" s="270">
        <v>420.87259874339685</v>
      </c>
      <c r="AE732" s="943"/>
      <c r="AF732" s="944"/>
      <c r="AG732" s="192">
        <v>269.07027200000005</v>
      </c>
      <c r="AH732" s="157">
        <v>2345.6282461654541</v>
      </c>
      <c r="AI732" s="176">
        <f t="shared" si="24"/>
        <v>2345.6282461654541</v>
      </c>
      <c r="AJ732" s="976"/>
      <c r="AK732" s="982"/>
      <c r="AL732" s="1006"/>
      <c r="AM732" s="151"/>
      <c r="AN732" s="90"/>
      <c r="AO732" s="128"/>
      <c r="AP732" s="106"/>
    </row>
    <row r="733" spans="1:42" s="69" customFormat="1" ht="15" customHeight="1">
      <c r="A733" s="1015"/>
      <c r="B733" s="385"/>
      <c r="C733" s="388"/>
      <c r="D733" s="223" t="s">
        <v>820</v>
      </c>
      <c r="E733" s="320" t="s">
        <v>64</v>
      </c>
      <c r="F733" s="636"/>
      <c r="G733" s="426">
        <f>G711+4*G731</f>
        <v>18896.264000000003</v>
      </c>
      <c r="H733" s="320" t="s">
        <v>64</v>
      </c>
      <c r="I733" s="644"/>
      <c r="J733" s="1017"/>
      <c r="K733" s="1081"/>
      <c r="L733" s="494">
        <v>289.65093888000001</v>
      </c>
      <c r="M733" s="320" t="s">
        <v>64</v>
      </c>
      <c r="N733" s="188"/>
      <c r="O733" s="188"/>
      <c r="P733" s="188"/>
      <c r="Q733" s="188"/>
      <c r="R733" s="214"/>
      <c r="S733" s="7">
        <v>289.65093888000001</v>
      </c>
      <c r="T733" s="157">
        <v>1262.5204165350378</v>
      </c>
      <c r="U733" s="207"/>
      <c r="V733" s="188"/>
      <c r="W733" s="188"/>
      <c r="X733" s="214"/>
      <c r="Y733" s="7">
        <v>27.875516800000003</v>
      </c>
      <c r="Z733" s="157">
        <v>121.5028310198082</v>
      </c>
      <c r="AA733" s="7">
        <v>55.480826880000002</v>
      </c>
      <c r="AB733" s="157">
        <v>241.8278944066025</v>
      </c>
      <c r="AC733" s="7">
        <v>104.0265504</v>
      </c>
      <c r="AD733" s="270">
        <v>453.42730201237976</v>
      </c>
      <c r="AE733" s="943"/>
      <c r="AF733" s="944"/>
      <c r="AG733" s="192">
        <v>289.65093888000001</v>
      </c>
      <c r="AH733" s="157">
        <v>2525.0408330700757</v>
      </c>
      <c r="AI733" s="176">
        <f t="shared" si="24"/>
        <v>2525.0408330700757</v>
      </c>
      <c r="AJ733" s="976"/>
      <c r="AK733" s="982"/>
      <c r="AL733" s="1006"/>
      <c r="AM733" s="151"/>
      <c r="AN733" s="90"/>
      <c r="AO733" s="128"/>
      <c r="AP733" s="106"/>
    </row>
    <row r="734" spans="1:42" s="69" customFormat="1" ht="15" customHeight="1">
      <c r="A734" s="1015"/>
      <c r="B734" s="385"/>
      <c r="C734" s="388"/>
      <c r="D734" s="223" t="s">
        <v>821</v>
      </c>
      <c r="E734" s="320" t="s">
        <v>64</v>
      </c>
      <c r="F734" s="636"/>
      <c r="G734" s="426">
        <v>8400</v>
      </c>
      <c r="H734" s="320" t="s">
        <v>64</v>
      </c>
      <c r="I734" s="644"/>
      <c r="J734" s="1017"/>
      <c r="K734" s="1081"/>
      <c r="L734" s="1075" t="s">
        <v>547</v>
      </c>
      <c r="M734" s="1076"/>
      <c r="N734" s="1077"/>
      <c r="O734" s="1075" t="s">
        <v>547</v>
      </c>
      <c r="P734" s="1076"/>
      <c r="Q734" s="1076"/>
      <c r="R734" s="1076"/>
      <c r="S734" s="1076"/>
      <c r="T734" s="1077"/>
      <c r="U734" s="1075" t="s">
        <v>547</v>
      </c>
      <c r="V734" s="1076"/>
      <c r="W734" s="1076"/>
      <c r="X734" s="1076"/>
      <c r="Y734" s="1076"/>
      <c r="Z734" s="1077"/>
      <c r="AA734" s="1075" t="s">
        <v>547</v>
      </c>
      <c r="AB734" s="1076"/>
      <c r="AC734" s="1076"/>
      <c r="AD734" s="1319"/>
      <c r="AE734" s="943"/>
      <c r="AF734" s="944"/>
      <c r="AG734" s="1075" t="s">
        <v>547</v>
      </c>
      <c r="AH734" s="1076"/>
      <c r="AI734" s="1077"/>
      <c r="AJ734" s="976"/>
      <c r="AK734" s="982"/>
      <c r="AL734" s="1006"/>
      <c r="AM734" s="151"/>
      <c r="AN734" s="90"/>
      <c r="AO734" s="128"/>
      <c r="AP734" s="106"/>
    </row>
    <row r="735" spans="1:42" s="69" customFormat="1" ht="15" customHeight="1">
      <c r="A735" s="1015"/>
      <c r="B735" s="385"/>
      <c r="C735" s="388"/>
      <c r="D735" s="223" t="s">
        <v>822</v>
      </c>
      <c r="E735" s="320" t="s">
        <v>64</v>
      </c>
      <c r="F735" s="636"/>
      <c r="G735" s="426">
        <f>G714</f>
        <v>1400</v>
      </c>
      <c r="H735" s="320" t="s">
        <v>64</v>
      </c>
      <c r="I735" s="644"/>
      <c r="J735" s="1017"/>
      <c r="K735" s="1081"/>
      <c r="L735" s="7">
        <v>116.08799999999999</v>
      </c>
      <c r="M735" s="320" t="s">
        <v>64</v>
      </c>
      <c r="N735" s="188"/>
      <c r="O735" s="188"/>
      <c r="P735" s="188"/>
      <c r="Q735" s="188"/>
      <c r="R735" s="214"/>
      <c r="S735" s="7">
        <v>116.08799999999999</v>
      </c>
      <c r="T735" s="157">
        <v>506.00032812405135</v>
      </c>
      <c r="U735" s="207"/>
      <c r="V735" s="188"/>
      <c r="W735" s="188"/>
      <c r="X735" s="214"/>
      <c r="Y735" s="7">
        <v>6.8800000000000008</v>
      </c>
      <c r="Z735" s="157">
        <v>29.988304195898564</v>
      </c>
      <c r="AA735" s="7">
        <v>21.887999999999998</v>
      </c>
      <c r="AB735" s="157">
        <v>95.404651488347042</v>
      </c>
      <c r="AC735" s="7">
        <v>41.04</v>
      </c>
      <c r="AD735" s="270">
        <v>178.88372154065075</v>
      </c>
      <c r="AE735" s="943"/>
      <c r="AF735" s="944"/>
      <c r="AG735" s="192">
        <v>116.08799999999999</v>
      </c>
      <c r="AH735" s="157">
        <v>1012.0006562481027</v>
      </c>
      <c r="AI735" s="176">
        <f t="shared" si="24"/>
        <v>1012.0006562481027</v>
      </c>
      <c r="AJ735" s="976"/>
      <c r="AK735" s="982"/>
      <c r="AL735" s="1006"/>
      <c r="AM735" s="151"/>
      <c r="AN735" s="90"/>
      <c r="AO735" s="128"/>
      <c r="AP735" s="106"/>
    </row>
    <row r="736" spans="1:42" s="69" customFormat="1" ht="15" customHeight="1">
      <c r="A736" s="1015"/>
      <c r="B736" s="385"/>
      <c r="C736" s="388"/>
      <c r="D736" s="223" t="s">
        <v>823</v>
      </c>
      <c r="E736" s="320" t="s">
        <v>64</v>
      </c>
      <c r="F736" s="636"/>
      <c r="G736" s="431">
        <f>4*G735</f>
        <v>5600</v>
      </c>
      <c r="H736" s="320" t="s">
        <v>64</v>
      </c>
      <c r="I736" s="644"/>
      <c r="J736" s="1017"/>
      <c r="K736" s="1081"/>
      <c r="L736" s="7">
        <v>157.75200000000001</v>
      </c>
      <c r="M736" s="320" t="s">
        <v>64</v>
      </c>
      <c r="N736" s="188"/>
      <c r="O736" s="188"/>
      <c r="P736" s="188"/>
      <c r="Q736" s="188"/>
      <c r="R736" s="214"/>
      <c r="S736" s="7">
        <v>157.75200000000001</v>
      </c>
      <c r="T736" s="157">
        <v>687.60391911502791</v>
      </c>
      <c r="U736" s="207"/>
      <c r="V736" s="188"/>
      <c r="W736" s="188"/>
      <c r="X736" s="214"/>
      <c r="Y736" s="7">
        <v>11.92</v>
      </c>
      <c r="Z736" s="157">
        <v>51.956480525452179</v>
      </c>
      <c r="AA736" s="7">
        <v>29.952000000000002</v>
      </c>
      <c r="AB736" s="157">
        <v>130.55373361563289</v>
      </c>
      <c r="AC736" s="7">
        <v>56.160000000000004</v>
      </c>
      <c r="AD736" s="270">
        <v>244.78825052931165</v>
      </c>
      <c r="AE736" s="943"/>
      <c r="AF736" s="944"/>
      <c r="AG736" s="192">
        <v>157.75200000000001</v>
      </c>
      <c r="AH736" s="157">
        <v>1375.2078382300558</v>
      </c>
      <c r="AI736" s="176">
        <f t="shared" si="24"/>
        <v>1375.2078382300558</v>
      </c>
      <c r="AJ736" s="976"/>
      <c r="AK736" s="982"/>
      <c r="AL736" s="1006"/>
      <c r="AM736" s="151"/>
      <c r="AN736" s="90"/>
      <c r="AO736" s="128"/>
      <c r="AP736" s="106"/>
    </row>
    <row r="737" spans="1:42" s="69" customFormat="1" ht="15" customHeight="1">
      <c r="A737" s="1015"/>
      <c r="B737" s="385"/>
      <c r="C737" s="388"/>
      <c r="D737" s="223" t="s">
        <v>825</v>
      </c>
      <c r="E737" s="320" t="s">
        <v>64</v>
      </c>
      <c r="F737" s="636"/>
      <c r="G737" s="431">
        <f>G735*10%</f>
        <v>140</v>
      </c>
      <c r="H737" s="320" t="s">
        <v>64</v>
      </c>
      <c r="I737" s="644"/>
      <c r="J737" s="1017"/>
      <c r="K737" s="1081"/>
      <c r="L737" s="7">
        <v>103.58880000000001</v>
      </c>
      <c r="M737" s="320" t="s">
        <v>64</v>
      </c>
      <c r="N737" s="188"/>
      <c r="O737" s="188"/>
      <c r="P737" s="188"/>
      <c r="Q737" s="188"/>
      <c r="R737" s="214"/>
      <c r="S737" s="7">
        <v>103.58880000000001</v>
      </c>
      <c r="T737" s="157">
        <v>451.51925082675842</v>
      </c>
      <c r="U737" s="207"/>
      <c r="V737" s="188"/>
      <c r="W737" s="761"/>
      <c r="X737" s="762"/>
      <c r="Y737" s="7">
        <v>5.3680000000000003</v>
      </c>
      <c r="Z737" s="157">
        <v>23.397851297032474</v>
      </c>
      <c r="AA737" s="7">
        <v>19.468800000000002</v>
      </c>
      <c r="AB737" s="157">
        <v>84.859926850161358</v>
      </c>
      <c r="AC737" s="7">
        <v>36.504000000000005</v>
      </c>
      <c r="AD737" s="270">
        <v>159.11236284405243</v>
      </c>
      <c r="AE737" s="943"/>
      <c r="AF737" s="944"/>
      <c r="AG737" s="192">
        <v>103.58880000000001</v>
      </c>
      <c r="AH737" s="157">
        <v>903.03850165351685</v>
      </c>
      <c r="AI737" s="176">
        <f t="shared" si="24"/>
        <v>903.03850165351685</v>
      </c>
      <c r="AJ737" s="976"/>
      <c r="AK737" s="982"/>
      <c r="AL737" s="1006"/>
      <c r="AM737" s="151"/>
      <c r="AN737" s="90"/>
      <c r="AO737" s="128"/>
      <c r="AP737" s="106"/>
    </row>
    <row r="738" spans="1:42" s="69" customFormat="1" ht="15" customHeight="1">
      <c r="A738" s="1015"/>
      <c r="B738" s="385"/>
      <c r="C738" s="388"/>
      <c r="D738" s="223" t="s">
        <v>826</v>
      </c>
      <c r="E738" s="320" t="s">
        <v>64</v>
      </c>
      <c r="F738" s="636"/>
      <c r="G738" s="431">
        <f>4*G737</f>
        <v>560</v>
      </c>
      <c r="H738" s="225" t="s">
        <v>64</v>
      </c>
      <c r="I738" s="644"/>
      <c r="J738" s="1017"/>
      <c r="K738" s="1081"/>
      <c r="L738" s="7">
        <v>107.7552</v>
      </c>
      <c r="M738" s="320" t="s">
        <v>64</v>
      </c>
      <c r="N738" s="188"/>
      <c r="O738" s="188"/>
      <c r="P738" s="188"/>
      <c r="Q738" s="188"/>
      <c r="R738" s="214"/>
      <c r="S738" s="7">
        <v>107.7552</v>
      </c>
      <c r="T738" s="157">
        <v>469.67960992585591</v>
      </c>
      <c r="U738" s="207"/>
      <c r="V738" s="188"/>
      <c r="W738" s="188"/>
      <c r="X738" s="214"/>
      <c r="Y738" s="7">
        <v>5.8719999999999999</v>
      </c>
      <c r="Z738" s="157">
        <v>25.594668929987861</v>
      </c>
      <c r="AA738" s="7">
        <v>20.275200000000002</v>
      </c>
      <c r="AB738" s="157">
        <v>88.3748350628899</v>
      </c>
      <c r="AC738" s="7">
        <v>38.016000000000005</v>
      </c>
      <c r="AD738" s="270">
        <v>165.7028157429186</v>
      </c>
      <c r="AE738" s="943"/>
      <c r="AF738" s="944"/>
      <c r="AG738" s="192">
        <v>107.7552</v>
      </c>
      <c r="AH738" s="157">
        <v>939.35921985171183</v>
      </c>
      <c r="AI738" s="176">
        <f t="shared" si="24"/>
        <v>939.35921985171183</v>
      </c>
      <c r="AJ738" s="976"/>
      <c r="AK738" s="982"/>
      <c r="AL738" s="1006"/>
      <c r="AM738" s="151"/>
      <c r="AN738" s="90"/>
      <c r="AO738" s="128"/>
      <c r="AP738" s="106"/>
    </row>
    <row r="739" spans="1:42" s="69" customFormat="1" ht="15" customHeight="1">
      <c r="A739" s="1015"/>
      <c r="B739" s="385"/>
      <c r="C739" s="388"/>
      <c r="D739" s="223" t="s">
        <v>827</v>
      </c>
      <c r="E739" s="320" t="s">
        <v>64</v>
      </c>
      <c r="F739" s="636"/>
      <c r="G739" s="431">
        <f>5*G737</f>
        <v>700</v>
      </c>
      <c r="H739" s="225" t="s">
        <v>64</v>
      </c>
      <c r="I739" s="644"/>
      <c r="J739" s="1017"/>
      <c r="K739" s="1081"/>
      <c r="L739" s="494">
        <v>109.14400000000001</v>
      </c>
      <c r="M739" s="320" t="s">
        <v>64</v>
      </c>
      <c r="N739" s="188"/>
      <c r="O739" s="188"/>
      <c r="P739" s="188"/>
      <c r="Q739" s="188"/>
      <c r="R739" s="214"/>
      <c r="S739" s="7">
        <v>109.14400000000001</v>
      </c>
      <c r="T739" s="157">
        <v>475.73306295888858</v>
      </c>
      <c r="U739" s="207"/>
      <c r="V739" s="188"/>
      <c r="W739" s="188"/>
      <c r="X739" s="214"/>
      <c r="Y739" s="7">
        <v>6.04</v>
      </c>
      <c r="Z739" s="157">
        <v>26.326941474306317</v>
      </c>
      <c r="AA739" s="7">
        <v>20.544</v>
      </c>
      <c r="AB739" s="157">
        <v>89.546471133799471</v>
      </c>
      <c r="AC739" s="7">
        <v>38.520000000000003</v>
      </c>
      <c r="AD739" s="270">
        <v>167.8996333758738</v>
      </c>
      <c r="AE739" s="943"/>
      <c r="AF739" s="944"/>
      <c r="AG739" s="192">
        <v>109.14400000000001</v>
      </c>
      <c r="AH739" s="157">
        <v>951.46612591777716</v>
      </c>
      <c r="AI739" s="176">
        <f t="shared" si="24"/>
        <v>951.46612591777716</v>
      </c>
      <c r="AJ739" s="976"/>
      <c r="AK739" s="982"/>
      <c r="AL739" s="1006"/>
      <c r="AM739" s="151"/>
      <c r="AN739" s="90"/>
      <c r="AO739" s="128"/>
      <c r="AP739" s="106"/>
    </row>
    <row r="740" spans="1:42" s="69" customFormat="1" ht="15" customHeight="1">
      <c r="A740" s="1015"/>
      <c r="B740" s="385"/>
      <c r="C740" s="388"/>
      <c r="D740" s="223" t="s">
        <v>828</v>
      </c>
      <c r="E740" s="320" t="s">
        <v>64</v>
      </c>
      <c r="F740" s="636"/>
      <c r="G740" s="431">
        <f>G705</f>
        <v>3425</v>
      </c>
      <c r="H740" s="225" t="s">
        <v>64</v>
      </c>
      <c r="I740" s="644"/>
      <c r="J740" s="1017"/>
      <c r="K740" s="1081"/>
      <c r="L740" s="1238" t="s">
        <v>547</v>
      </c>
      <c r="M740" s="1239"/>
      <c r="N740" s="1240"/>
      <c r="O740" s="1238" t="s">
        <v>547</v>
      </c>
      <c r="P740" s="1239"/>
      <c r="Q740" s="1239"/>
      <c r="R740" s="1239"/>
      <c r="S740" s="1239"/>
      <c r="T740" s="1240"/>
      <c r="U740" s="1238" t="s">
        <v>547</v>
      </c>
      <c r="V740" s="1239"/>
      <c r="W740" s="1239"/>
      <c r="X740" s="1239"/>
      <c r="Y740" s="1239"/>
      <c r="Z740" s="1240"/>
      <c r="AA740" s="1238" t="s">
        <v>547</v>
      </c>
      <c r="AB740" s="1239"/>
      <c r="AC740" s="1239"/>
      <c r="AD740" s="1330"/>
      <c r="AE740" s="943"/>
      <c r="AF740" s="944"/>
      <c r="AG740" s="1238" t="s">
        <v>547</v>
      </c>
      <c r="AH740" s="1239"/>
      <c r="AI740" s="1240"/>
      <c r="AJ740" s="976"/>
      <c r="AK740" s="982"/>
      <c r="AL740" s="1006"/>
      <c r="AM740" s="151"/>
      <c r="AN740" s="90"/>
      <c r="AO740" s="128"/>
      <c r="AP740" s="106"/>
    </row>
    <row r="741" spans="1:42" s="69" customFormat="1" ht="15" customHeight="1">
      <c r="A741" s="1015"/>
      <c r="B741" s="385"/>
      <c r="C741" s="388"/>
      <c r="D741" s="223" t="s">
        <v>829</v>
      </c>
      <c r="E741" s="320" t="s">
        <v>64</v>
      </c>
      <c r="F741" s="636"/>
      <c r="G741" s="431">
        <f>G706</f>
        <v>21000</v>
      </c>
      <c r="H741" s="225" t="s">
        <v>64</v>
      </c>
      <c r="I741" s="644"/>
      <c r="J741" s="1017"/>
      <c r="K741" s="1081"/>
      <c r="L741" s="1241"/>
      <c r="M741" s="1242"/>
      <c r="N741" s="1243"/>
      <c r="O741" s="1241"/>
      <c r="P741" s="1242"/>
      <c r="Q741" s="1242"/>
      <c r="R741" s="1242"/>
      <c r="S741" s="1242"/>
      <c r="T741" s="1243"/>
      <c r="U741" s="1241"/>
      <c r="V741" s="1242"/>
      <c r="W741" s="1242"/>
      <c r="X741" s="1242"/>
      <c r="Y741" s="1242"/>
      <c r="Z741" s="1243"/>
      <c r="AA741" s="1241"/>
      <c r="AB741" s="1242"/>
      <c r="AC741" s="1242"/>
      <c r="AD741" s="1318"/>
      <c r="AE741" s="943"/>
      <c r="AF741" s="944"/>
      <c r="AG741" s="1241"/>
      <c r="AH741" s="1242"/>
      <c r="AI741" s="1243"/>
      <c r="AJ741" s="976"/>
      <c r="AK741" s="982"/>
      <c r="AL741" s="1006"/>
      <c r="AM741" s="151"/>
      <c r="AN741" s="90"/>
      <c r="AO741" s="128"/>
      <c r="AP741" s="106"/>
    </row>
    <row r="742" spans="1:42" s="69" customFormat="1" ht="15" customHeight="1">
      <c r="A742" s="1015"/>
      <c r="B742" s="385"/>
      <c r="C742" s="388"/>
      <c r="D742" s="223" t="s">
        <v>830</v>
      </c>
      <c r="E742" s="225" t="s">
        <v>64</v>
      </c>
      <c r="F742" s="636"/>
      <c r="G742" s="431">
        <f>G741-G707-G720</f>
        <v>840</v>
      </c>
      <c r="H742" s="225" t="s">
        <v>64</v>
      </c>
      <c r="I742" s="644"/>
      <c r="J742" s="1017"/>
      <c r="K742" s="1081"/>
      <c r="L742" s="7">
        <v>110.53279999999999</v>
      </c>
      <c r="M742" s="320" t="s">
        <v>64</v>
      </c>
      <c r="N742" s="188"/>
      <c r="O742" s="188"/>
      <c r="P742" s="188"/>
      <c r="Q742" s="188"/>
      <c r="R742" s="214"/>
      <c r="S742" s="7">
        <v>110.53279999999999</v>
      </c>
      <c r="T742" s="157">
        <v>481.78651599192102</v>
      </c>
      <c r="U742" s="207"/>
      <c r="V742" s="188"/>
      <c r="W742" s="188"/>
      <c r="X742" s="214"/>
      <c r="Y742" s="7">
        <v>6.2080000000000002</v>
      </c>
      <c r="Z742" s="157">
        <v>27.059214018624758</v>
      </c>
      <c r="AA742" s="7">
        <v>20.812799999999999</v>
      </c>
      <c r="AB742" s="157">
        <v>90.718107204708971</v>
      </c>
      <c r="AC742" s="7">
        <v>39.024000000000001</v>
      </c>
      <c r="AD742" s="270">
        <v>170.09645100882921</v>
      </c>
      <c r="AE742" s="943"/>
      <c r="AF742" s="944"/>
      <c r="AG742" s="192">
        <v>110.53279999999999</v>
      </c>
      <c r="AH742" s="157">
        <v>963.57303198384204</v>
      </c>
      <c r="AI742" s="176">
        <f t="shared" si="24"/>
        <v>963.57303198384204</v>
      </c>
      <c r="AJ742" s="976"/>
      <c r="AK742" s="982"/>
      <c r="AL742" s="1006"/>
      <c r="AM742" s="151"/>
      <c r="AN742" s="90"/>
      <c r="AO742" s="128"/>
      <c r="AP742" s="106"/>
    </row>
    <row r="743" spans="1:42" s="69" customFormat="1" ht="15" customHeight="1">
      <c r="A743" s="1015"/>
      <c r="B743" s="385"/>
      <c r="C743" s="388"/>
      <c r="D743" s="223" t="s">
        <v>831</v>
      </c>
      <c r="E743" s="225" t="s">
        <v>64</v>
      </c>
      <c r="F743" s="636"/>
      <c r="G743" s="431">
        <f>G707+G720</f>
        <v>20160</v>
      </c>
      <c r="H743" s="225" t="s">
        <v>64</v>
      </c>
      <c r="I743" s="644"/>
      <c r="J743" s="1017"/>
      <c r="K743" s="1081"/>
      <c r="L743" s="494">
        <v>302.18720000000002</v>
      </c>
      <c r="M743" s="320" t="s">
        <v>64</v>
      </c>
      <c r="N743" s="188"/>
      <c r="O743" s="188"/>
      <c r="P743" s="188"/>
      <c r="Q743" s="188"/>
      <c r="R743" s="214"/>
      <c r="S743" s="7">
        <v>302.18720000000002</v>
      </c>
      <c r="T743" s="157">
        <v>1317.1630345504129</v>
      </c>
      <c r="U743" s="207"/>
      <c r="V743" s="188"/>
      <c r="W743" s="188"/>
      <c r="X743" s="214"/>
      <c r="Y743" s="7">
        <v>29.391999999999999</v>
      </c>
      <c r="Z743" s="157">
        <v>128.11282513457132</v>
      </c>
      <c r="AA743" s="7">
        <v>57.907199999999996</v>
      </c>
      <c r="AB743" s="157">
        <v>252.40388499022347</v>
      </c>
      <c r="AC743" s="7">
        <v>108.57600000000001</v>
      </c>
      <c r="AD743" s="270">
        <v>473.25728435666917</v>
      </c>
      <c r="AE743" s="943"/>
      <c r="AF743" s="944"/>
      <c r="AG743" s="192">
        <v>302.18720000000002</v>
      </c>
      <c r="AH743" s="157">
        <v>2634.3260691008259</v>
      </c>
      <c r="AI743" s="176">
        <f t="shared" si="24"/>
        <v>2634.3260691008259</v>
      </c>
      <c r="AJ743" s="976"/>
      <c r="AK743" s="982"/>
      <c r="AL743" s="1006"/>
      <c r="AM743" s="151"/>
      <c r="AN743" s="90"/>
      <c r="AO743" s="128"/>
      <c r="AP743" s="106"/>
    </row>
    <row r="744" spans="1:42" s="69" customFormat="1" ht="15" customHeight="1">
      <c r="A744" s="1015"/>
      <c r="B744" s="385"/>
      <c r="C744" s="388"/>
      <c r="D744" s="223" t="s">
        <v>833</v>
      </c>
      <c r="E744" s="225" t="s">
        <v>64</v>
      </c>
      <c r="F744" s="636"/>
      <c r="G744" s="431">
        <f>G703-28000</f>
        <v>92000</v>
      </c>
      <c r="H744" s="225" t="s">
        <v>64</v>
      </c>
      <c r="I744" s="644"/>
      <c r="J744" s="1017"/>
      <c r="K744" s="1081"/>
      <c r="L744" s="1239" t="s">
        <v>547</v>
      </c>
      <c r="M744" s="1239"/>
      <c r="N744" s="1240"/>
      <c r="O744" s="1238" t="s">
        <v>547</v>
      </c>
      <c r="P744" s="1239"/>
      <c r="Q744" s="1239"/>
      <c r="R744" s="1239"/>
      <c r="S744" s="1239"/>
      <c r="T744" s="1240"/>
      <c r="U744" s="1238" t="s">
        <v>547</v>
      </c>
      <c r="V744" s="1239"/>
      <c r="W744" s="1239"/>
      <c r="X744" s="1239"/>
      <c r="Y744" s="1239"/>
      <c r="Z744" s="1240"/>
      <c r="AA744" s="1238" t="s">
        <v>547</v>
      </c>
      <c r="AB744" s="1239"/>
      <c r="AC744" s="1239"/>
      <c r="AD744" s="1330"/>
      <c r="AE744" s="943"/>
      <c r="AF744" s="944"/>
      <c r="AG744" s="1239" t="s">
        <v>547</v>
      </c>
      <c r="AH744" s="1239"/>
      <c r="AI744" s="1240"/>
      <c r="AJ744" s="976"/>
      <c r="AK744" s="982"/>
      <c r="AL744" s="1006"/>
      <c r="AM744" s="151"/>
      <c r="AN744" s="90"/>
      <c r="AO744" s="128"/>
      <c r="AP744" s="106"/>
    </row>
    <row r="745" spans="1:42" s="69" customFormat="1" ht="15" customHeight="1">
      <c r="A745" s="1015"/>
      <c r="B745" s="385"/>
      <c r="C745" s="388"/>
      <c r="D745" s="223" t="s">
        <v>834</v>
      </c>
      <c r="E745" s="225" t="s">
        <v>64</v>
      </c>
      <c r="F745" s="636"/>
      <c r="G745" s="427">
        <v>3333.33</v>
      </c>
      <c r="H745" s="225" t="s">
        <v>64</v>
      </c>
      <c r="I745" s="644"/>
      <c r="J745" s="1017"/>
      <c r="K745" s="1081"/>
      <c r="L745" s="1245"/>
      <c r="M745" s="1245"/>
      <c r="N745" s="1246"/>
      <c r="O745" s="1244"/>
      <c r="P745" s="1245"/>
      <c r="Q745" s="1245"/>
      <c r="R745" s="1245"/>
      <c r="S745" s="1245"/>
      <c r="T745" s="1246"/>
      <c r="U745" s="1244"/>
      <c r="V745" s="1245"/>
      <c r="W745" s="1245"/>
      <c r="X745" s="1245"/>
      <c r="Y745" s="1245"/>
      <c r="Z745" s="1246"/>
      <c r="AA745" s="1244"/>
      <c r="AB745" s="1245"/>
      <c r="AC745" s="1245"/>
      <c r="AD745" s="1317"/>
      <c r="AE745" s="943"/>
      <c r="AF745" s="944"/>
      <c r="AG745" s="1245"/>
      <c r="AH745" s="1245"/>
      <c r="AI745" s="1246"/>
      <c r="AJ745" s="976"/>
      <c r="AK745" s="982"/>
      <c r="AL745" s="1006"/>
      <c r="AM745" s="151"/>
      <c r="AN745" s="90"/>
      <c r="AO745" s="128"/>
      <c r="AP745" s="106"/>
    </row>
    <row r="746" spans="1:42" s="69" customFormat="1" ht="15" customHeight="1">
      <c r="A746" s="1015"/>
      <c r="B746" s="385"/>
      <c r="C746" s="388"/>
      <c r="D746" s="223" t="s">
        <v>835</v>
      </c>
      <c r="E746" s="320" t="s">
        <v>64</v>
      </c>
      <c r="F746" s="636"/>
      <c r="G746" s="427">
        <v>3333.33</v>
      </c>
      <c r="H746" s="320" t="s">
        <v>64</v>
      </c>
      <c r="I746" s="644"/>
      <c r="J746" s="1017"/>
      <c r="K746" s="1081"/>
      <c r="L746" s="1245"/>
      <c r="M746" s="1245"/>
      <c r="N746" s="1246"/>
      <c r="O746" s="1244"/>
      <c r="P746" s="1245"/>
      <c r="Q746" s="1245"/>
      <c r="R746" s="1245"/>
      <c r="S746" s="1245"/>
      <c r="T746" s="1246"/>
      <c r="U746" s="1244"/>
      <c r="V746" s="1245"/>
      <c r="W746" s="1245"/>
      <c r="X746" s="1245"/>
      <c r="Y746" s="1245"/>
      <c r="Z746" s="1246"/>
      <c r="AA746" s="1244"/>
      <c r="AB746" s="1245"/>
      <c r="AC746" s="1245"/>
      <c r="AD746" s="1317"/>
      <c r="AE746" s="943"/>
      <c r="AF746" s="944"/>
      <c r="AG746" s="1245"/>
      <c r="AH746" s="1245"/>
      <c r="AI746" s="1246"/>
      <c r="AJ746" s="976"/>
      <c r="AK746" s="982"/>
      <c r="AL746" s="1006"/>
      <c r="AM746" s="151"/>
      <c r="AN746" s="90"/>
      <c r="AO746" s="128"/>
      <c r="AP746" s="106"/>
    </row>
    <row r="747" spans="1:42" s="69" customFormat="1" ht="15" customHeight="1">
      <c r="A747" s="1015"/>
      <c r="B747" s="385"/>
      <c r="C747" s="388"/>
      <c r="D747" s="223" t="s">
        <v>836</v>
      </c>
      <c r="E747" s="320" t="s">
        <v>64</v>
      </c>
      <c r="F747" s="636"/>
      <c r="G747" s="427">
        <v>6666.66</v>
      </c>
      <c r="H747" s="320" t="s">
        <v>64</v>
      </c>
      <c r="I747" s="644"/>
      <c r="J747" s="1017"/>
      <c r="K747" s="1081"/>
      <c r="L747" s="1245"/>
      <c r="M747" s="1245"/>
      <c r="N747" s="1246"/>
      <c r="O747" s="1244"/>
      <c r="P747" s="1245"/>
      <c r="Q747" s="1245"/>
      <c r="R747" s="1245"/>
      <c r="S747" s="1245"/>
      <c r="T747" s="1246"/>
      <c r="U747" s="1244"/>
      <c r="V747" s="1245"/>
      <c r="W747" s="1245"/>
      <c r="X747" s="1245"/>
      <c r="Y747" s="1245"/>
      <c r="Z747" s="1246"/>
      <c r="AA747" s="1244"/>
      <c r="AB747" s="1245"/>
      <c r="AC747" s="1245"/>
      <c r="AD747" s="1317"/>
      <c r="AE747" s="943"/>
      <c r="AF747" s="944"/>
      <c r="AG747" s="1245"/>
      <c r="AH747" s="1245"/>
      <c r="AI747" s="1246"/>
      <c r="AJ747" s="976"/>
      <c r="AK747" s="982"/>
      <c r="AL747" s="1006"/>
      <c r="AM747" s="151"/>
      <c r="AN747" s="90"/>
      <c r="AO747" s="128"/>
      <c r="AP747" s="106"/>
    </row>
    <row r="748" spans="1:42" s="69" customFormat="1" ht="15" customHeight="1" thickBot="1">
      <c r="A748" s="1016"/>
      <c r="B748" s="389"/>
      <c r="C748" s="390"/>
      <c r="D748" s="223" t="s">
        <v>837</v>
      </c>
      <c r="E748" s="226" t="s">
        <v>64</v>
      </c>
      <c r="F748" s="637"/>
      <c r="G748" s="429">
        <v>3333.33</v>
      </c>
      <c r="H748" s="226" t="s">
        <v>64</v>
      </c>
      <c r="I748" s="645"/>
      <c r="J748" s="1018"/>
      <c r="K748" s="1049"/>
      <c r="L748" s="1248"/>
      <c r="M748" s="1248"/>
      <c r="N748" s="1249"/>
      <c r="O748" s="1247"/>
      <c r="P748" s="1248"/>
      <c r="Q748" s="1248"/>
      <c r="R748" s="1248"/>
      <c r="S748" s="1248"/>
      <c r="T748" s="1249"/>
      <c r="U748" s="1247"/>
      <c r="V748" s="1248"/>
      <c r="W748" s="1248"/>
      <c r="X748" s="1248"/>
      <c r="Y748" s="1248"/>
      <c r="Z748" s="1249"/>
      <c r="AA748" s="1247"/>
      <c r="AB748" s="1248"/>
      <c r="AC748" s="1248"/>
      <c r="AD748" s="1331"/>
      <c r="AE748" s="945"/>
      <c r="AF748" s="946"/>
      <c r="AG748" s="1248"/>
      <c r="AH748" s="1248"/>
      <c r="AI748" s="1249"/>
      <c r="AJ748" s="977"/>
      <c r="AK748" s="983"/>
      <c r="AL748" s="1007"/>
      <c r="AM748" s="151"/>
      <c r="AN748" s="90"/>
      <c r="AO748" s="128"/>
      <c r="AP748" s="106"/>
    </row>
    <row r="749" spans="1:42" s="69" customFormat="1">
      <c r="A749" s="66"/>
      <c r="B749" s="66"/>
      <c r="C749" s="67"/>
      <c r="D749" s="128"/>
      <c r="E749" s="128"/>
      <c r="F749" s="128"/>
      <c r="G749" s="59"/>
      <c r="H749" s="59"/>
      <c r="I749" s="59"/>
      <c r="J749" s="128"/>
      <c r="K749" s="128"/>
      <c r="L749" s="128"/>
      <c r="M749" s="59"/>
      <c r="N749" s="59"/>
      <c r="O749" s="59"/>
      <c r="P749" s="59"/>
      <c r="Q749" s="59"/>
      <c r="R749" s="752"/>
      <c r="S749" s="59"/>
      <c r="T749" s="752"/>
      <c r="U749" s="61"/>
      <c r="V749" s="61"/>
      <c r="W749" s="61"/>
      <c r="X749" s="151"/>
      <c r="Y749" s="60"/>
      <c r="Z749" s="151"/>
      <c r="AA749" s="60"/>
      <c r="AB749" s="60"/>
      <c r="AC749" s="60"/>
      <c r="AD749" s="60"/>
      <c r="AE749" s="60"/>
      <c r="AF749" s="60"/>
      <c r="AG749" s="60"/>
      <c r="AH749" s="151"/>
      <c r="AI749" s="151"/>
      <c r="AJ749" s="60"/>
      <c r="AM749" s="850"/>
      <c r="AN749" s="128"/>
      <c r="AO749" s="106"/>
    </row>
    <row r="750" spans="1:42" s="144" customFormat="1">
      <c r="A750" s="139"/>
      <c r="B750" s="139"/>
      <c r="C750" s="140"/>
      <c r="D750" s="141"/>
      <c r="E750" s="141"/>
      <c r="F750" s="141"/>
      <c r="G750" s="142"/>
      <c r="H750" s="142"/>
      <c r="I750" s="142"/>
      <c r="J750" s="141"/>
      <c r="K750" s="141"/>
      <c r="L750" s="141"/>
      <c r="M750" s="142"/>
      <c r="N750" s="142"/>
      <c r="O750" s="142"/>
      <c r="P750" s="142"/>
      <c r="Q750" s="142"/>
      <c r="R750" s="171"/>
      <c r="S750" s="142"/>
      <c r="T750" s="171"/>
      <c r="U750" s="143"/>
      <c r="V750" s="143"/>
      <c r="W750" s="143"/>
      <c r="X750" s="155"/>
      <c r="Y750" s="137"/>
      <c r="Z750" s="155"/>
      <c r="AA750" s="137"/>
      <c r="AB750" s="137"/>
      <c r="AC750" s="137"/>
      <c r="AD750" s="137"/>
      <c r="AE750" s="137"/>
      <c r="AF750" s="137"/>
      <c r="AG750" s="137"/>
      <c r="AH750" s="155"/>
      <c r="AI750" s="155"/>
      <c r="AJ750" s="137"/>
      <c r="AM750" s="851"/>
      <c r="AN750" s="141"/>
      <c r="AO750" s="145"/>
    </row>
    <row r="751" spans="1:42" s="69" customFormat="1" ht="13.5" thickBot="1">
      <c r="A751" s="66"/>
      <c r="B751" s="70"/>
      <c r="C751" s="71"/>
      <c r="D751" s="63"/>
      <c r="E751" s="128"/>
      <c r="F751" s="63"/>
      <c r="G751" s="59"/>
      <c r="H751" s="62"/>
      <c r="I751" s="62"/>
      <c r="J751" s="128"/>
      <c r="K751" s="128"/>
      <c r="L751" s="65"/>
      <c r="M751" s="64"/>
      <c r="N751" s="65"/>
      <c r="O751" s="65"/>
      <c r="P751" s="65"/>
      <c r="Q751" s="65"/>
      <c r="R751" s="168"/>
      <c r="S751" s="65"/>
      <c r="T751" s="168"/>
      <c r="U751" s="65"/>
      <c r="V751" s="65"/>
      <c r="W751" s="65"/>
      <c r="X751" s="152"/>
      <c r="Y751" s="64"/>
      <c r="Z751" s="152"/>
      <c r="AA751" s="64"/>
      <c r="AB751" s="64"/>
      <c r="AC751" s="64"/>
      <c r="AD751" s="64"/>
      <c r="AE751" s="64"/>
      <c r="AF751" s="64"/>
      <c r="AG751" s="64"/>
      <c r="AH751" s="152"/>
      <c r="AI751" s="152"/>
      <c r="AJ751" s="60"/>
      <c r="AM751" s="850"/>
      <c r="AN751" s="128"/>
      <c r="AO751" s="60"/>
      <c r="AP751" s="149"/>
    </row>
    <row r="752" spans="1:42" s="69" customFormat="1" ht="12.75" customHeight="1">
      <c r="A752" s="1026" t="s">
        <v>401</v>
      </c>
      <c r="B752" s="232" t="s">
        <v>151</v>
      </c>
      <c r="C752" s="912" t="s">
        <v>151</v>
      </c>
      <c r="D752" s="592" t="s">
        <v>402</v>
      </c>
      <c r="E752" s="450" t="s">
        <v>66</v>
      </c>
      <c r="F752" s="594" t="s">
        <v>151</v>
      </c>
      <c r="G752" s="49">
        <v>175.70799706529715</v>
      </c>
      <c r="H752" s="225" t="s">
        <v>221</v>
      </c>
      <c r="I752" s="594" t="s">
        <v>151</v>
      </c>
      <c r="J752" s="1029" t="s">
        <v>404</v>
      </c>
      <c r="K752" s="1063" t="s">
        <v>505</v>
      </c>
      <c r="L752" s="630">
        <v>14.130792369772564</v>
      </c>
      <c r="M752" s="598">
        <v>1.52</v>
      </c>
      <c r="N752" s="600"/>
      <c r="O752" s="600"/>
      <c r="P752" s="600"/>
      <c r="Q752" s="600"/>
      <c r="R752" s="600"/>
      <c r="S752" s="598">
        <v>12.610616287600884</v>
      </c>
      <c r="T752" s="603">
        <v>24448.626895111465</v>
      </c>
      <c r="U752" s="39" t="s">
        <v>50</v>
      </c>
      <c r="V752" s="598">
        <v>2.284203961848863</v>
      </c>
      <c r="W752" s="598">
        <v>2.284203961848863</v>
      </c>
      <c r="X752" s="603">
        <v>4428.4632203492838</v>
      </c>
      <c r="Y752" s="598">
        <v>0.8182208363903154</v>
      </c>
      <c r="Z752" s="598">
        <v>1586.3123173751408</v>
      </c>
      <c r="AA752" s="600"/>
      <c r="AB752" s="600"/>
      <c r="AC752" s="598">
        <v>3.080315480557593</v>
      </c>
      <c r="AD752" s="627">
        <v>5971.9114582397578</v>
      </c>
      <c r="AE752" s="1115" t="s">
        <v>19</v>
      </c>
      <c r="AF752" s="1116"/>
      <c r="AG752" s="630">
        <v>12.610616287600884</v>
      </c>
      <c r="AH752" s="603">
        <v>48897.253790222931</v>
      </c>
      <c r="AI752" s="599">
        <f>AH752</f>
        <v>48897.253790222931</v>
      </c>
      <c r="AJ752" s="975">
        <v>46164</v>
      </c>
      <c r="AK752" s="994">
        <f>SUM(AI752:AI777)</f>
        <v>1465664.6142351634</v>
      </c>
      <c r="AM752" s="440"/>
      <c r="AN752" s="90"/>
      <c r="AO752" s="128"/>
    </row>
    <row r="753" spans="1:41" s="69" customFormat="1" ht="15" customHeight="1">
      <c r="A753" s="1027"/>
      <c r="B753" s="821"/>
      <c r="C753" s="525"/>
      <c r="D753" s="590" t="s">
        <v>403</v>
      </c>
      <c r="E753" s="320" t="s">
        <v>64</v>
      </c>
      <c r="F753" s="515" t="s">
        <v>151</v>
      </c>
      <c r="G753" s="120">
        <v>176.0821716801174</v>
      </c>
      <c r="H753" s="320" t="s">
        <v>64</v>
      </c>
      <c r="I753" s="515" t="s">
        <v>151</v>
      </c>
      <c r="J753" s="1030"/>
      <c r="K753" s="1064"/>
      <c r="L753" s="631">
        <v>8.7131327953044746</v>
      </c>
      <c r="M753" s="225" t="s">
        <v>64</v>
      </c>
      <c r="N753" s="601"/>
      <c r="O753" s="601"/>
      <c r="P753" s="601"/>
      <c r="Q753" s="601"/>
      <c r="R753" s="601"/>
      <c r="S753" s="595">
        <v>8.7131327953044746</v>
      </c>
      <c r="T753" s="604">
        <v>16892.444266138693</v>
      </c>
      <c r="U753" s="39" t="s">
        <v>50</v>
      </c>
      <c r="V753" s="595">
        <v>2.2890682318415263</v>
      </c>
      <c r="W753" s="595">
        <v>2.2890682318415263</v>
      </c>
      <c r="X753" s="604">
        <v>4437.8937445564698</v>
      </c>
      <c r="Y753" s="595">
        <v>1.2032281731474688</v>
      </c>
      <c r="Z753" s="595">
        <v>2332.7390195745597</v>
      </c>
      <c r="AA753" s="601"/>
      <c r="AB753" s="601"/>
      <c r="AC753" s="595">
        <v>1.7608217168011739</v>
      </c>
      <c r="AD753" s="628">
        <v>3413.7644188895965</v>
      </c>
      <c r="AE753" s="1117"/>
      <c r="AF753" s="1118"/>
      <c r="AG753" s="631">
        <v>8.7131327953044746</v>
      </c>
      <c r="AH753" s="604">
        <v>33784.888532277386</v>
      </c>
      <c r="AI753" s="599">
        <f t="shared" ref="AI753:AI777" si="25">AH753</f>
        <v>33784.888532277386</v>
      </c>
      <c r="AJ753" s="1003"/>
      <c r="AK753" s="995"/>
      <c r="AM753" s="440"/>
      <c r="AN753" s="128"/>
      <c r="AO753" s="128"/>
    </row>
    <row r="754" spans="1:41" s="69" customFormat="1" ht="15" customHeight="1">
      <c r="A754" s="1027"/>
      <c r="B754" s="821"/>
      <c r="C754" s="525"/>
      <c r="D754" s="518" t="s">
        <v>863</v>
      </c>
      <c r="E754" s="320" t="s">
        <v>64</v>
      </c>
      <c r="F754" s="515" t="s">
        <v>151</v>
      </c>
      <c r="G754" s="120">
        <v>1054.2479823917829</v>
      </c>
      <c r="H754" s="320" t="s">
        <v>64</v>
      </c>
      <c r="I754" s="515" t="s">
        <v>151</v>
      </c>
      <c r="J754" s="1030"/>
      <c r="K754" s="1064"/>
      <c r="L754" s="631">
        <v>28.910946441672788</v>
      </c>
      <c r="M754" s="225" t="s">
        <v>64</v>
      </c>
      <c r="N754" s="601"/>
      <c r="O754" s="601"/>
      <c r="P754" s="601"/>
      <c r="Q754" s="601"/>
      <c r="R754" s="601"/>
      <c r="S754" s="595">
        <v>28.910946441672788</v>
      </c>
      <c r="T754" s="604">
        <v>56050.626441785178</v>
      </c>
      <c r="U754" s="39" t="s">
        <v>50</v>
      </c>
      <c r="V754" s="595">
        <v>13.705223771093177</v>
      </c>
      <c r="W754" s="595">
        <v>13.705223771093177</v>
      </c>
      <c r="X754" s="604">
        <v>26570.779322095706</v>
      </c>
      <c r="Y754" s="595">
        <v>2.5204768892149674</v>
      </c>
      <c r="Z754" s="595">
        <v>4886.5335092906298</v>
      </c>
      <c r="AA754" s="601"/>
      <c r="AB754" s="601"/>
      <c r="AC754" s="595">
        <v>4.3953191489361707</v>
      </c>
      <c r="AD754" s="628">
        <v>8521.3533983217312</v>
      </c>
      <c r="AE754" s="1117"/>
      <c r="AF754" s="1118"/>
      <c r="AG754" s="631">
        <v>28.910946441672788</v>
      </c>
      <c r="AH754" s="604">
        <v>112101.25288357036</v>
      </c>
      <c r="AI754" s="599">
        <f t="shared" si="25"/>
        <v>112101.25288357036</v>
      </c>
      <c r="AJ754" s="1003"/>
      <c r="AK754" s="995"/>
      <c r="AM754" s="440"/>
      <c r="AN754" s="90"/>
      <c r="AO754" s="128"/>
    </row>
    <row r="755" spans="1:41" s="69" customFormat="1" ht="15" customHeight="1">
      <c r="A755" s="1027"/>
      <c r="B755" s="821"/>
      <c r="C755" s="525"/>
      <c r="D755" s="518" t="s">
        <v>864</v>
      </c>
      <c r="E755" s="320" t="s">
        <v>64</v>
      </c>
      <c r="F755" s="515" t="s">
        <v>151</v>
      </c>
      <c r="G755" s="120">
        <v>1171.386647101981</v>
      </c>
      <c r="H755" s="320" t="s">
        <v>64</v>
      </c>
      <c r="I755" s="515" t="s">
        <v>151</v>
      </c>
      <c r="J755" s="1030"/>
      <c r="K755" s="1064"/>
      <c r="L755" s="631">
        <v>31.605135730007341</v>
      </c>
      <c r="M755" s="225" t="s">
        <v>64</v>
      </c>
      <c r="N755" s="601"/>
      <c r="O755" s="601"/>
      <c r="P755" s="601"/>
      <c r="Q755" s="601"/>
      <c r="R755" s="601"/>
      <c r="S755" s="595">
        <v>31.605135730007341</v>
      </c>
      <c r="T755" s="604">
        <v>61273.942035017652</v>
      </c>
      <c r="U755" s="39" t="s">
        <v>50</v>
      </c>
      <c r="V755" s="595">
        <v>15.228026412325754</v>
      </c>
      <c r="W755" s="595">
        <v>15.228026412325754</v>
      </c>
      <c r="X755" s="604">
        <v>29523.088135661917</v>
      </c>
      <c r="Y755" s="595">
        <v>2.696184886280264</v>
      </c>
      <c r="Z755" s="595">
        <v>5227.1845262405768</v>
      </c>
      <c r="AA755" s="601"/>
      <c r="AB755" s="601"/>
      <c r="AC755" s="595">
        <v>4.7467351430667648</v>
      </c>
      <c r="AD755" s="628">
        <v>9202.6554322216489</v>
      </c>
      <c r="AE755" s="1117"/>
      <c r="AF755" s="1118"/>
      <c r="AG755" s="631">
        <v>31.605135730007341</v>
      </c>
      <c r="AH755" s="604">
        <v>122547.8840700353</v>
      </c>
      <c r="AI755" s="599">
        <f t="shared" si="25"/>
        <v>122547.8840700353</v>
      </c>
      <c r="AJ755" s="1003"/>
      <c r="AK755" s="995"/>
      <c r="AM755" s="440">
        <v>1465665</v>
      </c>
      <c r="AN755" s="69" t="s">
        <v>68</v>
      </c>
      <c r="AO755" s="128"/>
    </row>
    <row r="756" spans="1:41" s="69" customFormat="1" ht="15" customHeight="1">
      <c r="A756" s="1027"/>
      <c r="B756" s="821"/>
      <c r="C756" s="525"/>
      <c r="D756" s="518" t="s">
        <v>865</v>
      </c>
      <c r="E756" s="320" t="s">
        <v>64</v>
      </c>
      <c r="F756" s="515" t="s">
        <v>151</v>
      </c>
      <c r="G756" s="24">
        <v>352.1643433602348</v>
      </c>
      <c r="H756" s="320" t="s">
        <v>64</v>
      </c>
      <c r="I756" s="515" t="s">
        <v>151</v>
      </c>
      <c r="J756" s="1030"/>
      <c r="K756" s="1064"/>
      <c r="L756" s="631">
        <v>12.763022743947175</v>
      </c>
      <c r="M756" s="225" t="s">
        <v>64</v>
      </c>
      <c r="N756" s="601"/>
      <c r="O756" s="601"/>
      <c r="P756" s="601"/>
      <c r="Q756" s="601"/>
      <c r="R756" s="601"/>
      <c r="S756" s="595">
        <v>12.763022743947175</v>
      </c>
      <c r="T756" s="604">
        <v>24744.102429584735</v>
      </c>
      <c r="U756" s="39" t="s">
        <v>50</v>
      </c>
      <c r="V756" s="595">
        <v>4.5781364636830526</v>
      </c>
      <c r="W756" s="595">
        <v>4.5781364636830526</v>
      </c>
      <c r="X756" s="604">
        <v>8875.7874891129395</v>
      </c>
      <c r="Y756" s="595">
        <v>1.467351430667645</v>
      </c>
      <c r="Z756" s="595">
        <v>2844.8036824079977</v>
      </c>
      <c r="AA756" s="601"/>
      <c r="AB756" s="601"/>
      <c r="AC756" s="595">
        <v>2.2890682318415259</v>
      </c>
      <c r="AD756" s="628">
        <v>4437.8937445564698</v>
      </c>
      <c r="AE756" s="1117"/>
      <c r="AF756" s="1118"/>
      <c r="AG756" s="631">
        <v>12.763022743947175</v>
      </c>
      <c r="AH756" s="604">
        <v>49488.204859169469</v>
      </c>
      <c r="AI756" s="599">
        <f t="shared" si="25"/>
        <v>49488.204859169469</v>
      </c>
      <c r="AJ756" s="1003"/>
      <c r="AK756" s="995"/>
      <c r="AM756" s="440"/>
      <c r="AN756" s="90"/>
      <c r="AO756" s="128"/>
    </row>
    <row r="757" spans="1:41" s="69" customFormat="1" ht="15" customHeight="1">
      <c r="A757" s="1027"/>
      <c r="B757" s="821"/>
      <c r="C757" s="525"/>
      <c r="D757" s="518" t="s">
        <v>866</v>
      </c>
      <c r="E757" s="320" t="s">
        <v>64</v>
      </c>
      <c r="F757" s="515" t="s">
        <v>151</v>
      </c>
      <c r="G757" s="7">
        <v>35.216434336023475</v>
      </c>
      <c r="H757" s="320" t="s">
        <v>64</v>
      </c>
      <c r="I757" s="515" t="s">
        <v>151</v>
      </c>
      <c r="J757" s="1030"/>
      <c r="K757" s="1064"/>
      <c r="L757" s="631">
        <v>6.294937637564197</v>
      </c>
      <c r="M757" s="225" t="s">
        <v>64</v>
      </c>
      <c r="N757" s="601"/>
      <c r="O757" s="601"/>
      <c r="P757" s="601"/>
      <c r="Q757" s="601"/>
      <c r="R757" s="601"/>
      <c r="S757" s="595">
        <v>6.294937637564197</v>
      </c>
      <c r="T757" s="604">
        <v>12204.207797530316</v>
      </c>
      <c r="U757" s="39" t="s">
        <v>50</v>
      </c>
      <c r="V757" s="595">
        <v>0.45781364636830518</v>
      </c>
      <c r="W757" s="595">
        <v>0.45781364636830518</v>
      </c>
      <c r="X757" s="604">
        <v>887.57874891129393</v>
      </c>
      <c r="Y757" s="595">
        <v>1.1151870873074101</v>
      </c>
      <c r="Z757" s="595">
        <v>2162.0507986300768</v>
      </c>
      <c r="AA757" s="601"/>
      <c r="AB757" s="601"/>
      <c r="AC757" s="595">
        <v>1.5847395451210564</v>
      </c>
      <c r="AD757" s="628">
        <v>3072.3879770006361</v>
      </c>
      <c r="AE757" s="1117"/>
      <c r="AF757" s="1118"/>
      <c r="AG757" s="631">
        <v>6.294937637564197</v>
      </c>
      <c r="AH757" s="604">
        <v>24408.415595060633</v>
      </c>
      <c r="AI757" s="599">
        <f t="shared" si="25"/>
        <v>24408.415595060633</v>
      </c>
      <c r="AJ757" s="1003"/>
      <c r="AK757" s="995"/>
      <c r="AM757" s="440"/>
      <c r="AN757" s="90"/>
      <c r="AO757" s="128"/>
    </row>
    <row r="758" spans="1:41" s="69" customFormat="1" ht="15" customHeight="1">
      <c r="A758" s="1027"/>
      <c r="B758" s="821"/>
      <c r="C758" s="525"/>
      <c r="D758" s="518" t="s">
        <v>867</v>
      </c>
      <c r="E758" s="320" t="s">
        <v>64</v>
      </c>
      <c r="F758" s="515" t="s">
        <v>151</v>
      </c>
      <c r="G758" s="119">
        <v>35.216434336023475</v>
      </c>
      <c r="H758" s="320" t="s">
        <v>64</v>
      </c>
      <c r="I758" s="515" t="s">
        <v>151</v>
      </c>
      <c r="J758" s="1030"/>
      <c r="K758" s="1064"/>
      <c r="L758" s="631">
        <v>6.294937637564197</v>
      </c>
      <c r="M758" s="225" t="s">
        <v>64</v>
      </c>
      <c r="N758" s="601"/>
      <c r="O758" s="601"/>
      <c r="P758" s="601"/>
      <c r="Q758" s="601"/>
      <c r="R758" s="601"/>
      <c r="S758" s="595">
        <v>6.294937637564197</v>
      </c>
      <c r="T758" s="604">
        <v>12204.207797530316</v>
      </c>
      <c r="U758" s="39" t="s">
        <v>50</v>
      </c>
      <c r="V758" s="595">
        <v>0.45781364636830518</v>
      </c>
      <c r="W758" s="595">
        <v>0.45781364636830518</v>
      </c>
      <c r="X758" s="604">
        <v>887.57874891129393</v>
      </c>
      <c r="Y758" s="595">
        <v>1.1151870873074101</v>
      </c>
      <c r="Z758" s="595">
        <v>2162.0507986300768</v>
      </c>
      <c r="AA758" s="601"/>
      <c r="AB758" s="601"/>
      <c r="AC758" s="595">
        <v>1.5847395451210564</v>
      </c>
      <c r="AD758" s="628">
        <v>3072.3879770006361</v>
      </c>
      <c r="AE758" s="1117"/>
      <c r="AF758" s="1118"/>
      <c r="AG758" s="631">
        <v>6.294937637564197</v>
      </c>
      <c r="AH758" s="604">
        <v>24408.415595060633</v>
      </c>
      <c r="AI758" s="599">
        <f t="shared" si="25"/>
        <v>24408.415595060633</v>
      </c>
      <c r="AJ758" s="1003"/>
      <c r="AK758" s="995"/>
      <c r="AM758" s="440"/>
      <c r="AN758" s="90"/>
      <c r="AO758" s="128"/>
    </row>
    <row r="759" spans="1:41" s="69" customFormat="1" ht="15" customHeight="1">
      <c r="A759" s="1027"/>
      <c r="B759" s="821"/>
      <c r="C759" s="525"/>
      <c r="D759" s="518" t="s">
        <v>868</v>
      </c>
      <c r="E759" s="320" t="s">
        <v>64</v>
      </c>
      <c r="F759" s="515" t="s">
        <v>151</v>
      </c>
      <c r="G759" s="119">
        <v>1467.351430667645</v>
      </c>
      <c r="H759" s="320" t="s">
        <v>64</v>
      </c>
      <c r="I759" s="515" t="s">
        <v>151</v>
      </c>
      <c r="J759" s="1030"/>
      <c r="K759" s="1064"/>
      <c r="L759" s="631">
        <v>38.412325752017608</v>
      </c>
      <c r="M759" s="225" t="s">
        <v>64</v>
      </c>
      <c r="N759" s="601"/>
      <c r="O759" s="601"/>
      <c r="P759" s="601"/>
      <c r="Q759" s="601"/>
      <c r="R759" s="601"/>
      <c r="S759" s="595">
        <v>38.412325752017608</v>
      </c>
      <c r="T759" s="604">
        <v>74471.270798076468</v>
      </c>
      <c r="U759" s="39" t="s">
        <v>50</v>
      </c>
      <c r="V759" s="595">
        <v>19.075568598679386</v>
      </c>
      <c r="W759" s="595">
        <v>19.075568598679386</v>
      </c>
      <c r="X759" s="604">
        <v>36982.447871303935</v>
      </c>
      <c r="Y759" s="595">
        <v>3.1401320616287602</v>
      </c>
      <c r="Z759" s="595">
        <v>6087.8798803531217</v>
      </c>
      <c r="AA759" s="601"/>
      <c r="AB759" s="601"/>
      <c r="AC759" s="595">
        <v>5.6346294937637564</v>
      </c>
      <c r="AD759" s="628">
        <v>10924.046140446682</v>
      </c>
      <c r="AE759" s="1117"/>
      <c r="AF759" s="1118"/>
      <c r="AG759" s="631">
        <v>38.412325752017608</v>
      </c>
      <c r="AH759" s="604">
        <v>148942.54159615294</v>
      </c>
      <c r="AI759" s="599">
        <f t="shared" si="25"/>
        <v>148942.54159615294</v>
      </c>
      <c r="AJ759" s="1003"/>
      <c r="AK759" s="995"/>
      <c r="AM759" s="440"/>
      <c r="AN759" s="90"/>
      <c r="AO759" s="128"/>
    </row>
    <row r="760" spans="1:41" s="69" customFormat="1" ht="15" customHeight="1">
      <c r="A760" s="1027"/>
      <c r="B760" s="821"/>
      <c r="C760" s="525"/>
      <c r="D760" s="518" t="s">
        <v>869</v>
      </c>
      <c r="E760" s="320" t="s">
        <v>64</v>
      </c>
      <c r="F760" s="515" t="s">
        <v>151</v>
      </c>
      <c r="G760" s="119">
        <v>146.73514306676449</v>
      </c>
      <c r="H760" s="320" t="s">
        <v>64</v>
      </c>
      <c r="I760" s="515" t="s">
        <v>151</v>
      </c>
      <c r="J760" s="1030"/>
      <c r="K760" s="1064"/>
      <c r="L760" s="631">
        <v>8.0381511371973584</v>
      </c>
      <c r="M760" s="225" t="s">
        <v>64</v>
      </c>
      <c r="N760" s="601"/>
      <c r="O760" s="601"/>
      <c r="P760" s="601"/>
      <c r="Q760" s="601"/>
      <c r="R760" s="601"/>
      <c r="S760" s="595">
        <v>8.0381511371973584</v>
      </c>
      <c r="T760" s="604">
        <v>15583.834572231041</v>
      </c>
      <c r="U760" s="39" t="s">
        <v>50</v>
      </c>
      <c r="V760" s="595">
        <v>1.9075568598679387</v>
      </c>
      <c r="W760" s="595">
        <v>1.9075568598679387</v>
      </c>
      <c r="X760" s="604">
        <v>3698.2447871303989</v>
      </c>
      <c r="Y760" s="595">
        <v>1.1592076302274394</v>
      </c>
      <c r="Z760" s="595">
        <v>2247.3949091023196</v>
      </c>
      <c r="AA760" s="601"/>
      <c r="AB760" s="601"/>
      <c r="AC760" s="595">
        <v>1.6727806309611153</v>
      </c>
      <c r="AD760" s="628">
        <v>3243.0761979451145</v>
      </c>
      <c r="AE760" s="1117"/>
      <c r="AF760" s="1118"/>
      <c r="AG760" s="631">
        <v>8.0381511371973584</v>
      </c>
      <c r="AH760" s="604">
        <v>31167.669144462081</v>
      </c>
      <c r="AI760" s="599">
        <f t="shared" si="25"/>
        <v>31167.669144462081</v>
      </c>
      <c r="AJ760" s="1003"/>
      <c r="AK760" s="995"/>
      <c r="AM760" s="440"/>
      <c r="AN760" s="90"/>
      <c r="AO760" s="128"/>
    </row>
    <row r="761" spans="1:41" s="69" customFormat="1" ht="15" customHeight="1">
      <c r="A761" s="1027"/>
      <c r="B761" s="821"/>
      <c r="C761" s="525"/>
      <c r="D761" s="518" t="s">
        <v>870</v>
      </c>
      <c r="E761" s="320" t="s">
        <v>64</v>
      </c>
      <c r="F761" s="515" t="s">
        <v>151</v>
      </c>
      <c r="G761" s="119">
        <v>146.73514306676449</v>
      </c>
      <c r="H761" s="320" t="s">
        <v>64</v>
      </c>
      <c r="I761" s="515" t="s">
        <v>151</v>
      </c>
      <c r="J761" s="1030"/>
      <c r="K761" s="1064"/>
      <c r="L761" s="631">
        <v>8.0381511371973584</v>
      </c>
      <c r="M761" s="225" t="s">
        <v>64</v>
      </c>
      <c r="N761" s="601"/>
      <c r="O761" s="601"/>
      <c r="P761" s="601"/>
      <c r="Q761" s="601"/>
      <c r="R761" s="601"/>
      <c r="S761" s="595">
        <v>8.0381511371973584</v>
      </c>
      <c r="T761" s="604">
        <v>15583.834572231041</v>
      </c>
      <c r="U761" s="39" t="s">
        <v>50</v>
      </c>
      <c r="V761" s="595">
        <v>1.9075568598679387</v>
      </c>
      <c r="W761" s="595">
        <v>1.9075568598679387</v>
      </c>
      <c r="X761" s="604">
        <v>3698.2447871303989</v>
      </c>
      <c r="Y761" s="595">
        <v>1.1592076302274394</v>
      </c>
      <c r="Z761" s="595">
        <v>2247.3949091023196</v>
      </c>
      <c r="AA761" s="601"/>
      <c r="AB761" s="601"/>
      <c r="AC761" s="595">
        <v>1.6727806309611153</v>
      </c>
      <c r="AD761" s="628">
        <v>3243.0761979451145</v>
      </c>
      <c r="AE761" s="1117"/>
      <c r="AF761" s="1118"/>
      <c r="AG761" s="631">
        <v>8.0381511371973584</v>
      </c>
      <c r="AH761" s="604">
        <v>31167.669144462081</v>
      </c>
      <c r="AI761" s="599">
        <f t="shared" si="25"/>
        <v>31167.669144462081</v>
      </c>
      <c r="AJ761" s="1003"/>
      <c r="AK761" s="995"/>
      <c r="AM761" s="440"/>
      <c r="AN761" s="90"/>
      <c r="AO761" s="128"/>
    </row>
    <row r="762" spans="1:41" s="69" customFormat="1" ht="15" customHeight="1">
      <c r="A762" s="1027"/>
      <c r="B762" s="821"/>
      <c r="C762" s="525"/>
      <c r="D762" s="518" t="s">
        <v>793</v>
      </c>
      <c r="E762" s="320" t="s">
        <v>64</v>
      </c>
      <c r="F762" s="515" t="s">
        <v>151</v>
      </c>
      <c r="G762" s="119">
        <v>146.73514306676449</v>
      </c>
      <c r="H762" s="320" t="s">
        <v>64</v>
      </c>
      <c r="I762" s="515" t="s">
        <v>151</v>
      </c>
      <c r="J762" s="1030"/>
      <c r="K762" s="1064"/>
      <c r="L762" s="631">
        <v>8.0381511371973584</v>
      </c>
      <c r="M762" s="225" t="s">
        <v>64</v>
      </c>
      <c r="N762" s="601"/>
      <c r="O762" s="601"/>
      <c r="P762" s="601"/>
      <c r="Q762" s="601"/>
      <c r="R762" s="601"/>
      <c r="S762" s="595">
        <v>8.0381511371973584</v>
      </c>
      <c r="T762" s="604">
        <v>15583.834572231041</v>
      </c>
      <c r="U762" s="39" t="s">
        <v>50</v>
      </c>
      <c r="V762" s="595">
        <v>1.9075568598679387</v>
      </c>
      <c r="W762" s="595">
        <v>1.9075568598679387</v>
      </c>
      <c r="X762" s="604">
        <v>3698.2447871303989</v>
      </c>
      <c r="Y762" s="595">
        <v>1.1592076302274394</v>
      </c>
      <c r="Z762" s="595">
        <v>2247.3949091023196</v>
      </c>
      <c r="AA762" s="601"/>
      <c r="AB762" s="601"/>
      <c r="AC762" s="595">
        <v>1.6727806309611153</v>
      </c>
      <c r="AD762" s="628">
        <v>3243.0761979451145</v>
      </c>
      <c r="AE762" s="1117"/>
      <c r="AF762" s="1118"/>
      <c r="AG762" s="631">
        <v>8.0381511371973584</v>
      </c>
      <c r="AH762" s="604">
        <v>31167.669144462081</v>
      </c>
      <c r="AI762" s="599">
        <f t="shared" si="25"/>
        <v>31167.669144462081</v>
      </c>
      <c r="AJ762" s="1003"/>
      <c r="AK762" s="995"/>
      <c r="AM762" s="440"/>
      <c r="AN762" s="90"/>
      <c r="AO762" s="128"/>
    </row>
    <row r="763" spans="1:41" s="69" customFormat="1" ht="15" customHeight="1">
      <c r="A763" s="1027"/>
      <c r="B763" s="821"/>
      <c r="C763" s="525"/>
      <c r="D763" s="518" t="s">
        <v>794</v>
      </c>
      <c r="E763" s="320" t="s">
        <v>64</v>
      </c>
      <c r="F763" s="515" t="s">
        <v>151</v>
      </c>
      <c r="G763" s="119">
        <v>352.1643433602348</v>
      </c>
      <c r="H763" s="320" t="s">
        <v>64</v>
      </c>
      <c r="I763" s="515" t="s">
        <v>151</v>
      </c>
      <c r="J763" s="1030"/>
      <c r="K763" s="1064"/>
      <c r="L763" s="631">
        <v>12.763022743947175</v>
      </c>
      <c r="M763" s="225" t="s">
        <v>64</v>
      </c>
      <c r="N763" s="601"/>
      <c r="O763" s="601"/>
      <c r="P763" s="601"/>
      <c r="Q763" s="601"/>
      <c r="R763" s="601"/>
      <c r="S763" s="595">
        <v>12.763022743947175</v>
      </c>
      <c r="T763" s="604">
        <v>24744.102429584735</v>
      </c>
      <c r="U763" s="39" t="s">
        <v>50</v>
      </c>
      <c r="V763" s="595">
        <v>4.5781364636830526</v>
      </c>
      <c r="W763" s="595">
        <v>4.5781364636830526</v>
      </c>
      <c r="X763" s="604">
        <v>8875.7874891129395</v>
      </c>
      <c r="Y763" s="595">
        <v>1.467351430667645</v>
      </c>
      <c r="Z763" s="595">
        <v>2844.8036824079977</v>
      </c>
      <c r="AA763" s="601"/>
      <c r="AB763" s="601"/>
      <c r="AC763" s="595">
        <v>2.2890682318415259</v>
      </c>
      <c r="AD763" s="628">
        <v>4437.8937445564698</v>
      </c>
      <c r="AE763" s="1117"/>
      <c r="AF763" s="1118"/>
      <c r="AG763" s="631">
        <v>12.763022743947175</v>
      </c>
      <c r="AH763" s="604">
        <v>49488.204859169469</v>
      </c>
      <c r="AI763" s="599">
        <f t="shared" si="25"/>
        <v>49488.204859169469</v>
      </c>
      <c r="AJ763" s="1003"/>
      <c r="AK763" s="995"/>
      <c r="AM763" s="440"/>
      <c r="AN763" s="90"/>
      <c r="AO763" s="128"/>
    </row>
    <row r="764" spans="1:41" s="69" customFormat="1" ht="15" customHeight="1">
      <c r="A764" s="1027"/>
      <c r="B764" s="821"/>
      <c r="C764" s="525"/>
      <c r="D764" s="518" t="s">
        <v>795</v>
      </c>
      <c r="E764" s="320" t="s">
        <v>64</v>
      </c>
      <c r="F764" s="515" t="s">
        <v>151</v>
      </c>
      <c r="G764" s="119">
        <v>35.216434336023475</v>
      </c>
      <c r="H764" s="320" t="s">
        <v>64</v>
      </c>
      <c r="I764" s="515" t="s">
        <v>151</v>
      </c>
      <c r="J764" s="1030"/>
      <c r="K764" s="1064"/>
      <c r="L764" s="631">
        <v>6.294937637564197</v>
      </c>
      <c r="M764" s="225" t="s">
        <v>64</v>
      </c>
      <c r="N764" s="601"/>
      <c r="O764" s="601"/>
      <c r="P764" s="601"/>
      <c r="Q764" s="601"/>
      <c r="R764" s="601"/>
      <c r="S764" s="595">
        <v>6.294937637564197</v>
      </c>
      <c r="T764" s="604">
        <v>12204.207797530316</v>
      </c>
      <c r="U764" s="39" t="s">
        <v>50</v>
      </c>
      <c r="V764" s="595">
        <v>0.45781364636830518</v>
      </c>
      <c r="W764" s="595">
        <v>0.45781364636830518</v>
      </c>
      <c r="X764" s="604">
        <v>887.57874891129393</v>
      </c>
      <c r="Y764" s="595">
        <v>1.1151870873074101</v>
      </c>
      <c r="Z764" s="595">
        <v>2162.0507986300768</v>
      </c>
      <c r="AA764" s="601"/>
      <c r="AB764" s="601"/>
      <c r="AC764" s="595">
        <v>1.5847395451210564</v>
      </c>
      <c r="AD764" s="628">
        <v>3072.3879770006361</v>
      </c>
      <c r="AE764" s="1117"/>
      <c r="AF764" s="1118"/>
      <c r="AG764" s="631">
        <v>6.294937637564197</v>
      </c>
      <c r="AH764" s="604">
        <v>24408.415595060633</v>
      </c>
      <c r="AI764" s="599">
        <f t="shared" si="25"/>
        <v>24408.415595060633</v>
      </c>
      <c r="AJ764" s="1003"/>
      <c r="AK764" s="995"/>
      <c r="AM764" s="440"/>
      <c r="AN764" s="90"/>
      <c r="AO764" s="128"/>
    </row>
    <row r="765" spans="1:41" s="69" customFormat="1" ht="15" customHeight="1">
      <c r="A765" s="1027"/>
      <c r="B765" s="821"/>
      <c r="C765" s="525"/>
      <c r="D765" s="518" t="s">
        <v>796</v>
      </c>
      <c r="E765" s="320" t="s">
        <v>64</v>
      </c>
      <c r="F765" s="515" t="s">
        <v>151</v>
      </c>
      <c r="G765" s="119">
        <v>168.13499633162144</v>
      </c>
      <c r="H765" s="320" t="s">
        <v>64</v>
      </c>
      <c r="I765" s="515" t="s">
        <v>151</v>
      </c>
      <c r="J765" s="1030"/>
      <c r="K765" s="1064"/>
      <c r="L765" s="631">
        <v>8.53034776228907</v>
      </c>
      <c r="M765" s="225" t="s">
        <v>64</v>
      </c>
      <c r="N765" s="601"/>
      <c r="O765" s="601"/>
      <c r="P765" s="601"/>
      <c r="Q765" s="601"/>
      <c r="R765" s="601"/>
      <c r="S765" s="595">
        <v>8.53034776228907</v>
      </c>
      <c r="T765" s="604">
        <v>16538.072761028507</v>
      </c>
      <c r="U765" s="39" t="s">
        <v>50</v>
      </c>
      <c r="V765" s="595">
        <v>2.1857549523110786</v>
      </c>
      <c r="W765" s="595">
        <v>2.1857549523110786</v>
      </c>
      <c r="X765" s="604">
        <v>4237.5968068854881</v>
      </c>
      <c r="Y765" s="595">
        <v>1.1913074101247247</v>
      </c>
      <c r="Z765" s="595">
        <v>2309.6278344586731</v>
      </c>
      <c r="AA765" s="601"/>
      <c r="AB765" s="601"/>
      <c r="AC765" s="595">
        <v>1.7369801907556859</v>
      </c>
      <c r="AD765" s="628">
        <v>3367.5420486578341</v>
      </c>
      <c r="AE765" s="1117"/>
      <c r="AF765" s="1118"/>
      <c r="AG765" s="631">
        <v>8.53034776228907</v>
      </c>
      <c r="AH765" s="604">
        <v>33076.145522057013</v>
      </c>
      <c r="AI765" s="599">
        <f t="shared" si="25"/>
        <v>33076.145522057013</v>
      </c>
      <c r="AJ765" s="1003"/>
      <c r="AK765" s="995"/>
      <c r="AM765" s="440"/>
      <c r="AN765" s="90"/>
      <c r="AO765" s="128"/>
    </row>
    <row r="766" spans="1:41" s="69" customFormat="1" ht="15" customHeight="1">
      <c r="A766" s="1027"/>
      <c r="B766" s="821"/>
      <c r="C766" s="525"/>
      <c r="D766" s="518" t="s">
        <v>797</v>
      </c>
      <c r="E766" s="320" t="s">
        <v>64</v>
      </c>
      <c r="F766" s="515" t="s">
        <v>151</v>
      </c>
      <c r="G766" s="119">
        <v>3.2604548789435071</v>
      </c>
      <c r="H766" s="320" t="s">
        <v>64</v>
      </c>
      <c r="I766" s="515" t="s">
        <v>151</v>
      </c>
      <c r="J766" s="1030"/>
      <c r="K766" s="1064"/>
      <c r="L766" s="631">
        <v>5.8795099046221573</v>
      </c>
      <c r="M766" s="225" t="s">
        <v>64</v>
      </c>
      <c r="N766" s="601"/>
      <c r="O766" s="601"/>
      <c r="P766" s="601"/>
      <c r="Q766" s="601"/>
      <c r="R766" s="601"/>
      <c r="S766" s="595">
        <v>5.8795099046221573</v>
      </c>
      <c r="T766" s="604">
        <v>11398.804047789041</v>
      </c>
      <c r="U766" s="39" t="s">
        <v>50</v>
      </c>
      <c r="V766" s="595">
        <v>4.2385913426265596E-2</v>
      </c>
      <c r="W766" s="595">
        <v>4.2385913426265596E-2</v>
      </c>
      <c r="X766" s="604">
        <v>82.174999170037452</v>
      </c>
      <c r="Y766" s="595">
        <v>1.1151870873074101</v>
      </c>
      <c r="Z766" s="595">
        <v>2162.0507986300768</v>
      </c>
      <c r="AA766" s="601"/>
      <c r="AB766" s="601"/>
      <c r="AC766" s="595">
        <v>1.5847395451210564</v>
      </c>
      <c r="AD766" s="628">
        <v>3072.3879770006361</v>
      </c>
      <c r="AE766" s="1117"/>
      <c r="AF766" s="1118"/>
      <c r="AG766" s="631">
        <v>5.8795099046221573</v>
      </c>
      <c r="AH766" s="604">
        <v>22797.608095578082</v>
      </c>
      <c r="AI766" s="599">
        <f t="shared" si="25"/>
        <v>22797.608095578082</v>
      </c>
      <c r="AJ766" s="1003"/>
      <c r="AK766" s="995"/>
      <c r="AM766" s="440"/>
      <c r="AN766" s="90"/>
      <c r="AO766" s="128"/>
    </row>
    <row r="767" spans="1:41" s="69" customFormat="1" ht="15" customHeight="1">
      <c r="A767" s="1027"/>
      <c r="B767" s="821"/>
      <c r="C767" s="525"/>
      <c r="D767" s="518" t="s">
        <v>798</v>
      </c>
      <c r="E767" s="320" t="s">
        <v>64</v>
      </c>
      <c r="F767" s="515" t="s">
        <v>151</v>
      </c>
      <c r="G767" s="514">
        <v>195.64490095377843</v>
      </c>
      <c r="H767" s="320" t="s">
        <v>64</v>
      </c>
      <c r="I767" s="515" t="s">
        <v>151</v>
      </c>
      <c r="J767" s="1030"/>
      <c r="K767" s="1064"/>
      <c r="L767" s="631">
        <v>9.1630755685986802</v>
      </c>
      <c r="M767" s="225" t="s">
        <v>64</v>
      </c>
      <c r="N767" s="601"/>
      <c r="O767" s="601"/>
      <c r="P767" s="601"/>
      <c r="Q767" s="601"/>
      <c r="R767" s="601"/>
      <c r="S767" s="595">
        <v>9.1630755685986802</v>
      </c>
      <c r="T767" s="604">
        <v>17764.763488097509</v>
      </c>
      <c r="U767" s="39" t="s">
        <v>50</v>
      </c>
      <c r="V767" s="595">
        <v>2.5433837123991201</v>
      </c>
      <c r="W767" s="595">
        <v>2.5433837123991201</v>
      </c>
      <c r="X767" s="604">
        <v>4930.9437395766918</v>
      </c>
      <c r="Y767" s="595">
        <v>1.2325722670579604</v>
      </c>
      <c r="Z767" s="595">
        <v>2389.6294036153536</v>
      </c>
      <c r="AA767" s="601"/>
      <c r="AB767" s="601"/>
      <c r="AC767" s="595">
        <v>1.8195099046221568</v>
      </c>
      <c r="AD767" s="628">
        <v>3527.5451869711774</v>
      </c>
      <c r="AE767" s="1117"/>
      <c r="AF767" s="1118"/>
      <c r="AG767" s="631">
        <v>9.1630755685986802</v>
      </c>
      <c r="AH767" s="604">
        <v>35529.526976195019</v>
      </c>
      <c r="AI767" s="599">
        <f t="shared" si="25"/>
        <v>35529.526976195019</v>
      </c>
      <c r="AJ767" s="1003"/>
      <c r="AK767" s="995"/>
      <c r="AM767" s="440"/>
      <c r="AN767" s="90"/>
      <c r="AO767" s="128"/>
    </row>
    <row r="768" spans="1:41" s="69" customFormat="1" ht="15" customHeight="1">
      <c r="A768" s="1027"/>
      <c r="B768" s="821"/>
      <c r="C768" s="525"/>
      <c r="D768" s="518" t="s">
        <v>799</v>
      </c>
      <c r="E768" s="320" t="s">
        <v>64</v>
      </c>
      <c r="F768" s="515" t="s">
        <v>151</v>
      </c>
      <c r="G768" s="119">
        <v>5.8694057226705798</v>
      </c>
      <c r="H768" s="320" t="s">
        <v>64</v>
      </c>
      <c r="I768" s="515" t="s">
        <v>151</v>
      </c>
      <c r="J768" s="1030"/>
      <c r="K768" s="1064"/>
      <c r="L768" s="631">
        <v>5.9134262655906094</v>
      </c>
      <c r="M768" s="225" t="s">
        <v>64</v>
      </c>
      <c r="N768" s="601"/>
      <c r="O768" s="601"/>
      <c r="P768" s="601"/>
      <c r="Q768" s="601"/>
      <c r="R768" s="601"/>
      <c r="S768" s="595">
        <v>5.9134262655906094</v>
      </c>
      <c r="T768" s="604">
        <v>11464.55884010423</v>
      </c>
      <c r="U768" s="39" t="s">
        <v>50</v>
      </c>
      <c r="V768" s="595">
        <v>7.630227439471754E-2</v>
      </c>
      <c r="W768" s="595">
        <v>7.630227439471754E-2</v>
      </c>
      <c r="X768" s="604">
        <v>147.92979148521582</v>
      </c>
      <c r="Y768" s="595">
        <v>1.1151870873074101</v>
      </c>
      <c r="Z768" s="595">
        <v>2162.0507986300768</v>
      </c>
      <c r="AA768" s="601"/>
      <c r="AB768" s="601"/>
      <c r="AC768" s="595">
        <v>1.5847395451210564</v>
      </c>
      <c r="AD768" s="628">
        <v>3072.3879770006361</v>
      </c>
      <c r="AE768" s="1117"/>
      <c r="AF768" s="1118"/>
      <c r="AG768" s="631">
        <v>5.9134262655906094</v>
      </c>
      <c r="AH768" s="604">
        <v>22929.117680208459</v>
      </c>
      <c r="AI768" s="599">
        <f t="shared" si="25"/>
        <v>22929.117680208459</v>
      </c>
      <c r="AJ768" s="1003"/>
      <c r="AK768" s="995"/>
      <c r="AM768" s="440"/>
      <c r="AN768" s="90"/>
      <c r="AO768" s="128"/>
    </row>
    <row r="769" spans="1:42" s="69" customFormat="1" ht="15" customHeight="1">
      <c r="A769" s="1027"/>
      <c r="B769" s="821"/>
      <c r="C769" s="525"/>
      <c r="D769" s="223" t="s">
        <v>809</v>
      </c>
      <c r="E769" s="320" t="s">
        <v>64</v>
      </c>
      <c r="F769" s="515" t="s">
        <v>151</v>
      </c>
      <c r="G769" s="119">
        <v>351.4159941305943</v>
      </c>
      <c r="H769" s="320" t="s">
        <v>64</v>
      </c>
      <c r="I769" s="515" t="s">
        <v>151</v>
      </c>
      <c r="J769" s="1030"/>
      <c r="K769" s="1064"/>
      <c r="L769" s="631">
        <v>18.615216434336023</v>
      </c>
      <c r="M769" s="225" t="s">
        <v>64</v>
      </c>
      <c r="N769" s="601"/>
      <c r="O769" s="601"/>
      <c r="P769" s="601"/>
      <c r="Q769" s="601"/>
      <c r="R769" s="601"/>
      <c r="S769" s="595">
        <v>18.615216434336023</v>
      </c>
      <c r="T769" s="604">
        <v>36089.94761202213</v>
      </c>
      <c r="U769" s="39" t="s">
        <v>50</v>
      </c>
      <c r="V769" s="595">
        <v>4.568407923697726</v>
      </c>
      <c r="W769" s="595">
        <v>4.568407923697726</v>
      </c>
      <c r="X769" s="604">
        <v>8856.9264406985676</v>
      </c>
      <c r="Y769" s="595">
        <v>1.8536096845194425</v>
      </c>
      <c r="Z769" s="595">
        <v>3593.6555797466608</v>
      </c>
      <c r="AA769" s="601"/>
      <c r="AB769" s="601"/>
      <c r="AC769" s="595">
        <v>4.0476449009537774</v>
      </c>
      <c r="AD769" s="628">
        <v>7847.3056138119828</v>
      </c>
      <c r="AE769" s="1117"/>
      <c r="AF769" s="1118"/>
      <c r="AG769" s="631">
        <v>18.615216434336023</v>
      </c>
      <c r="AH769" s="604">
        <v>72179.89522404426</v>
      </c>
      <c r="AI769" s="599">
        <f t="shared" si="25"/>
        <v>72179.89522404426</v>
      </c>
      <c r="AJ769" s="1003"/>
      <c r="AK769" s="995"/>
      <c r="AM769" s="440"/>
      <c r="AN769" s="90"/>
      <c r="AO769" s="128"/>
    </row>
    <row r="770" spans="1:42" s="69" customFormat="1" ht="15" customHeight="1">
      <c r="A770" s="1027"/>
      <c r="B770" s="821"/>
      <c r="C770" s="525"/>
      <c r="D770" s="223" t="s">
        <v>810</v>
      </c>
      <c r="E770" s="320" t="s">
        <v>64</v>
      </c>
      <c r="F770" s="515" t="s">
        <v>151</v>
      </c>
      <c r="G770" s="119">
        <v>175.70799706529715</v>
      </c>
      <c r="H770" s="320" t="s">
        <v>64</v>
      </c>
      <c r="I770" s="515" t="s">
        <v>151</v>
      </c>
      <c r="J770" s="1030"/>
      <c r="K770" s="1064"/>
      <c r="L770" s="631">
        <v>9.2914673514306685</v>
      </c>
      <c r="M770" s="225" t="s">
        <v>64</v>
      </c>
      <c r="N770" s="601"/>
      <c r="O770" s="601"/>
      <c r="P770" s="601"/>
      <c r="Q770" s="601"/>
      <c r="R770" s="601"/>
      <c r="S770" s="595">
        <v>9.2914673514306685</v>
      </c>
      <c r="T770" s="604">
        <v>18013.680965504576</v>
      </c>
      <c r="U770" s="39" t="s">
        <v>50</v>
      </c>
      <c r="V770" s="595">
        <v>2.284203961848863</v>
      </c>
      <c r="W770" s="595">
        <v>2.284203961848863</v>
      </c>
      <c r="X770" s="604">
        <v>4428.4632203492838</v>
      </c>
      <c r="Y770" s="595">
        <v>1.2026669112252384</v>
      </c>
      <c r="Z770" s="595">
        <v>2331.6508821660336</v>
      </c>
      <c r="AA770" s="601"/>
      <c r="AB770" s="601"/>
      <c r="AC770" s="595">
        <v>1.9357813646368305</v>
      </c>
      <c r="AD770" s="628">
        <v>3752.9645859615107</v>
      </c>
      <c r="AE770" s="1117"/>
      <c r="AF770" s="1118"/>
      <c r="AG770" s="631">
        <v>9.2914673514306685</v>
      </c>
      <c r="AH770" s="604">
        <v>36027.361931009153</v>
      </c>
      <c r="AI770" s="599">
        <f t="shared" si="25"/>
        <v>36027.361931009153</v>
      </c>
      <c r="AJ770" s="1003"/>
      <c r="AK770" s="995"/>
      <c r="AM770" s="440"/>
      <c r="AN770" s="90"/>
      <c r="AO770" s="128"/>
    </row>
    <row r="771" spans="1:42" s="69" customFormat="1" ht="15" customHeight="1">
      <c r="A771" s="1027"/>
      <c r="B771" s="821"/>
      <c r="C771" s="525"/>
      <c r="D771" s="223" t="s">
        <v>811</v>
      </c>
      <c r="E771" s="320" t="s">
        <v>64</v>
      </c>
      <c r="F771" s="515" t="s">
        <v>151</v>
      </c>
      <c r="G771" s="119">
        <v>176.0821716801174</v>
      </c>
      <c r="H771" s="320" t="s">
        <v>64</v>
      </c>
      <c r="I771" s="515" t="s">
        <v>151</v>
      </c>
      <c r="J771" s="1030"/>
      <c r="K771" s="1064"/>
      <c r="L771" s="631">
        <v>9.3000733675715335</v>
      </c>
      <c r="M771" s="225" t="s">
        <v>64</v>
      </c>
      <c r="N771" s="601"/>
      <c r="O771" s="601"/>
      <c r="P771" s="601"/>
      <c r="Q771" s="601"/>
      <c r="R771" s="601"/>
      <c r="S771" s="595">
        <v>9.3000733675715335</v>
      </c>
      <c r="T771" s="604">
        <v>18030.365739101864</v>
      </c>
      <c r="U771" s="39" t="s">
        <v>50</v>
      </c>
      <c r="V771" s="595">
        <v>2.2890682318415263</v>
      </c>
      <c r="W771" s="595">
        <v>2.2890682318415263</v>
      </c>
      <c r="X771" s="604">
        <v>4437.8937445564698</v>
      </c>
      <c r="Y771" s="595">
        <v>1.2032281731474688</v>
      </c>
      <c r="Z771" s="595">
        <v>2332.7390195745597</v>
      </c>
      <c r="AA771" s="601"/>
      <c r="AB771" s="601"/>
      <c r="AC771" s="595">
        <v>1.9369038884812912</v>
      </c>
      <c r="AD771" s="628">
        <v>3755.1408607785593</v>
      </c>
      <c r="AE771" s="1117"/>
      <c r="AF771" s="1118"/>
      <c r="AG771" s="631">
        <v>9.3000733675715335</v>
      </c>
      <c r="AH771" s="604">
        <v>36060.731478203728</v>
      </c>
      <c r="AI771" s="599">
        <f t="shared" si="25"/>
        <v>36060.731478203728</v>
      </c>
      <c r="AJ771" s="1003"/>
      <c r="AK771" s="995"/>
      <c r="AM771" s="440"/>
      <c r="AN771" s="90"/>
      <c r="AO771" s="128"/>
    </row>
    <row r="772" spans="1:42" s="69" customFormat="1" ht="15" customHeight="1">
      <c r="A772" s="1027"/>
      <c r="B772" s="821"/>
      <c r="C772" s="525"/>
      <c r="D772" s="223" t="s">
        <v>812</v>
      </c>
      <c r="E772" s="320" t="s">
        <v>64</v>
      </c>
      <c r="F772" s="515" t="s">
        <v>151</v>
      </c>
      <c r="G772" s="119">
        <v>17.608217168011738</v>
      </c>
      <c r="H772" s="320" t="s">
        <v>64</v>
      </c>
      <c r="I772" s="515" t="s">
        <v>151</v>
      </c>
      <c r="J772" s="1030"/>
      <c r="K772" s="1064"/>
      <c r="L772" s="631">
        <v>6.6529713866471019</v>
      </c>
      <c r="M772" s="225" t="s">
        <v>64</v>
      </c>
      <c r="N772" s="601"/>
      <c r="O772" s="601"/>
      <c r="P772" s="601"/>
      <c r="Q772" s="601"/>
      <c r="R772" s="601"/>
      <c r="S772" s="595">
        <v>6.6529713866471019</v>
      </c>
      <c r="T772" s="604">
        <v>12898.339896037849</v>
      </c>
      <c r="U772" s="39" t="s">
        <v>50</v>
      </c>
      <c r="V772" s="595">
        <v>0.22890682318415259</v>
      </c>
      <c r="W772" s="595">
        <v>0.22890682318415259</v>
      </c>
      <c r="X772" s="604">
        <v>443.78937445564696</v>
      </c>
      <c r="Y772" s="595">
        <v>1.1151870873074101</v>
      </c>
      <c r="Z772" s="595">
        <v>2162.0507986300768</v>
      </c>
      <c r="AA772" s="601"/>
      <c r="AB772" s="601"/>
      <c r="AC772" s="595">
        <v>1.7608217168011739</v>
      </c>
      <c r="AD772" s="628">
        <v>3413.7644188895965</v>
      </c>
      <c r="AE772" s="1117"/>
      <c r="AF772" s="1118"/>
      <c r="AG772" s="631">
        <v>6.6529713866471019</v>
      </c>
      <c r="AH772" s="604">
        <v>25796.679792075698</v>
      </c>
      <c r="AI772" s="599">
        <f t="shared" si="25"/>
        <v>25796.679792075698</v>
      </c>
      <c r="AJ772" s="1003"/>
      <c r="AK772" s="995"/>
      <c r="AM772" s="440"/>
      <c r="AN772" s="90"/>
      <c r="AO772" s="128"/>
    </row>
    <row r="773" spans="1:42" s="69" customFormat="1" ht="15" customHeight="1">
      <c r="A773" s="1027"/>
      <c r="B773" s="821"/>
      <c r="C773" s="525"/>
      <c r="D773" s="223" t="s">
        <v>813</v>
      </c>
      <c r="E773" s="320" t="s">
        <v>64</v>
      </c>
      <c r="F773" s="515" t="s">
        <v>151</v>
      </c>
      <c r="G773" s="514">
        <v>326.0777696258254</v>
      </c>
      <c r="H773" s="320" t="s">
        <v>64</v>
      </c>
      <c r="I773" s="515" t="s">
        <v>151</v>
      </c>
      <c r="J773" s="1030"/>
      <c r="K773" s="1064"/>
      <c r="L773" s="631">
        <v>12.74997212032282</v>
      </c>
      <c r="M773" s="225" t="s">
        <v>64</v>
      </c>
      <c r="N773" s="601"/>
      <c r="O773" s="601"/>
      <c r="P773" s="601"/>
      <c r="Q773" s="601"/>
      <c r="R773" s="601"/>
      <c r="S773" s="595">
        <v>12.74997212032282</v>
      </c>
      <c r="T773" s="604">
        <v>24718.800745633434</v>
      </c>
      <c r="U773" s="39" t="s">
        <v>50</v>
      </c>
      <c r="V773" s="595">
        <v>4.2390110051357306</v>
      </c>
      <c r="W773" s="595">
        <v>4.2390110051357306</v>
      </c>
      <c r="X773" s="604">
        <v>8218.3135308569217</v>
      </c>
      <c r="Y773" s="595">
        <v>1.428221570066031</v>
      </c>
      <c r="Z773" s="595">
        <v>2768.9413026092179</v>
      </c>
      <c r="AA773" s="601"/>
      <c r="AB773" s="601"/>
      <c r="AC773" s="595">
        <v>2.3868906823184157</v>
      </c>
      <c r="AD773" s="628">
        <v>4627.5454268478879</v>
      </c>
      <c r="AE773" s="1117"/>
      <c r="AF773" s="1118"/>
      <c r="AG773" s="631">
        <v>12.74997212032282</v>
      </c>
      <c r="AH773" s="604">
        <v>49437.601491266869</v>
      </c>
      <c r="AI773" s="599">
        <f t="shared" si="25"/>
        <v>49437.601491266869</v>
      </c>
      <c r="AJ773" s="1003"/>
      <c r="AK773" s="995"/>
      <c r="AM773" s="440"/>
      <c r="AN773" s="90"/>
      <c r="AO773" s="128"/>
    </row>
    <row r="774" spans="1:42" s="69" customFormat="1" ht="15" customHeight="1">
      <c r="A774" s="1027"/>
      <c r="B774" s="821"/>
      <c r="C774" s="525"/>
      <c r="D774" s="223" t="s">
        <v>814</v>
      </c>
      <c r="E774" s="320" t="s">
        <v>64</v>
      </c>
      <c r="F774" s="515" t="s">
        <v>151</v>
      </c>
      <c r="G774" s="514">
        <v>3260.7806309611151</v>
      </c>
      <c r="H774" s="320" t="s">
        <v>64</v>
      </c>
      <c r="I774" s="515" t="s">
        <v>151</v>
      </c>
      <c r="J774" s="1030"/>
      <c r="K774" s="1064"/>
      <c r="L774" s="631">
        <v>80.248137931034478</v>
      </c>
      <c r="M774" s="225" t="s">
        <v>64</v>
      </c>
      <c r="N774" s="601"/>
      <c r="O774" s="601"/>
      <c r="P774" s="601"/>
      <c r="Q774" s="601"/>
      <c r="R774" s="601"/>
      <c r="S774" s="595">
        <v>80.248137931034478</v>
      </c>
      <c r="T774" s="604">
        <v>155579.77013640135</v>
      </c>
      <c r="U774" s="39" t="s">
        <v>50</v>
      </c>
      <c r="V774" s="595">
        <v>42.390148202494501</v>
      </c>
      <c r="W774" s="595">
        <v>42.390148202494501</v>
      </c>
      <c r="X774" s="604">
        <v>82183.209273464803</v>
      </c>
      <c r="Y774" s="595">
        <v>5.8302758620689659</v>
      </c>
      <c r="Z774" s="595">
        <v>11303.352349833202</v>
      </c>
      <c r="AA774" s="601"/>
      <c r="AB774" s="601"/>
      <c r="AC774" s="595">
        <v>11.190999266324285</v>
      </c>
      <c r="AD774" s="628">
        <v>21696.367521295906</v>
      </c>
      <c r="AE774" s="1117"/>
      <c r="AF774" s="1118"/>
      <c r="AG774" s="631">
        <v>80.248137931034478</v>
      </c>
      <c r="AH774" s="604">
        <v>311159.5402728027</v>
      </c>
      <c r="AI774" s="599">
        <f t="shared" si="25"/>
        <v>311159.5402728027</v>
      </c>
      <c r="AJ774" s="1003"/>
      <c r="AK774" s="995"/>
      <c r="AM774" s="440"/>
      <c r="AN774" s="90"/>
      <c r="AO774" s="128"/>
    </row>
    <row r="775" spans="1:42" s="69" customFormat="1" ht="15" customHeight="1">
      <c r="A775" s="1027"/>
      <c r="B775" s="821"/>
      <c r="C775" s="525"/>
      <c r="D775" s="223" t="s">
        <v>815</v>
      </c>
      <c r="E775" s="320" t="s">
        <v>64</v>
      </c>
      <c r="F775" s="515" t="s">
        <v>151</v>
      </c>
      <c r="G775" s="514">
        <v>195.64490095377843</v>
      </c>
      <c r="H775" s="320" t="s">
        <v>64</v>
      </c>
      <c r="I775" s="515" t="s">
        <v>151</v>
      </c>
      <c r="J775" s="1030"/>
      <c r="K775" s="1064"/>
      <c r="L775" s="631">
        <v>9.7500161408657373</v>
      </c>
      <c r="M775" s="225" t="s">
        <v>64</v>
      </c>
      <c r="N775" s="601"/>
      <c r="O775" s="601"/>
      <c r="P775" s="601"/>
      <c r="Q775" s="601"/>
      <c r="R775" s="601"/>
      <c r="S775" s="595">
        <v>9.7500161408657373</v>
      </c>
      <c r="T775" s="604">
        <v>18902.684961060742</v>
      </c>
      <c r="U775" s="39" t="s">
        <v>50</v>
      </c>
      <c r="V775" s="595">
        <v>2.5433837123991201</v>
      </c>
      <c r="W775" s="595">
        <v>2.5433837123991201</v>
      </c>
      <c r="X775" s="604">
        <v>4930.9437395766918</v>
      </c>
      <c r="Y775" s="595">
        <v>1.2325722670579604</v>
      </c>
      <c r="Z775" s="595">
        <v>2389.6294036153536</v>
      </c>
      <c r="AA775" s="601"/>
      <c r="AB775" s="601"/>
      <c r="AC775" s="595">
        <v>1.9955920763022743</v>
      </c>
      <c r="AD775" s="628">
        <v>3868.9216288601533</v>
      </c>
      <c r="AE775" s="1117"/>
      <c r="AF775" s="1118"/>
      <c r="AG775" s="631">
        <v>9.7500161408657373</v>
      </c>
      <c r="AH775" s="604">
        <v>37805.369922121485</v>
      </c>
      <c r="AI775" s="599">
        <f t="shared" si="25"/>
        <v>37805.369922121485</v>
      </c>
      <c r="AJ775" s="1003"/>
      <c r="AK775" s="995"/>
      <c r="AM775" s="440"/>
      <c r="AN775" s="90"/>
      <c r="AO775" s="128"/>
    </row>
    <row r="776" spans="1:42" s="69" customFormat="1" ht="15" customHeight="1">
      <c r="A776" s="1027"/>
      <c r="B776" s="821"/>
      <c r="C776" s="525"/>
      <c r="D776" s="223" t="s">
        <v>816</v>
      </c>
      <c r="E776" s="320" t="s">
        <v>64</v>
      </c>
      <c r="F776" s="515" t="s">
        <v>151</v>
      </c>
      <c r="G776" s="514">
        <v>6.5209097578870141</v>
      </c>
      <c r="H776" s="320" t="s">
        <v>64</v>
      </c>
      <c r="I776" s="515" t="s">
        <v>151</v>
      </c>
      <c r="J776" s="1030"/>
      <c r="K776" s="1064"/>
      <c r="L776" s="631">
        <v>6.5088363903154809</v>
      </c>
      <c r="M776" s="225" t="s">
        <v>64</v>
      </c>
      <c r="N776" s="601"/>
      <c r="O776" s="601"/>
      <c r="P776" s="601"/>
      <c r="Q776" s="601"/>
      <c r="R776" s="601"/>
      <c r="S776" s="595">
        <v>6.5088363903154809</v>
      </c>
      <c r="T776" s="604">
        <v>12618.900519922316</v>
      </c>
      <c r="U776" s="39" t="s">
        <v>50</v>
      </c>
      <c r="V776" s="595">
        <v>8.4771826852531193E-2</v>
      </c>
      <c r="W776" s="595">
        <v>8.4771826852531193E-2</v>
      </c>
      <c r="X776" s="604">
        <v>164.3499983400749</v>
      </c>
      <c r="Y776" s="595">
        <v>1.1151870873074101</v>
      </c>
      <c r="Z776" s="595">
        <v>2162.0507986300768</v>
      </c>
      <c r="AA776" s="601"/>
      <c r="AB776" s="601"/>
      <c r="AC776" s="595">
        <v>1.7608217168011739</v>
      </c>
      <c r="AD776" s="628">
        <v>3413.7644188895965</v>
      </c>
      <c r="AE776" s="1117"/>
      <c r="AF776" s="1118"/>
      <c r="AG776" s="631">
        <v>6.5088363903154809</v>
      </c>
      <c r="AH776" s="604">
        <v>25237.801039844631</v>
      </c>
      <c r="AI776" s="599">
        <f t="shared" si="25"/>
        <v>25237.801039844631</v>
      </c>
      <c r="AJ776" s="1003"/>
      <c r="AK776" s="995"/>
      <c r="AM776" s="440"/>
      <c r="AN776" s="90"/>
      <c r="AO776" s="128"/>
    </row>
    <row r="777" spans="1:42" s="69" customFormat="1" ht="15" customHeight="1" thickBot="1">
      <c r="A777" s="1028"/>
      <c r="B777" s="745"/>
      <c r="C777" s="527"/>
      <c r="D777" s="223" t="s">
        <v>820</v>
      </c>
      <c r="E777" s="226" t="s">
        <v>64</v>
      </c>
      <c r="F777" s="516" t="s">
        <v>151</v>
      </c>
      <c r="G777" s="28">
        <v>14.673514306676449</v>
      </c>
      <c r="H777" s="226" t="s">
        <v>64</v>
      </c>
      <c r="I777" s="516" t="s">
        <v>151</v>
      </c>
      <c r="J777" s="1031"/>
      <c r="K777" s="1064"/>
      <c r="L777" s="632">
        <v>6.6148202494497435</v>
      </c>
      <c r="M777" s="226" t="s">
        <v>64</v>
      </c>
      <c r="N777" s="602"/>
      <c r="O777" s="602"/>
      <c r="P777" s="602"/>
      <c r="Q777" s="602"/>
      <c r="R777" s="602"/>
      <c r="S777" s="596">
        <v>6.6148202494497435</v>
      </c>
      <c r="T777" s="605">
        <v>12824.375000295246</v>
      </c>
      <c r="U777" s="219" t="s">
        <v>50</v>
      </c>
      <c r="V777" s="596">
        <v>0.19075568598679385</v>
      </c>
      <c r="W777" s="596">
        <v>0.19075568598679385</v>
      </c>
      <c r="X777" s="605">
        <v>369.82447871303947</v>
      </c>
      <c r="Y777" s="596">
        <v>1.1151870873074101</v>
      </c>
      <c r="Z777" s="596">
        <v>2162.0507986300768</v>
      </c>
      <c r="AA777" s="602"/>
      <c r="AB777" s="602"/>
      <c r="AC777" s="596">
        <v>1.7608217168011739</v>
      </c>
      <c r="AD777" s="629">
        <v>3413.7644188895965</v>
      </c>
      <c r="AE777" s="1117"/>
      <c r="AF777" s="1118"/>
      <c r="AG777" s="632">
        <v>6.6148202494497435</v>
      </c>
      <c r="AH777" s="605">
        <v>25648.750000590491</v>
      </c>
      <c r="AI777" s="597">
        <f t="shared" si="25"/>
        <v>25648.750000590491</v>
      </c>
      <c r="AJ777" s="1004"/>
      <c r="AK777" s="996"/>
      <c r="AM777" s="440"/>
      <c r="AN777" s="90"/>
      <c r="AO777" s="128"/>
    </row>
    <row r="778" spans="1:42" s="10" customFormat="1" ht="12.75" customHeight="1">
      <c r="A778" s="1038" t="s">
        <v>40</v>
      </c>
      <c r="B778" s="465" t="s">
        <v>151</v>
      </c>
      <c r="C778" s="386" t="s">
        <v>151</v>
      </c>
      <c r="D778" s="222" t="s">
        <v>414</v>
      </c>
      <c r="E778" s="222" t="s">
        <v>417</v>
      </c>
      <c r="F778" s="223" t="s">
        <v>0</v>
      </c>
      <c r="G778" s="425">
        <f>74*3*66.612</f>
        <v>14787.864</v>
      </c>
      <c r="H778" s="430">
        <v>14787.86</v>
      </c>
      <c r="I778" s="430">
        <v>14787.86</v>
      </c>
      <c r="J778" s="1204" t="s">
        <v>419</v>
      </c>
      <c r="K778" s="1064"/>
      <c r="L778" s="209">
        <v>804.99659999999994</v>
      </c>
      <c r="M778" s="12">
        <v>639.17999999999995</v>
      </c>
      <c r="N778" s="115"/>
      <c r="O778" s="115"/>
      <c r="P778" s="115"/>
      <c r="Q778" s="115"/>
      <c r="R778" s="174"/>
      <c r="S778" s="873">
        <v>165.81659999999999</v>
      </c>
      <c r="T778" s="117">
        <v>1337.3189436465896</v>
      </c>
      <c r="U778" s="120"/>
      <c r="V778" s="120"/>
      <c r="W778" s="120"/>
      <c r="X778" s="161"/>
      <c r="Y778" s="120">
        <v>18.998155199999992</v>
      </c>
      <c r="Z778" s="117">
        <v>153.22104568117996</v>
      </c>
      <c r="AA778" s="115"/>
      <c r="AB778" s="174"/>
      <c r="AC778" s="120">
        <v>51.560028799999998</v>
      </c>
      <c r="AD778" s="177">
        <v>415.83413994258507</v>
      </c>
      <c r="AE778" s="1117"/>
      <c r="AF778" s="1118"/>
      <c r="AG778" s="209">
        <v>165.81659999999999</v>
      </c>
      <c r="AH778" s="177">
        <v>2674.6378872931791</v>
      </c>
      <c r="AI778" s="177">
        <f>AH778</f>
        <v>2674.6378872931791</v>
      </c>
      <c r="AJ778" s="975">
        <v>46165</v>
      </c>
      <c r="AK778" s="978">
        <f>SUM(AI778:AI790)</f>
        <v>122935.22323215505</v>
      </c>
      <c r="AL778" s="1005">
        <f>AK778+AK791+AK811+AK826</f>
        <v>256615.29023859912</v>
      </c>
      <c r="AM778" s="850"/>
      <c r="AN778" s="86"/>
      <c r="AO778" s="104"/>
    </row>
    <row r="779" spans="1:42" s="10" customFormat="1" ht="15" customHeight="1">
      <c r="A779" s="1039"/>
      <c r="B779" s="608"/>
      <c r="C779" s="609"/>
      <c r="D779" s="223" t="s">
        <v>809</v>
      </c>
      <c r="E779" s="225" t="s">
        <v>64</v>
      </c>
      <c r="F779" s="607" t="s">
        <v>64</v>
      </c>
      <c r="G779" s="426">
        <f>74*66.612</f>
        <v>4929.2879999999996</v>
      </c>
      <c r="H779" s="225" t="s">
        <v>64</v>
      </c>
      <c r="I779" s="607" t="s">
        <v>64</v>
      </c>
      <c r="J779" s="1205"/>
      <c r="K779" s="1064"/>
      <c r="L779" s="209">
        <v>178.23219999999998</v>
      </c>
      <c r="M779" s="225" t="s">
        <v>64</v>
      </c>
      <c r="N779" s="115"/>
      <c r="O779" s="115"/>
      <c r="P779" s="115"/>
      <c r="Q779" s="115"/>
      <c r="R779" s="174"/>
      <c r="S779" s="633">
        <v>178.23219999999998</v>
      </c>
      <c r="T779" s="117">
        <v>1437.4513614909943</v>
      </c>
      <c r="U779" s="607" t="s">
        <v>64</v>
      </c>
      <c r="V779" s="120"/>
      <c r="W779" s="120">
        <v>64.080743999999996</v>
      </c>
      <c r="X779" s="161">
        <v>516.81431698736753</v>
      </c>
      <c r="Y779" s="120">
        <v>13.192718399999999</v>
      </c>
      <c r="Z779" s="117">
        <v>106.39991553629079</v>
      </c>
      <c r="AA779" s="115"/>
      <c r="AB779" s="174"/>
      <c r="AC779" s="120">
        <v>38.903009600000004</v>
      </c>
      <c r="AD779" s="177">
        <v>313.75466450852997</v>
      </c>
      <c r="AE779" s="1117"/>
      <c r="AF779" s="1118"/>
      <c r="AG779" s="209">
        <v>178.23219999999998</v>
      </c>
      <c r="AH779" s="177">
        <v>2874.9027229819885</v>
      </c>
      <c r="AI779" s="177">
        <f t="shared" ref="AI779:AI806" si="26">AH779</f>
        <v>2874.9027229819885</v>
      </c>
      <c r="AJ779" s="976"/>
      <c r="AK779" s="979"/>
      <c r="AL779" s="1006"/>
      <c r="AM779" s="850"/>
      <c r="AN779" s="86"/>
      <c r="AO779" s="104"/>
    </row>
    <row r="780" spans="1:42" s="10" customFormat="1" ht="15" customHeight="1">
      <c r="A780" s="1039"/>
      <c r="B780" s="608"/>
      <c r="C780" s="609"/>
      <c r="D780" s="223" t="s">
        <v>810</v>
      </c>
      <c r="E780" s="225" t="s">
        <v>64</v>
      </c>
      <c r="F780" s="607" t="s">
        <v>64</v>
      </c>
      <c r="G780" s="426">
        <f>G785/15</f>
        <v>5316.2150000000001</v>
      </c>
      <c r="H780" s="225" t="s">
        <v>64</v>
      </c>
      <c r="I780" s="607" t="s">
        <v>64</v>
      </c>
      <c r="J780" s="1205"/>
      <c r="K780" s="1064"/>
      <c r="L780" s="209">
        <v>187.90537499999999</v>
      </c>
      <c r="M780" s="225" t="s">
        <v>64</v>
      </c>
      <c r="N780" s="115"/>
      <c r="O780" s="115"/>
      <c r="P780" s="115"/>
      <c r="Q780" s="115"/>
      <c r="R780" s="174"/>
      <c r="S780" s="633">
        <v>187.90537499999999</v>
      </c>
      <c r="T780" s="117">
        <v>1515.4659883299742</v>
      </c>
      <c r="U780" s="607" t="s">
        <v>64</v>
      </c>
      <c r="V780" s="120"/>
      <c r="W780" s="120">
        <v>69.11079500000001</v>
      </c>
      <c r="X780" s="161">
        <v>557.38192294363705</v>
      </c>
      <c r="Y780" s="120">
        <v>13.889187</v>
      </c>
      <c r="Z780" s="117">
        <v>112.01696866869732</v>
      </c>
      <c r="AA780" s="115"/>
      <c r="AB780" s="174"/>
      <c r="AC780" s="120">
        <v>40.528102999999994</v>
      </c>
      <c r="AD780" s="177">
        <v>326.86112181747905</v>
      </c>
      <c r="AE780" s="1117"/>
      <c r="AF780" s="1118"/>
      <c r="AG780" s="209">
        <v>187.90537499999999</v>
      </c>
      <c r="AH780" s="177">
        <v>3030.9319766599483</v>
      </c>
      <c r="AI780" s="177">
        <f t="shared" si="26"/>
        <v>3030.9319766599483</v>
      </c>
      <c r="AJ780" s="976"/>
      <c r="AK780" s="979"/>
      <c r="AL780" s="1006"/>
      <c r="AM780" s="850"/>
      <c r="AN780" s="86"/>
      <c r="AO780" s="104"/>
    </row>
    <row r="781" spans="1:42" s="10" customFormat="1" ht="15" customHeight="1">
      <c r="A781" s="1039"/>
      <c r="B781" s="608"/>
      <c r="C781" s="609"/>
      <c r="D781" s="223" t="s">
        <v>811</v>
      </c>
      <c r="E781" s="225" t="s">
        <v>64</v>
      </c>
      <c r="F781" s="607" t="s">
        <v>64</v>
      </c>
      <c r="G781" s="426">
        <f>G780*10%</f>
        <v>531.62150000000008</v>
      </c>
      <c r="H781" s="225" t="s">
        <v>64</v>
      </c>
      <c r="I781" s="607" t="s">
        <v>64</v>
      </c>
      <c r="J781" s="1205"/>
      <c r="K781" s="1064"/>
      <c r="L781" s="209">
        <v>68.290537499999999</v>
      </c>
      <c r="M781" s="225" t="s">
        <v>64</v>
      </c>
      <c r="N781" s="115"/>
      <c r="O781" s="115"/>
      <c r="P781" s="115"/>
      <c r="Q781" s="115"/>
      <c r="R781" s="174"/>
      <c r="S781" s="633">
        <v>68.290537499999999</v>
      </c>
      <c r="T781" s="117">
        <v>550.76650631214113</v>
      </c>
      <c r="U781" s="607" t="s">
        <v>64</v>
      </c>
      <c r="V781" s="120"/>
      <c r="W781" s="120">
        <v>6.9110795000000014</v>
      </c>
      <c r="X781" s="161">
        <v>55.738192294363735</v>
      </c>
      <c r="Y781" s="120">
        <v>5.2769186999999995</v>
      </c>
      <c r="Z781" s="117">
        <v>42.558605963413406</v>
      </c>
      <c r="AA781" s="115"/>
      <c r="AB781" s="174"/>
      <c r="AC781" s="120">
        <v>20.4328103</v>
      </c>
      <c r="AD781" s="177">
        <v>164.79160883848272</v>
      </c>
      <c r="AE781" s="1117"/>
      <c r="AF781" s="1118"/>
      <c r="AG781" s="209">
        <v>68.290537499999999</v>
      </c>
      <c r="AH781" s="177">
        <v>1101.5330126242823</v>
      </c>
      <c r="AI781" s="177">
        <f t="shared" si="26"/>
        <v>1101.5330126242823</v>
      </c>
      <c r="AJ781" s="976"/>
      <c r="AK781" s="979"/>
      <c r="AL781" s="1006"/>
      <c r="AM781" s="850"/>
      <c r="AN781" s="86"/>
      <c r="AO781" s="104"/>
    </row>
    <row r="782" spans="1:42" s="10" customFormat="1" ht="15" customHeight="1">
      <c r="A782" s="1039"/>
      <c r="B782" s="608"/>
      <c r="C782" s="609"/>
      <c r="D782" s="223" t="s">
        <v>812</v>
      </c>
      <c r="E782" s="225" t="s">
        <v>64</v>
      </c>
      <c r="F782" s="607" t="s">
        <v>64</v>
      </c>
      <c r="G782" s="426">
        <v>120000</v>
      </c>
      <c r="H782" s="225" t="s">
        <v>64</v>
      </c>
      <c r="I782" s="607" t="s">
        <v>64</v>
      </c>
      <c r="J782" s="1205"/>
      <c r="K782" s="1064"/>
      <c r="L782" s="209">
        <v>3055.0000000000005</v>
      </c>
      <c r="M782" s="225" t="s">
        <v>64</v>
      </c>
      <c r="N782" s="115"/>
      <c r="O782" s="115"/>
      <c r="P782" s="115"/>
      <c r="Q782" s="115"/>
      <c r="R782" s="174"/>
      <c r="S782" s="633">
        <v>3055.0000000000005</v>
      </c>
      <c r="T782" s="117">
        <v>24638.723582803697</v>
      </c>
      <c r="U782" s="607" t="s">
        <v>64</v>
      </c>
      <c r="V782" s="120"/>
      <c r="W782" s="120">
        <v>1560.0000000000002</v>
      </c>
      <c r="X782" s="161">
        <v>12581.475872069985</v>
      </c>
      <c r="Y782" s="120">
        <v>220.32000000000002</v>
      </c>
      <c r="Z782" s="117">
        <v>1776.8915154708061</v>
      </c>
      <c r="AA782" s="115"/>
      <c r="AB782" s="174"/>
      <c r="AC782" s="120">
        <v>522.19999999999993</v>
      </c>
      <c r="AD782" s="177">
        <v>4211.5683976890659</v>
      </c>
      <c r="AE782" s="1117"/>
      <c r="AF782" s="1118"/>
      <c r="AG782" s="209">
        <v>3055.0000000000005</v>
      </c>
      <c r="AH782" s="177">
        <v>49277.447165607395</v>
      </c>
      <c r="AI782" s="177">
        <f t="shared" si="26"/>
        <v>49277.447165607395</v>
      </c>
      <c r="AJ782" s="976"/>
      <c r="AK782" s="979"/>
      <c r="AL782" s="1006"/>
      <c r="AM782" s="850"/>
      <c r="AN782" s="86"/>
      <c r="AO782" s="104"/>
    </row>
    <row r="783" spans="1:42" s="10" customFormat="1" ht="15" customHeight="1">
      <c r="A783" s="1039"/>
      <c r="B783" s="608"/>
      <c r="C783" s="609"/>
      <c r="D783" s="223" t="s">
        <v>813</v>
      </c>
      <c r="E783" s="225" t="s">
        <v>64</v>
      </c>
      <c r="F783" s="607" t="s">
        <v>64</v>
      </c>
      <c r="G783" s="426">
        <f>G782*10%</f>
        <v>12000</v>
      </c>
      <c r="H783" s="225" t="s">
        <v>64</v>
      </c>
      <c r="I783" s="607" t="s">
        <v>64</v>
      </c>
      <c r="J783" s="1205"/>
      <c r="K783" s="1064"/>
      <c r="L783" s="211">
        <v>355.00000000000006</v>
      </c>
      <c r="M783" s="225" t="s">
        <v>64</v>
      </c>
      <c r="N783" s="188"/>
      <c r="O783" s="188"/>
      <c r="P783" s="188"/>
      <c r="Q783" s="188"/>
      <c r="R783" s="214"/>
      <c r="S783" s="633">
        <v>355.00000000000006</v>
      </c>
      <c r="T783" s="157">
        <v>2863.0922657595161</v>
      </c>
      <c r="U783" s="607" t="s">
        <v>64</v>
      </c>
      <c r="V783" s="7"/>
      <c r="W783" s="7">
        <v>156</v>
      </c>
      <c r="X783" s="157">
        <v>1258.1475872069984</v>
      </c>
      <c r="Y783" s="7">
        <v>25.919999999999998</v>
      </c>
      <c r="Z783" s="157">
        <v>209.04606064362429</v>
      </c>
      <c r="AA783" s="188"/>
      <c r="AB783" s="214"/>
      <c r="AC783" s="7">
        <v>68.599999999999994</v>
      </c>
      <c r="AD783" s="176">
        <v>553.26233642564159</v>
      </c>
      <c r="AE783" s="1117"/>
      <c r="AF783" s="1118"/>
      <c r="AG783" s="209">
        <v>355.00000000000006</v>
      </c>
      <c r="AH783" s="177">
        <v>5726.1845315190321</v>
      </c>
      <c r="AI783" s="177">
        <f t="shared" si="26"/>
        <v>5726.1845315190321</v>
      </c>
      <c r="AJ783" s="976"/>
      <c r="AK783" s="979"/>
      <c r="AL783" s="1006"/>
      <c r="AM783" s="440"/>
      <c r="AN783" s="90"/>
      <c r="AO783" s="86"/>
      <c r="AP783" s="104"/>
    </row>
    <row r="784" spans="1:42" s="10" customFormat="1" ht="15" customHeight="1">
      <c r="A784" s="1039"/>
      <c r="B784" s="608"/>
      <c r="C784" s="609"/>
      <c r="D784" s="223" t="s">
        <v>814</v>
      </c>
      <c r="E784" s="320" t="s">
        <v>64</v>
      </c>
      <c r="F784" s="607" t="s">
        <v>64</v>
      </c>
      <c r="G784" s="428">
        <v>3000</v>
      </c>
      <c r="H784" s="225" t="s">
        <v>64</v>
      </c>
      <c r="I784" s="607" t="s">
        <v>64</v>
      </c>
      <c r="J784" s="1205"/>
      <c r="K784" s="1064"/>
      <c r="L784" s="211">
        <v>130</v>
      </c>
      <c r="M784" s="225" t="s">
        <v>64</v>
      </c>
      <c r="N784" s="188"/>
      <c r="O784" s="188"/>
      <c r="P784" s="188"/>
      <c r="Q784" s="188"/>
      <c r="R784" s="214"/>
      <c r="S784" s="633">
        <v>130</v>
      </c>
      <c r="T784" s="157">
        <v>1048.4563226724977</v>
      </c>
      <c r="U784" s="607" t="s">
        <v>64</v>
      </c>
      <c r="V784" s="7"/>
      <c r="W784" s="7">
        <v>39</v>
      </c>
      <c r="X784" s="157">
        <v>314.53689680174961</v>
      </c>
      <c r="Y784" s="7">
        <v>9.7200000000000006</v>
      </c>
      <c r="Z784" s="157">
        <v>78.392272741359008</v>
      </c>
      <c r="AA784" s="188"/>
      <c r="AB784" s="214"/>
      <c r="AC784" s="7">
        <v>30.799999999999997</v>
      </c>
      <c r="AD784" s="176">
        <v>248.40349798702292</v>
      </c>
      <c r="AE784" s="1117"/>
      <c r="AF784" s="1118"/>
      <c r="AG784" s="209">
        <v>130</v>
      </c>
      <c r="AH784" s="177">
        <v>2096.9126453449953</v>
      </c>
      <c r="AI784" s="177">
        <f t="shared" si="26"/>
        <v>2096.9126453449953</v>
      </c>
      <c r="AJ784" s="976"/>
      <c r="AK784" s="979"/>
      <c r="AL784" s="1006"/>
      <c r="AM784" s="440"/>
      <c r="AN784" s="90"/>
      <c r="AO784" s="86"/>
      <c r="AP784" s="104"/>
    </row>
    <row r="785" spans="1:42" s="10" customFormat="1" ht="15.75" customHeight="1">
      <c r="A785" s="1039"/>
      <c r="B785" s="608"/>
      <c r="C785" s="609"/>
      <c r="D785" s="223" t="s">
        <v>815</v>
      </c>
      <c r="E785" s="320" t="s">
        <v>64</v>
      </c>
      <c r="F785" s="607" t="s">
        <v>64</v>
      </c>
      <c r="G785" s="430">
        <f>G786*2.5</f>
        <v>79743.225000000006</v>
      </c>
      <c r="H785" s="225" t="s">
        <v>64</v>
      </c>
      <c r="I785" s="607" t="s">
        <v>64</v>
      </c>
      <c r="J785" s="1205"/>
      <c r="K785" s="1064"/>
      <c r="L785" s="211">
        <v>2048.5806250000001</v>
      </c>
      <c r="M785" s="225" t="s">
        <v>64</v>
      </c>
      <c r="N785" s="188"/>
      <c r="O785" s="188"/>
      <c r="P785" s="188"/>
      <c r="Q785" s="188"/>
      <c r="R785" s="214"/>
      <c r="S785" s="633">
        <v>2048.5806250000001</v>
      </c>
      <c r="T785" s="157">
        <v>16521.90237527405</v>
      </c>
      <c r="U785" s="607" t="s">
        <v>64</v>
      </c>
      <c r="V785" s="7"/>
      <c r="W785" s="7">
        <v>1036.6619250000001</v>
      </c>
      <c r="X785" s="157">
        <v>8360.7288441545625</v>
      </c>
      <c r="Y785" s="7">
        <v>147.85780499999998</v>
      </c>
      <c r="Z785" s="157">
        <v>1192.4803885286742</v>
      </c>
      <c r="AA785" s="188"/>
      <c r="AB785" s="214"/>
      <c r="AC785" s="7">
        <v>353.12154500000003</v>
      </c>
      <c r="AD785" s="176">
        <v>2847.9424348240882</v>
      </c>
      <c r="AE785" s="1117"/>
      <c r="AF785" s="1118"/>
      <c r="AG785" s="211">
        <v>2048.5806250000001</v>
      </c>
      <c r="AH785" s="157">
        <v>33043.804750548101</v>
      </c>
      <c r="AI785" s="176">
        <f t="shared" si="26"/>
        <v>33043.804750548101</v>
      </c>
      <c r="AJ785" s="976"/>
      <c r="AK785" s="979"/>
      <c r="AL785" s="1006"/>
      <c r="AM785" s="440"/>
      <c r="AN785" s="90"/>
      <c r="AO785" s="86"/>
      <c r="AP785" s="104"/>
    </row>
    <row r="786" spans="1:42" s="10" customFormat="1" ht="15" customHeight="1">
      <c r="A786" s="1039"/>
      <c r="B786" s="608"/>
      <c r="C786" s="609"/>
      <c r="D786" s="223" t="s">
        <v>816</v>
      </c>
      <c r="E786" s="320" t="s">
        <v>64</v>
      </c>
      <c r="F786" s="607" t="s">
        <v>64</v>
      </c>
      <c r="G786" s="430">
        <v>31897.29</v>
      </c>
      <c r="H786" s="225" t="s">
        <v>64</v>
      </c>
      <c r="I786" s="607" t="s">
        <v>64</v>
      </c>
      <c r="J786" s="1205"/>
      <c r="K786" s="1064"/>
      <c r="L786" s="211">
        <v>852.43225000000007</v>
      </c>
      <c r="M786" s="225" t="s">
        <v>64</v>
      </c>
      <c r="N786" s="188"/>
      <c r="O786" s="188"/>
      <c r="P786" s="188"/>
      <c r="Q786" s="188"/>
      <c r="R786" s="214"/>
      <c r="S786" s="633">
        <v>852.43225000000007</v>
      </c>
      <c r="T786" s="157">
        <v>6874.9075550957195</v>
      </c>
      <c r="U786" s="607" t="s">
        <v>64</v>
      </c>
      <c r="V786" s="7"/>
      <c r="W786" s="7">
        <v>414.66477000000003</v>
      </c>
      <c r="X786" s="157">
        <v>3344.2915376618266</v>
      </c>
      <c r="Y786" s="7">
        <v>61.735122000000004</v>
      </c>
      <c r="Z786" s="157">
        <v>497.896761475831</v>
      </c>
      <c r="AA786" s="188"/>
      <c r="AB786" s="214"/>
      <c r="AC786" s="7">
        <v>152.16861800000001</v>
      </c>
      <c r="AD786" s="176">
        <v>1227.2473050341221</v>
      </c>
      <c r="AE786" s="1117"/>
      <c r="AF786" s="1118"/>
      <c r="AG786" s="211">
        <v>852.43225000000007</v>
      </c>
      <c r="AH786" s="157">
        <v>13749.815110191439</v>
      </c>
      <c r="AI786" s="176">
        <f t="shared" si="26"/>
        <v>13749.815110191439</v>
      </c>
      <c r="AJ786" s="976"/>
      <c r="AK786" s="979"/>
      <c r="AL786" s="1006"/>
      <c r="AM786" s="440"/>
      <c r="AN786" s="107"/>
      <c r="AO786" s="86"/>
      <c r="AP786" s="104"/>
    </row>
    <row r="787" spans="1:42" s="10" customFormat="1" ht="15" customHeight="1">
      <c r="A787" s="1039"/>
      <c r="B787" s="610"/>
      <c r="C787" s="611"/>
      <c r="D787" s="223" t="s">
        <v>820</v>
      </c>
      <c r="E787" s="320" t="s">
        <v>64</v>
      </c>
      <c r="F787" s="607" t="s">
        <v>64</v>
      </c>
      <c r="G787" s="427">
        <f>40*66.612</f>
        <v>2664.4799999999996</v>
      </c>
      <c r="H787" s="225" t="s">
        <v>64</v>
      </c>
      <c r="I787" s="607" t="s">
        <v>64</v>
      </c>
      <c r="J787" s="1205"/>
      <c r="K787" s="1064"/>
      <c r="L787" s="211">
        <v>121.61199999999999</v>
      </c>
      <c r="M787" s="225" t="s">
        <v>64</v>
      </c>
      <c r="N787" s="188"/>
      <c r="O787" s="188"/>
      <c r="P787" s="188"/>
      <c r="Q787" s="188"/>
      <c r="R787" s="214"/>
      <c r="S787" s="633">
        <v>121.61199999999999</v>
      </c>
      <c r="T787" s="157">
        <v>980.80669471421504</v>
      </c>
      <c r="U787" s="607" t="s">
        <v>64</v>
      </c>
      <c r="V787" s="7"/>
      <c r="W787" s="7">
        <v>34.638239999999996</v>
      </c>
      <c r="X787" s="157">
        <v>279.35909026344171</v>
      </c>
      <c r="Y787" s="7">
        <v>9.1160639999999997</v>
      </c>
      <c r="Z787" s="157">
        <v>73.52149952836271</v>
      </c>
      <c r="AA787" s="188"/>
      <c r="AB787" s="214"/>
      <c r="AC787" s="7">
        <v>29.390815999999997</v>
      </c>
      <c r="AD787" s="176">
        <v>237.03836049003112</v>
      </c>
      <c r="AE787" s="1117"/>
      <c r="AF787" s="1118"/>
      <c r="AG787" s="211">
        <v>121.61199999999999</v>
      </c>
      <c r="AH787" s="157">
        <v>1961.6133894284301</v>
      </c>
      <c r="AI787" s="176">
        <f t="shared" si="26"/>
        <v>1961.6133894284301</v>
      </c>
      <c r="AJ787" s="976"/>
      <c r="AK787" s="979"/>
      <c r="AL787" s="1006"/>
      <c r="AM787" s="440"/>
      <c r="AN787" s="107"/>
      <c r="AO787" s="86"/>
      <c r="AP787" s="104"/>
    </row>
    <row r="788" spans="1:42" s="10" customFormat="1" ht="15" customHeight="1">
      <c r="A788" s="1039"/>
      <c r="B788" s="612"/>
      <c r="C788" s="613"/>
      <c r="D788" s="223" t="s">
        <v>821</v>
      </c>
      <c r="E788" s="225" t="s">
        <v>64</v>
      </c>
      <c r="F788" s="607" t="s">
        <v>64</v>
      </c>
      <c r="G788" s="427">
        <v>11111.11</v>
      </c>
      <c r="H788" s="225" t="s">
        <v>64</v>
      </c>
      <c r="I788" s="607" t="s">
        <v>64</v>
      </c>
      <c r="J788" s="1205"/>
      <c r="K788" s="1064"/>
      <c r="L788" s="211">
        <v>332.77775000000003</v>
      </c>
      <c r="M788" s="320" t="s">
        <v>64</v>
      </c>
      <c r="N788" s="188"/>
      <c r="O788" s="188"/>
      <c r="P788" s="188"/>
      <c r="Q788" s="188"/>
      <c r="R788" s="214"/>
      <c r="S788" s="633">
        <v>332.77775000000003</v>
      </c>
      <c r="T788" s="157">
        <v>2683.8687387094465</v>
      </c>
      <c r="U788" s="607" t="s">
        <v>64</v>
      </c>
      <c r="V788" s="7"/>
      <c r="W788" s="7">
        <v>144.44443000000001</v>
      </c>
      <c r="X788" s="157">
        <v>1164.9513531409611</v>
      </c>
      <c r="Y788" s="7">
        <v>24.319998000000002</v>
      </c>
      <c r="Z788" s="157">
        <v>196.14196669601961</v>
      </c>
      <c r="AA788" s="188"/>
      <c r="AB788" s="214"/>
      <c r="AC788" s="7">
        <v>64.866662000000005</v>
      </c>
      <c r="AD788" s="176">
        <v>523.15278388123056</v>
      </c>
      <c r="AE788" s="1117"/>
      <c r="AF788" s="1118"/>
      <c r="AG788" s="211">
        <v>332.77775000000003</v>
      </c>
      <c r="AH788" s="157">
        <v>5367.7374774188929</v>
      </c>
      <c r="AI788" s="176">
        <f t="shared" si="26"/>
        <v>5367.7374774188929</v>
      </c>
      <c r="AJ788" s="976"/>
      <c r="AK788" s="979"/>
      <c r="AL788" s="1006"/>
      <c r="AM788" s="440"/>
      <c r="AN788" s="107"/>
      <c r="AO788" s="86"/>
      <c r="AP788" s="104"/>
    </row>
    <row r="789" spans="1:42" s="10" customFormat="1" ht="15" customHeight="1">
      <c r="A789" s="1039"/>
      <c r="B789" s="614"/>
      <c r="C789" s="615"/>
      <c r="D789" s="223" t="s">
        <v>822</v>
      </c>
      <c r="E789" s="225" t="s">
        <v>64</v>
      </c>
      <c r="F789" s="607" t="s">
        <v>64</v>
      </c>
      <c r="G789" s="430">
        <v>300</v>
      </c>
      <c r="H789" s="225" t="s">
        <v>64</v>
      </c>
      <c r="I789" s="607" t="s">
        <v>64</v>
      </c>
      <c r="J789" s="1205"/>
      <c r="K789" s="1064"/>
      <c r="L789" s="211">
        <v>62.5</v>
      </c>
      <c r="M789" s="320" t="s">
        <v>64</v>
      </c>
      <c r="N789" s="188"/>
      <c r="O789" s="188"/>
      <c r="P789" s="188"/>
      <c r="Q789" s="188"/>
      <c r="R789" s="214"/>
      <c r="S789" s="633">
        <v>62.5</v>
      </c>
      <c r="T789" s="157">
        <v>504.06553974639371</v>
      </c>
      <c r="U789" s="607" t="s">
        <v>64</v>
      </c>
      <c r="V789" s="7"/>
      <c r="W789" s="7">
        <v>3.9000000000000004</v>
      </c>
      <c r="X789" s="157">
        <v>31.453689680174936</v>
      </c>
      <c r="Y789" s="7">
        <v>4.8600000000000003</v>
      </c>
      <c r="Z789" s="157">
        <v>39.196136370679504</v>
      </c>
      <c r="AA789" s="188"/>
      <c r="AB789" s="214"/>
      <c r="AC789" s="7">
        <v>19.46</v>
      </c>
      <c r="AD789" s="176">
        <v>156.94584645543711</v>
      </c>
      <c r="AE789" s="1117"/>
      <c r="AF789" s="1118"/>
      <c r="AG789" s="211">
        <v>62.5</v>
      </c>
      <c r="AH789" s="157">
        <v>1008.1310794927874</v>
      </c>
      <c r="AI789" s="176">
        <f t="shared" si="26"/>
        <v>1008.1310794927874</v>
      </c>
      <c r="AJ789" s="976"/>
      <c r="AK789" s="979"/>
      <c r="AL789" s="1006"/>
      <c r="AM789" s="440"/>
      <c r="AN789" s="107"/>
      <c r="AO789" s="86"/>
      <c r="AP789" s="104"/>
    </row>
    <row r="790" spans="1:42" s="10" customFormat="1" ht="15.75" customHeight="1" thickBot="1">
      <c r="A790" s="1039"/>
      <c r="B790" s="616"/>
      <c r="C790" s="617"/>
      <c r="D790" s="224" t="s">
        <v>823</v>
      </c>
      <c r="E790" s="226" t="s">
        <v>64</v>
      </c>
      <c r="F790" s="229" t="s">
        <v>64</v>
      </c>
      <c r="G790" s="429">
        <v>333.33</v>
      </c>
      <c r="H790" s="226" t="s">
        <v>64</v>
      </c>
      <c r="I790" s="229" t="s">
        <v>64</v>
      </c>
      <c r="J790" s="1206"/>
      <c r="K790" s="1064"/>
      <c r="L790" s="199">
        <v>63.33325</v>
      </c>
      <c r="M790" s="226" t="s">
        <v>64</v>
      </c>
      <c r="N790" s="116"/>
      <c r="O790" s="116"/>
      <c r="P790" s="116"/>
      <c r="Q790" s="116"/>
      <c r="R790" s="175"/>
      <c r="S790" s="677">
        <v>63.33325</v>
      </c>
      <c r="T790" s="118">
        <v>510.78574152229265</v>
      </c>
      <c r="U790" s="229" t="s">
        <v>64</v>
      </c>
      <c r="V790" s="28"/>
      <c r="W790" s="28">
        <v>4.3332899999999999</v>
      </c>
      <c r="X790" s="118">
        <v>34.948194603642371</v>
      </c>
      <c r="Y790" s="28">
        <v>4.919994</v>
      </c>
      <c r="Z790" s="118">
        <v>39.679990898544261</v>
      </c>
      <c r="AA790" s="116"/>
      <c r="AB790" s="175"/>
      <c r="AC790" s="28">
        <v>19.599985999999998</v>
      </c>
      <c r="AD790" s="180">
        <v>158.07484035378786</v>
      </c>
      <c r="AE790" s="1117"/>
      <c r="AF790" s="1118"/>
      <c r="AG790" s="199">
        <v>63.33325</v>
      </c>
      <c r="AH790" s="118">
        <v>1021.5714830445853</v>
      </c>
      <c r="AI790" s="180">
        <f t="shared" si="26"/>
        <v>1021.5714830445853</v>
      </c>
      <c r="AJ790" s="977"/>
      <c r="AK790" s="980"/>
      <c r="AL790" s="1006"/>
      <c r="AM790" s="440"/>
      <c r="AN790" s="107"/>
      <c r="AO790" s="86"/>
      <c r="AP790" s="104"/>
    </row>
    <row r="791" spans="1:42" s="10" customFormat="1" ht="15" customHeight="1">
      <c r="A791" s="1039"/>
      <c r="B791" s="232" t="s">
        <v>151</v>
      </c>
      <c r="C791" s="912" t="s">
        <v>151</v>
      </c>
      <c r="D791" s="222" t="s">
        <v>415</v>
      </c>
      <c r="E791" s="225" t="s">
        <v>64</v>
      </c>
      <c r="F791" s="228" t="s">
        <v>64</v>
      </c>
      <c r="G791" s="430"/>
      <c r="H791" s="225" t="s">
        <v>64</v>
      </c>
      <c r="I791" s="638" t="s">
        <v>64</v>
      </c>
      <c r="J791" s="1232" t="s">
        <v>420</v>
      </c>
      <c r="K791" s="1064"/>
      <c r="L791" s="1051" t="s">
        <v>421</v>
      </c>
      <c r="M791" s="1051"/>
      <c r="N791" s="1052"/>
      <c r="O791" s="736"/>
      <c r="P791" s="736"/>
      <c r="Q791" s="736"/>
      <c r="R791" s="1050" t="s">
        <v>421</v>
      </c>
      <c r="S791" s="1051"/>
      <c r="T791" s="1052"/>
      <c r="U791" s="1050" t="s">
        <v>421</v>
      </c>
      <c r="V791" s="1051"/>
      <c r="W791" s="1052"/>
      <c r="X791" s="1050" t="s">
        <v>421</v>
      </c>
      <c r="Y791" s="1051"/>
      <c r="Z791" s="1052"/>
      <c r="AA791" s="1050" t="s">
        <v>421</v>
      </c>
      <c r="AB791" s="1051"/>
      <c r="AC791" s="1051"/>
      <c r="AD791" s="1051"/>
      <c r="AE791" s="1117"/>
      <c r="AF791" s="1118"/>
      <c r="AG791" s="1051" t="s">
        <v>421</v>
      </c>
      <c r="AH791" s="1051"/>
      <c r="AI791" s="1052"/>
      <c r="AJ791" s="975">
        <v>46173</v>
      </c>
      <c r="AK791" s="978">
        <f>SUM(AI791:AI810)</f>
        <v>42647.305447129445</v>
      </c>
      <c r="AL791" s="1006"/>
      <c r="AM791" s="440"/>
      <c r="AN791" s="107"/>
      <c r="AO791" s="86"/>
      <c r="AP791" s="104"/>
    </row>
    <row r="792" spans="1:42" s="10" customFormat="1" ht="15" customHeight="1">
      <c r="A792" s="1039"/>
      <c r="B792" s="618"/>
      <c r="C792" s="615"/>
      <c r="D792" s="223" t="s">
        <v>809</v>
      </c>
      <c r="E792" s="320" t="s">
        <v>64</v>
      </c>
      <c r="F792" s="607" t="s">
        <v>64</v>
      </c>
      <c r="G792" s="426"/>
      <c r="H792" s="320" t="s">
        <v>64</v>
      </c>
      <c r="I792" s="639" t="s">
        <v>64</v>
      </c>
      <c r="J792" s="1233"/>
      <c r="K792" s="1064"/>
      <c r="L792" s="932"/>
      <c r="M792" s="932"/>
      <c r="N792" s="933"/>
      <c r="O792" s="734"/>
      <c r="P792" s="734"/>
      <c r="Q792" s="734"/>
      <c r="R792" s="971"/>
      <c r="S792" s="932"/>
      <c r="T792" s="933"/>
      <c r="U792" s="971"/>
      <c r="V792" s="932"/>
      <c r="W792" s="933"/>
      <c r="X792" s="971"/>
      <c r="Y792" s="932"/>
      <c r="Z792" s="933"/>
      <c r="AA792" s="971"/>
      <c r="AB792" s="932"/>
      <c r="AC792" s="932"/>
      <c r="AD792" s="932"/>
      <c r="AE792" s="1117"/>
      <c r="AF792" s="1118"/>
      <c r="AG792" s="932"/>
      <c r="AH792" s="932"/>
      <c r="AI792" s="933"/>
      <c r="AJ792" s="976"/>
      <c r="AK792" s="979"/>
      <c r="AL792" s="1006"/>
      <c r="AM792" s="440"/>
      <c r="AN792" s="107"/>
      <c r="AO792" s="86"/>
      <c r="AP792" s="104"/>
    </row>
    <row r="793" spans="1:42" s="10" customFormat="1" ht="15" customHeight="1">
      <c r="A793" s="1039"/>
      <c r="B793" s="618"/>
      <c r="C793" s="615"/>
      <c r="D793" s="223" t="s">
        <v>810</v>
      </c>
      <c r="E793" s="223" t="s">
        <v>418</v>
      </c>
      <c r="F793" s="223" t="s">
        <v>0</v>
      </c>
      <c r="G793" s="430">
        <v>14787.86</v>
      </c>
      <c r="H793" s="430">
        <v>14209.22</v>
      </c>
      <c r="I793" s="640">
        <v>14209.22</v>
      </c>
      <c r="J793" s="1233"/>
      <c r="K793" s="1064"/>
      <c r="L793" s="969"/>
      <c r="M793" s="969"/>
      <c r="N793" s="993"/>
      <c r="O793" s="733"/>
      <c r="P793" s="733"/>
      <c r="Q793" s="733"/>
      <c r="R793" s="968"/>
      <c r="S793" s="969"/>
      <c r="T793" s="993"/>
      <c r="U793" s="968"/>
      <c r="V793" s="969"/>
      <c r="W793" s="993"/>
      <c r="X793" s="968"/>
      <c r="Y793" s="969"/>
      <c r="Z793" s="993"/>
      <c r="AA793" s="968"/>
      <c r="AB793" s="969"/>
      <c r="AC793" s="969"/>
      <c r="AD793" s="969"/>
      <c r="AE793" s="1117"/>
      <c r="AF793" s="1118"/>
      <c r="AG793" s="969"/>
      <c r="AH793" s="969"/>
      <c r="AI793" s="993"/>
      <c r="AJ793" s="976"/>
      <c r="AK793" s="979"/>
      <c r="AL793" s="1006"/>
      <c r="AM793" s="440"/>
      <c r="AN793" s="107"/>
      <c r="AO793" s="86"/>
      <c r="AP793" s="104"/>
    </row>
    <row r="794" spans="1:42" s="10" customFormat="1" ht="15.75" customHeight="1">
      <c r="A794" s="1039"/>
      <c r="B794" s="619"/>
      <c r="C794" s="613"/>
      <c r="D794" s="518" t="s">
        <v>871</v>
      </c>
      <c r="E794" s="320" t="s">
        <v>64</v>
      </c>
      <c r="F794" s="607" t="s">
        <v>64</v>
      </c>
      <c r="G794" s="426">
        <v>4929.29</v>
      </c>
      <c r="H794" s="320" t="s">
        <v>64</v>
      </c>
      <c r="I794" s="639" t="s">
        <v>64</v>
      </c>
      <c r="J794" s="1233"/>
      <c r="K794" s="1064"/>
      <c r="L794" s="211">
        <v>150.23224999999999</v>
      </c>
      <c r="M794" s="320" t="s">
        <v>64</v>
      </c>
      <c r="N794" s="188"/>
      <c r="O794" s="188"/>
      <c r="P794" s="188"/>
      <c r="Q794" s="188"/>
      <c r="R794" s="214"/>
      <c r="S794" s="633">
        <v>150.23224999999999</v>
      </c>
      <c r="T794" s="157">
        <v>1176.9339006396956</v>
      </c>
      <c r="U794" s="607" t="s">
        <v>64</v>
      </c>
      <c r="V794" s="7">
        <v>64.080770000000001</v>
      </c>
      <c r="W794" s="7">
        <v>64.080770000000001</v>
      </c>
      <c r="X794" s="157">
        <v>502.01491751667942</v>
      </c>
      <c r="Y794" s="7">
        <v>13.192722</v>
      </c>
      <c r="Z794" s="157">
        <v>103.35305344568238</v>
      </c>
      <c r="AA794" s="188"/>
      <c r="AB794" s="214"/>
      <c r="AC794" s="7">
        <v>29.103017999999995</v>
      </c>
      <c r="AD794" s="176">
        <v>227.99584307049432</v>
      </c>
      <c r="AE794" s="1117"/>
      <c r="AF794" s="1118"/>
      <c r="AG794" s="211">
        <v>150.23224999999999</v>
      </c>
      <c r="AH794" s="157">
        <v>2353.8678012793912</v>
      </c>
      <c r="AI794" s="176">
        <f t="shared" si="26"/>
        <v>2353.8678012793912</v>
      </c>
      <c r="AJ794" s="976"/>
      <c r="AK794" s="979"/>
      <c r="AL794" s="1006"/>
      <c r="AM794" s="440"/>
      <c r="AN794" s="107"/>
      <c r="AO794" s="86"/>
      <c r="AP794" s="104"/>
    </row>
    <row r="795" spans="1:42" s="69" customFormat="1" ht="15" customHeight="1">
      <c r="A795" s="1039"/>
      <c r="B795" s="619"/>
      <c r="C795" s="613"/>
      <c r="D795" s="223" t="s">
        <v>811</v>
      </c>
      <c r="E795" s="320" t="s">
        <v>64</v>
      </c>
      <c r="F795" s="607" t="s">
        <v>64</v>
      </c>
      <c r="G795" s="426">
        <f>G794</f>
        <v>4929.29</v>
      </c>
      <c r="H795" s="320" t="s">
        <v>64</v>
      </c>
      <c r="I795" s="639" t="s">
        <v>64</v>
      </c>
      <c r="J795" s="1233"/>
      <c r="K795" s="1064"/>
      <c r="L795" s="939" t="s">
        <v>421</v>
      </c>
      <c r="M795" s="939"/>
      <c r="N795" s="956"/>
      <c r="O795" s="729"/>
      <c r="P795" s="729"/>
      <c r="Q795" s="729"/>
      <c r="R795" s="965" t="s">
        <v>421</v>
      </c>
      <c r="S795" s="939"/>
      <c r="T795" s="956"/>
      <c r="U795" s="965" t="s">
        <v>421</v>
      </c>
      <c r="V795" s="939"/>
      <c r="W795" s="956"/>
      <c r="X795" s="965" t="s">
        <v>421</v>
      </c>
      <c r="Y795" s="939"/>
      <c r="Z795" s="956"/>
      <c r="AA795" s="965" t="s">
        <v>421</v>
      </c>
      <c r="AB795" s="939"/>
      <c r="AC795" s="939"/>
      <c r="AD795" s="939"/>
      <c r="AE795" s="1117"/>
      <c r="AF795" s="1118"/>
      <c r="AG795" s="939" t="s">
        <v>421</v>
      </c>
      <c r="AH795" s="939"/>
      <c r="AI795" s="956"/>
      <c r="AJ795" s="976"/>
      <c r="AK795" s="979"/>
      <c r="AL795" s="1006"/>
      <c r="AM795" s="440"/>
      <c r="AN795" s="90"/>
      <c r="AO795" s="128"/>
      <c r="AP795" s="106"/>
    </row>
    <row r="796" spans="1:42" s="69" customFormat="1" ht="15" customHeight="1">
      <c r="A796" s="1039"/>
      <c r="B796" s="619"/>
      <c r="C796" s="613"/>
      <c r="D796" s="518" t="s">
        <v>862</v>
      </c>
      <c r="E796" s="320" t="s">
        <v>64</v>
      </c>
      <c r="F796" s="607" t="s">
        <v>64</v>
      </c>
      <c r="G796" s="426">
        <v>5316.22</v>
      </c>
      <c r="H796" s="320" t="s">
        <v>64</v>
      </c>
      <c r="I796" s="639" t="s">
        <v>64</v>
      </c>
      <c r="J796" s="1233"/>
      <c r="K796" s="1064"/>
      <c r="L796" s="211">
        <v>28.32</v>
      </c>
      <c r="M796" s="320" t="s">
        <v>64</v>
      </c>
      <c r="N796" s="188"/>
      <c r="O796" s="188"/>
      <c r="P796" s="188"/>
      <c r="Q796" s="188"/>
      <c r="R796" s="214"/>
      <c r="S796" s="633">
        <v>28.32</v>
      </c>
      <c r="T796" s="157">
        <v>221.86160472279556</v>
      </c>
      <c r="U796" s="607" t="s">
        <v>64</v>
      </c>
      <c r="V796" s="7"/>
      <c r="W796" s="7"/>
      <c r="X796" s="157">
        <v>0</v>
      </c>
      <c r="Y796" s="7">
        <v>4.32</v>
      </c>
      <c r="Z796" s="157">
        <v>33.843295635680683</v>
      </c>
      <c r="AA796" s="188"/>
      <c r="AB796" s="214"/>
      <c r="AC796" s="7">
        <v>8.86</v>
      </c>
      <c r="AD796" s="176">
        <v>69.410092437993143</v>
      </c>
      <c r="AE796" s="1117"/>
      <c r="AF796" s="1118"/>
      <c r="AG796" s="211">
        <v>28.32</v>
      </c>
      <c r="AH796" s="157">
        <v>443.72320944559112</v>
      </c>
      <c r="AI796" s="176">
        <f t="shared" si="26"/>
        <v>443.72320944559112</v>
      </c>
      <c r="AJ796" s="976"/>
      <c r="AK796" s="979"/>
      <c r="AL796" s="1006"/>
      <c r="AM796" s="440"/>
      <c r="AN796" s="90"/>
      <c r="AO796" s="128"/>
      <c r="AP796" s="106"/>
    </row>
    <row r="797" spans="1:42" s="69" customFormat="1" ht="15" customHeight="1">
      <c r="A797" s="1039"/>
      <c r="B797" s="619"/>
      <c r="C797" s="388"/>
      <c r="D797" s="518" t="s">
        <v>863</v>
      </c>
      <c r="E797" s="320" t="s">
        <v>64</v>
      </c>
      <c r="F797" s="607" t="s">
        <v>64</v>
      </c>
      <c r="G797" s="426">
        <f>G796</f>
        <v>5316.22</v>
      </c>
      <c r="H797" s="320" t="s">
        <v>64</v>
      </c>
      <c r="I797" s="639" t="s">
        <v>64</v>
      </c>
      <c r="J797" s="1233"/>
      <c r="K797" s="1064"/>
      <c r="L797" s="211">
        <v>159.90549999999999</v>
      </c>
      <c r="M797" s="320" t="s">
        <v>64</v>
      </c>
      <c r="N797" s="188"/>
      <c r="O797" s="188"/>
      <c r="P797" s="188"/>
      <c r="Q797" s="188"/>
      <c r="R797" s="214"/>
      <c r="S797" s="633">
        <v>159.90549999999999</v>
      </c>
      <c r="T797" s="157">
        <v>1252.7150718220673</v>
      </c>
      <c r="U797" s="607" t="s">
        <v>64</v>
      </c>
      <c r="V797" s="7">
        <v>69.110860000000002</v>
      </c>
      <c r="W797" s="7">
        <v>69.110860000000002</v>
      </c>
      <c r="X797" s="157">
        <v>541.42112653151389</v>
      </c>
      <c r="Y797" s="7">
        <v>13.889196</v>
      </c>
      <c r="Z797" s="157">
        <v>108.80929777081316</v>
      </c>
      <c r="AA797" s="188"/>
      <c r="AB797" s="214"/>
      <c r="AC797" s="7">
        <v>30.728123999999998</v>
      </c>
      <c r="AD797" s="176">
        <v>240.72707982913312</v>
      </c>
      <c r="AE797" s="1117"/>
      <c r="AF797" s="1118"/>
      <c r="AG797" s="211">
        <v>159.90549999999999</v>
      </c>
      <c r="AH797" s="157">
        <v>2505.4301436441347</v>
      </c>
      <c r="AI797" s="176">
        <f t="shared" si="26"/>
        <v>2505.4301436441347</v>
      </c>
      <c r="AJ797" s="976"/>
      <c r="AK797" s="979"/>
      <c r="AL797" s="1006"/>
      <c r="AM797" s="440"/>
      <c r="AN797" s="90"/>
      <c r="AO797" s="128"/>
      <c r="AP797" s="106"/>
    </row>
    <row r="798" spans="1:42" s="69" customFormat="1" ht="15" customHeight="1">
      <c r="A798" s="1039"/>
      <c r="B798" s="620"/>
      <c r="C798" s="529"/>
      <c r="D798" s="518" t="s">
        <v>864</v>
      </c>
      <c r="E798" s="320" t="s">
        <v>64</v>
      </c>
      <c r="F798" s="607" t="s">
        <v>64</v>
      </c>
      <c r="G798" s="426">
        <f>G797*10%</f>
        <v>531.62200000000007</v>
      </c>
      <c r="H798" s="320" t="s">
        <v>64</v>
      </c>
      <c r="I798" s="639" t="s">
        <v>64</v>
      </c>
      <c r="J798" s="1233"/>
      <c r="K798" s="1064"/>
      <c r="L798" s="211">
        <v>40.290550000000003</v>
      </c>
      <c r="M798" s="320" t="s">
        <v>64</v>
      </c>
      <c r="N798" s="188"/>
      <c r="O798" s="188"/>
      <c r="P798" s="188"/>
      <c r="Q798" s="188"/>
      <c r="R798" s="214"/>
      <c r="S798" s="633">
        <v>40.290550000000003</v>
      </c>
      <c r="T798" s="157">
        <v>315.64004513291064</v>
      </c>
      <c r="U798" s="607" t="s">
        <v>64</v>
      </c>
      <c r="V798" s="7">
        <v>6.9110860000000018</v>
      </c>
      <c r="W798" s="7">
        <v>6.9110860000000018</v>
      </c>
      <c r="X798" s="157">
        <v>54.142112653151436</v>
      </c>
      <c r="Y798" s="7">
        <v>5.2769196000000003</v>
      </c>
      <c r="Z798" s="157">
        <v>41.339895849193923</v>
      </c>
      <c r="AA798" s="188"/>
      <c r="AB798" s="214"/>
      <c r="AC798" s="7">
        <v>10.632812400000001</v>
      </c>
      <c r="AD798" s="176">
        <v>83.298475345354518</v>
      </c>
      <c r="AE798" s="1117"/>
      <c r="AF798" s="1118"/>
      <c r="AG798" s="211">
        <v>40.290550000000003</v>
      </c>
      <c r="AH798" s="157">
        <v>631.28009026582129</v>
      </c>
      <c r="AI798" s="176">
        <f t="shared" si="26"/>
        <v>631.28009026582129</v>
      </c>
      <c r="AJ798" s="976"/>
      <c r="AK798" s="979"/>
      <c r="AL798" s="1006"/>
      <c r="AM798" s="440"/>
      <c r="AN798" s="90"/>
      <c r="AO798" s="128"/>
      <c r="AP798" s="106"/>
    </row>
    <row r="799" spans="1:42" s="69" customFormat="1" ht="15" customHeight="1">
      <c r="A799" s="1039"/>
      <c r="B799" s="621"/>
      <c r="C799" s="388"/>
      <c r="D799" s="518" t="s">
        <v>865</v>
      </c>
      <c r="E799" s="320" t="s">
        <v>64</v>
      </c>
      <c r="F799" s="607" t="s">
        <v>64</v>
      </c>
      <c r="G799" s="426">
        <f>G798</f>
        <v>531.62200000000007</v>
      </c>
      <c r="H799" s="320" t="s">
        <v>64</v>
      </c>
      <c r="I799" s="639" t="s">
        <v>64</v>
      </c>
      <c r="J799" s="1233"/>
      <c r="K799" s="1064"/>
      <c r="L799" s="211">
        <v>40.290550000000003</v>
      </c>
      <c r="M799" s="320" t="s">
        <v>64</v>
      </c>
      <c r="N799" s="188"/>
      <c r="O799" s="188"/>
      <c r="P799" s="188"/>
      <c r="Q799" s="188"/>
      <c r="R799" s="214"/>
      <c r="S799" s="633">
        <v>40.290550000000003</v>
      </c>
      <c r="T799" s="157">
        <v>315.64004513291064</v>
      </c>
      <c r="U799" s="607" t="s">
        <v>64</v>
      </c>
      <c r="V799" s="7">
        <v>6.9110860000000018</v>
      </c>
      <c r="W799" s="7">
        <v>6.9110860000000018</v>
      </c>
      <c r="X799" s="157">
        <v>54.142112653151436</v>
      </c>
      <c r="Y799" s="7">
        <v>5.2769196000000003</v>
      </c>
      <c r="Z799" s="157">
        <v>41.339895849193923</v>
      </c>
      <c r="AA799" s="188"/>
      <c r="AB799" s="214"/>
      <c r="AC799" s="7">
        <v>10.632812400000001</v>
      </c>
      <c r="AD799" s="176">
        <v>83.298475345354518</v>
      </c>
      <c r="AE799" s="1117"/>
      <c r="AF799" s="1118"/>
      <c r="AG799" s="211">
        <v>40.290550000000003</v>
      </c>
      <c r="AH799" s="157">
        <v>631.28009026582129</v>
      </c>
      <c r="AI799" s="176">
        <f t="shared" si="26"/>
        <v>631.28009026582129</v>
      </c>
      <c r="AJ799" s="976"/>
      <c r="AK799" s="979"/>
      <c r="AL799" s="1006"/>
      <c r="AM799" s="440"/>
      <c r="AN799" s="90"/>
      <c r="AO799" s="128"/>
      <c r="AP799" s="106"/>
    </row>
    <row r="800" spans="1:42" s="69" customFormat="1" ht="15" customHeight="1">
      <c r="A800" s="1039"/>
      <c r="B800" s="469"/>
      <c r="C800" s="388"/>
      <c r="D800" s="223" t="s">
        <v>812</v>
      </c>
      <c r="E800" s="320" t="s">
        <v>64</v>
      </c>
      <c r="F800" s="607" t="s">
        <v>64</v>
      </c>
      <c r="G800" s="479">
        <v>3000</v>
      </c>
      <c r="H800" s="320" t="s">
        <v>64</v>
      </c>
      <c r="I800" s="639" t="s">
        <v>64</v>
      </c>
      <c r="J800" s="1233"/>
      <c r="K800" s="1064"/>
      <c r="L800" s="925" t="s">
        <v>421</v>
      </c>
      <c r="M800" s="925"/>
      <c r="N800" s="926"/>
      <c r="O800" s="732"/>
      <c r="P800" s="732"/>
      <c r="Q800" s="732"/>
      <c r="R800" s="924" t="s">
        <v>421</v>
      </c>
      <c r="S800" s="925"/>
      <c r="T800" s="926"/>
      <c r="U800" s="924" t="s">
        <v>421</v>
      </c>
      <c r="V800" s="925"/>
      <c r="W800" s="926"/>
      <c r="X800" s="924" t="s">
        <v>421</v>
      </c>
      <c r="Y800" s="925"/>
      <c r="Z800" s="926"/>
      <c r="AA800" s="924" t="s">
        <v>421</v>
      </c>
      <c r="AB800" s="925"/>
      <c r="AC800" s="925"/>
      <c r="AD800" s="925"/>
      <c r="AE800" s="1117"/>
      <c r="AF800" s="1118"/>
      <c r="AG800" s="925" t="s">
        <v>421</v>
      </c>
      <c r="AH800" s="925"/>
      <c r="AI800" s="926"/>
      <c r="AJ800" s="976"/>
      <c r="AK800" s="979"/>
      <c r="AL800" s="1006"/>
      <c r="AM800" s="440"/>
      <c r="AN800" s="90"/>
      <c r="AO800" s="128"/>
      <c r="AP800" s="106"/>
    </row>
    <row r="801" spans="1:42" s="69" customFormat="1" ht="15" customHeight="1">
      <c r="A801" s="1039"/>
      <c r="B801" s="621"/>
      <c r="C801" s="388"/>
      <c r="D801" s="223" t="s">
        <v>813</v>
      </c>
      <c r="E801" s="320" t="s">
        <v>64</v>
      </c>
      <c r="F801" s="607" t="s">
        <v>64</v>
      </c>
      <c r="G801" s="426">
        <v>79743.23</v>
      </c>
      <c r="H801" s="320" t="s">
        <v>64</v>
      </c>
      <c r="I801" s="639" t="s">
        <v>64</v>
      </c>
      <c r="J801" s="1233"/>
      <c r="K801" s="1064"/>
      <c r="L801" s="969"/>
      <c r="M801" s="969"/>
      <c r="N801" s="993"/>
      <c r="O801" s="733"/>
      <c r="P801" s="733"/>
      <c r="Q801" s="733"/>
      <c r="R801" s="968"/>
      <c r="S801" s="969"/>
      <c r="T801" s="993"/>
      <c r="U801" s="968"/>
      <c r="V801" s="969"/>
      <c r="W801" s="993"/>
      <c r="X801" s="968"/>
      <c r="Y801" s="969"/>
      <c r="Z801" s="993"/>
      <c r="AA801" s="968"/>
      <c r="AB801" s="969"/>
      <c r="AC801" s="969"/>
      <c r="AD801" s="969"/>
      <c r="AE801" s="1117"/>
      <c r="AF801" s="1118"/>
      <c r="AG801" s="969"/>
      <c r="AH801" s="969"/>
      <c r="AI801" s="993"/>
      <c r="AJ801" s="976"/>
      <c r="AK801" s="979"/>
      <c r="AL801" s="1006"/>
      <c r="AM801" s="440"/>
      <c r="AN801" s="90"/>
      <c r="AO801" s="128"/>
      <c r="AP801" s="106"/>
    </row>
    <row r="802" spans="1:42" s="69" customFormat="1" ht="15.75" customHeight="1">
      <c r="A802" s="1039"/>
      <c r="B802" s="621"/>
      <c r="C802" s="388"/>
      <c r="D802" s="518" t="s">
        <v>866</v>
      </c>
      <c r="E802" s="320" t="s">
        <v>64</v>
      </c>
      <c r="F802" s="607" t="s">
        <v>64</v>
      </c>
      <c r="G802" s="426">
        <v>31897.29</v>
      </c>
      <c r="H802" s="320" t="s">
        <v>64</v>
      </c>
      <c r="I802" s="639" t="s">
        <v>64</v>
      </c>
      <c r="J802" s="1233"/>
      <c r="K802" s="1064"/>
      <c r="L802" s="211">
        <v>824.43</v>
      </c>
      <c r="M802" s="320" t="s">
        <v>64</v>
      </c>
      <c r="N802" s="188"/>
      <c r="O802" s="188"/>
      <c r="P802" s="188"/>
      <c r="Q802" s="188"/>
      <c r="R802" s="214"/>
      <c r="S802" s="633">
        <v>824.43225000000007</v>
      </c>
      <c r="T802" s="157">
        <v>6458.6815667452338</v>
      </c>
      <c r="U802" s="607" t="s">
        <v>64</v>
      </c>
      <c r="V802" s="7">
        <v>414.66477000000003</v>
      </c>
      <c r="W802" s="7">
        <v>414.66477000000003</v>
      </c>
      <c r="X802" s="157">
        <v>3248.523703891557</v>
      </c>
      <c r="Y802" s="7">
        <v>61.735122000000004</v>
      </c>
      <c r="Z802" s="157">
        <v>483.63888540528052</v>
      </c>
      <c r="AA802" s="188"/>
      <c r="AB802" s="214"/>
      <c r="AC802" s="7">
        <v>142.368618</v>
      </c>
      <c r="AD802" s="176">
        <v>1115.3294509762231</v>
      </c>
      <c r="AE802" s="1117"/>
      <c r="AF802" s="1118"/>
      <c r="AG802" s="211">
        <v>824.43225000000007</v>
      </c>
      <c r="AH802" s="157">
        <v>12917.363133490468</v>
      </c>
      <c r="AI802" s="176">
        <f t="shared" si="26"/>
        <v>12917.363133490468</v>
      </c>
      <c r="AJ802" s="976"/>
      <c r="AK802" s="979"/>
      <c r="AL802" s="1006"/>
      <c r="AM802" s="440"/>
      <c r="AN802" s="90"/>
      <c r="AO802" s="128"/>
      <c r="AP802" s="106"/>
    </row>
    <row r="803" spans="1:42" s="69" customFormat="1" ht="15" customHeight="1">
      <c r="A803" s="1039"/>
      <c r="B803" s="621"/>
      <c r="C803" s="388"/>
      <c r="D803" s="518" t="s">
        <v>867</v>
      </c>
      <c r="E803" s="320" t="s">
        <v>64</v>
      </c>
      <c r="F803" s="607" t="s">
        <v>64</v>
      </c>
      <c r="G803" s="426">
        <v>31897.29</v>
      </c>
      <c r="H803" s="320" t="s">
        <v>64</v>
      </c>
      <c r="I803" s="639" t="s">
        <v>64</v>
      </c>
      <c r="J803" s="1233"/>
      <c r="K803" s="1064"/>
      <c r="L803" s="211">
        <v>824.43225000000007</v>
      </c>
      <c r="M803" s="320" t="s">
        <v>64</v>
      </c>
      <c r="N803" s="188"/>
      <c r="O803" s="188"/>
      <c r="P803" s="188"/>
      <c r="Q803" s="188"/>
      <c r="R803" s="214"/>
      <c r="S803" s="633">
        <v>824.43225000000007</v>
      </c>
      <c r="T803" s="157">
        <v>6458.6815667452338</v>
      </c>
      <c r="U803" s="607" t="s">
        <v>64</v>
      </c>
      <c r="V803" s="7">
        <v>414.66477000000003</v>
      </c>
      <c r="W803" s="7">
        <v>414.66477000000003</v>
      </c>
      <c r="X803" s="157">
        <v>3248.523703891557</v>
      </c>
      <c r="Y803" s="7">
        <v>61.735122000000004</v>
      </c>
      <c r="Z803" s="157">
        <v>483.63888540528052</v>
      </c>
      <c r="AA803" s="188"/>
      <c r="AB803" s="214"/>
      <c r="AC803" s="7">
        <v>142.368618</v>
      </c>
      <c r="AD803" s="176">
        <v>1115.3294509762231</v>
      </c>
      <c r="AE803" s="1117"/>
      <c r="AF803" s="1118"/>
      <c r="AG803" s="211">
        <v>824.43225000000007</v>
      </c>
      <c r="AH803" s="157">
        <v>12917.363133490468</v>
      </c>
      <c r="AI803" s="176">
        <f t="shared" si="26"/>
        <v>12917.363133490468</v>
      </c>
      <c r="AJ803" s="976"/>
      <c r="AK803" s="979"/>
      <c r="AL803" s="1006"/>
      <c r="AM803" s="151"/>
      <c r="AN803" s="90"/>
      <c r="AO803" s="128"/>
      <c r="AP803" s="106"/>
    </row>
    <row r="804" spans="1:42" s="69" customFormat="1" ht="15" customHeight="1">
      <c r="A804" s="1039"/>
      <c r="B804" s="621"/>
      <c r="C804" s="388"/>
      <c r="D804" s="223" t="s">
        <v>814</v>
      </c>
      <c r="E804" s="320" t="s">
        <v>64</v>
      </c>
      <c r="F804" s="607" t="s">
        <v>64</v>
      </c>
      <c r="G804" s="426">
        <v>120000</v>
      </c>
      <c r="H804" s="320" t="s">
        <v>64</v>
      </c>
      <c r="I804" s="639" t="s">
        <v>64</v>
      </c>
      <c r="J804" s="1233"/>
      <c r="K804" s="1064"/>
      <c r="L804" s="939" t="s">
        <v>421</v>
      </c>
      <c r="M804" s="939"/>
      <c r="N804" s="956"/>
      <c r="O804" s="729"/>
      <c r="P804" s="729"/>
      <c r="Q804" s="729"/>
      <c r="R804" s="965" t="s">
        <v>421</v>
      </c>
      <c r="S804" s="939"/>
      <c r="T804" s="956"/>
      <c r="U804" s="965" t="s">
        <v>421</v>
      </c>
      <c r="V804" s="939"/>
      <c r="W804" s="956"/>
      <c r="X804" s="965" t="s">
        <v>421</v>
      </c>
      <c r="Y804" s="939"/>
      <c r="Z804" s="956"/>
      <c r="AA804" s="965" t="s">
        <v>421</v>
      </c>
      <c r="AB804" s="939"/>
      <c r="AC804" s="939"/>
      <c r="AD804" s="939"/>
      <c r="AE804" s="1117"/>
      <c r="AF804" s="1118"/>
      <c r="AG804" s="939" t="s">
        <v>421</v>
      </c>
      <c r="AH804" s="939"/>
      <c r="AI804" s="956"/>
      <c r="AJ804" s="976"/>
      <c r="AK804" s="979"/>
      <c r="AL804" s="1006"/>
      <c r="AM804" s="151"/>
      <c r="AN804" s="90"/>
      <c r="AO804" s="128"/>
      <c r="AP804" s="106"/>
    </row>
    <row r="805" spans="1:42" s="69" customFormat="1" ht="15" customHeight="1">
      <c r="A805" s="1039"/>
      <c r="B805" s="621"/>
      <c r="C805" s="388"/>
      <c r="D805" s="518" t="s">
        <v>868</v>
      </c>
      <c r="E805" s="320" t="s">
        <v>64</v>
      </c>
      <c r="F805" s="607" t="s">
        <v>64</v>
      </c>
      <c r="G805" s="426">
        <f>G804*10%</f>
        <v>12000</v>
      </c>
      <c r="H805" s="320" t="s">
        <v>64</v>
      </c>
      <c r="I805" s="639" t="s">
        <v>64</v>
      </c>
      <c r="J805" s="1233"/>
      <c r="K805" s="1064"/>
      <c r="L805" s="211">
        <v>327.00000000000006</v>
      </c>
      <c r="M805" s="320" t="s">
        <v>64</v>
      </c>
      <c r="N805" s="188"/>
      <c r="O805" s="188"/>
      <c r="P805" s="188"/>
      <c r="Q805" s="188"/>
      <c r="R805" s="214"/>
      <c r="S805" s="633">
        <v>327.00000000000006</v>
      </c>
      <c r="T805" s="157">
        <v>2561.7494613119379</v>
      </c>
      <c r="U805" s="607" t="s">
        <v>64</v>
      </c>
      <c r="V805" s="7">
        <v>156</v>
      </c>
      <c r="W805" s="7">
        <v>156</v>
      </c>
      <c r="X805" s="157">
        <v>1222.1190090662453</v>
      </c>
      <c r="Y805" s="7">
        <v>25.919999999999998</v>
      </c>
      <c r="Z805" s="157">
        <v>203.05977381408394</v>
      </c>
      <c r="AA805" s="188"/>
      <c r="AB805" s="214"/>
      <c r="AC805" s="7">
        <v>58.8</v>
      </c>
      <c r="AD805" s="176">
        <v>460.64485726343145</v>
      </c>
      <c r="AE805" s="1117"/>
      <c r="AF805" s="1118"/>
      <c r="AG805" s="211">
        <v>327.00000000000006</v>
      </c>
      <c r="AH805" s="157">
        <v>5123.4989226238758</v>
      </c>
      <c r="AI805" s="177">
        <f t="shared" si="26"/>
        <v>5123.4989226238758</v>
      </c>
      <c r="AJ805" s="976"/>
      <c r="AK805" s="979"/>
      <c r="AL805" s="1006"/>
      <c r="AM805" s="151"/>
      <c r="AN805" s="90"/>
      <c r="AO805" s="128"/>
      <c r="AP805" s="106"/>
    </row>
    <row r="806" spans="1:42" s="69" customFormat="1" ht="15" customHeight="1">
      <c r="A806" s="1039"/>
      <c r="B806" s="621"/>
      <c r="C806" s="388"/>
      <c r="D806" s="518" t="s">
        <v>869</v>
      </c>
      <c r="E806" s="320" t="s">
        <v>64</v>
      </c>
      <c r="F806" s="607" t="s">
        <v>64</v>
      </c>
      <c r="G806" s="426">
        <f>G805</f>
        <v>12000</v>
      </c>
      <c r="H806" s="320" t="s">
        <v>64</v>
      </c>
      <c r="I806" s="639" t="s">
        <v>64</v>
      </c>
      <c r="J806" s="1233"/>
      <c r="K806" s="1064"/>
      <c r="L806" s="211">
        <v>327.00000000000006</v>
      </c>
      <c r="M806" s="320" t="s">
        <v>64</v>
      </c>
      <c r="N806" s="188"/>
      <c r="O806" s="188"/>
      <c r="P806" s="188"/>
      <c r="Q806" s="188"/>
      <c r="R806" s="214"/>
      <c r="S806" s="633">
        <v>327.00000000000006</v>
      </c>
      <c r="T806" s="157">
        <v>2561.7494613119379</v>
      </c>
      <c r="U806" s="607" t="s">
        <v>64</v>
      </c>
      <c r="V806" s="7">
        <v>156</v>
      </c>
      <c r="W806" s="7">
        <v>156</v>
      </c>
      <c r="X806" s="157">
        <v>1222.1190090662453</v>
      </c>
      <c r="Y806" s="7">
        <v>25.919999999999998</v>
      </c>
      <c r="Z806" s="157">
        <v>203.05977381408394</v>
      </c>
      <c r="AA806" s="188"/>
      <c r="AB806" s="214"/>
      <c r="AC806" s="7">
        <v>58.8</v>
      </c>
      <c r="AD806" s="176">
        <v>460.64485726343145</v>
      </c>
      <c r="AE806" s="1117"/>
      <c r="AF806" s="1118"/>
      <c r="AG806" s="211">
        <v>327.00000000000006</v>
      </c>
      <c r="AH806" s="157">
        <v>5123.4989226238758</v>
      </c>
      <c r="AI806" s="177">
        <f t="shared" si="26"/>
        <v>5123.4989226238758</v>
      </c>
      <c r="AJ806" s="976"/>
      <c r="AK806" s="979"/>
      <c r="AL806" s="1006"/>
      <c r="AM806" s="151"/>
      <c r="AN806" s="90"/>
      <c r="AO806" s="128"/>
      <c r="AP806" s="106"/>
    </row>
    <row r="807" spans="1:42" s="69" customFormat="1" ht="15" customHeight="1">
      <c r="A807" s="1039"/>
      <c r="B807" s="622"/>
      <c r="C807" s="386"/>
      <c r="D807" s="223" t="s">
        <v>815</v>
      </c>
      <c r="E807" s="320" t="s">
        <v>64</v>
      </c>
      <c r="F807" s="607" t="s">
        <v>64</v>
      </c>
      <c r="G807" s="427">
        <f>40*66.612</f>
        <v>2664.4799999999996</v>
      </c>
      <c r="H807" s="320" t="s">
        <v>64</v>
      </c>
      <c r="I807" s="639" t="s">
        <v>64</v>
      </c>
      <c r="J807" s="1233"/>
      <c r="K807" s="1064"/>
      <c r="L807" s="925" t="s">
        <v>421</v>
      </c>
      <c r="M807" s="925"/>
      <c r="N807" s="926"/>
      <c r="O807" s="732"/>
      <c r="P807" s="732"/>
      <c r="Q807" s="732"/>
      <c r="R807" s="924" t="s">
        <v>421</v>
      </c>
      <c r="S807" s="925"/>
      <c r="T807" s="926"/>
      <c r="U807" s="924" t="s">
        <v>421</v>
      </c>
      <c r="V807" s="925"/>
      <c r="W807" s="926"/>
      <c r="X807" s="924" t="s">
        <v>421</v>
      </c>
      <c r="Y807" s="925"/>
      <c r="Z807" s="926"/>
      <c r="AA807" s="924" t="s">
        <v>421</v>
      </c>
      <c r="AB807" s="925"/>
      <c r="AC807" s="925"/>
      <c r="AD807" s="925"/>
      <c r="AE807" s="1117"/>
      <c r="AF807" s="1118"/>
      <c r="AG807" s="925" t="s">
        <v>421</v>
      </c>
      <c r="AH807" s="925"/>
      <c r="AI807" s="926"/>
      <c r="AJ807" s="976"/>
      <c r="AK807" s="979"/>
      <c r="AL807" s="1006"/>
      <c r="AM807" s="151"/>
      <c r="AN807" s="90"/>
      <c r="AO807" s="128"/>
      <c r="AP807" s="106"/>
    </row>
    <row r="808" spans="1:42" s="69" customFormat="1" ht="15" customHeight="1">
      <c r="A808" s="1039"/>
      <c r="B808" s="621"/>
      <c r="C808" s="388"/>
      <c r="D808" s="223" t="s">
        <v>816</v>
      </c>
      <c r="E808" s="320" t="s">
        <v>64</v>
      </c>
      <c r="F808" s="607" t="s">
        <v>64</v>
      </c>
      <c r="G808" s="427">
        <v>11111.11</v>
      </c>
      <c r="H808" s="320" t="s">
        <v>64</v>
      </c>
      <c r="I808" s="639" t="s">
        <v>64</v>
      </c>
      <c r="J808" s="1233"/>
      <c r="K808" s="1064"/>
      <c r="L808" s="932"/>
      <c r="M808" s="932"/>
      <c r="N808" s="933"/>
      <c r="O808" s="734"/>
      <c r="P808" s="734"/>
      <c r="Q808" s="734"/>
      <c r="R808" s="971"/>
      <c r="S808" s="932"/>
      <c r="T808" s="933"/>
      <c r="U808" s="971"/>
      <c r="V808" s="932"/>
      <c r="W808" s="933"/>
      <c r="X808" s="971"/>
      <c r="Y808" s="932"/>
      <c r="Z808" s="933"/>
      <c r="AA808" s="971"/>
      <c r="AB808" s="932"/>
      <c r="AC808" s="932"/>
      <c r="AD808" s="932"/>
      <c r="AE808" s="1117"/>
      <c r="AF808" s="1118"/>
      <c r="AG808" s="932"/>
      <c r="AH808" s="932"/>
      <c r="AI808" s="933"/>
      <c r="AJ808" s="976"/>
      <c r="AK808" s="979"/>
      <c r="AL808" s="1006"/>
      <c r="AM808" s="151"/>
      <c r="AN808" s="90"/>
      <c r="AO808" s="128"/>
      <c r="AP808" s="106"/>
    </row>
    <row r="809" spans="1:42" s="69" customFormat="1" ht="15.75" customHeight="1">
      <c r="A809" s="1039"/>
      <c r="B809" s="469"/>
      <c r="C809" s="388"/>
      <c r="D809" s="223" t="s">
        <v>820</v>
      </c>
      <c r="E809" s="320" t="s">
        <v>64</v>
      </c>
      <c r="F809" s="607" t="s">
        <v>64</v>
      </c>
      <c r="G809" s="479">
        <v>333.33</v>
      </c>
      <c r="H809" s="320" t="s">
        <v>64</v>
      </c>
      <c r="I809" s="639" t="s">
        <v>64</v>
      </c>
      <c r="J809" s="1233"/>
      <c r="K809" s="1064"/>
      <c r="L809" s="932"/>
      <c r="M809" s="932"/>
      <c r="N809" s="933"/>
      <c r="O809" s="734"/>
      <c r="P809" s="734"/>
      <c r="Q809" s="734"/>
      <c r="R809" s="971"/>
      <c r="S809" s="932"/>
      <c r="T809" s="933"/>
      <c r="U809" s="971"/>
      <c r="V809" s="932"/>
      <c r="W809" s="933"/>
      <c r="X809" s="971"/>
      <c r="Y809" s="932"/>
      <c r="Z809" s="933"/>
      <c r="AA809" s="971"/>
      <c r="AB809" s="932"/>
      <c r="AC809" s="932"/>
      <c r="AD809" s="932"/>
      <c r="AE809" s="1117"/>
      <c r="AF809" s="1118"/>
      <c r="AG809" s="932"/>
      <c r="AH809" s="932"/>
      <c r="AI809" s="933"/>
      <c r="AJ809" s="976"/>
      <c r="AK809" s="979"/>
      <c r="AL809" s="1006"/>
      <c r="AM809" s="151"/>
      <c r="AN809" s="90"/>
      <c r="AO809" s="128"/>
      <c r="AP809" s="106"/>
    </row>
    <row r="810" spans="1:42" s="69" customFormat="1" ht="15.75" customHeight="1" thickBot="1">
      <c r="A810" s="1039"/>
      <c r="B810" s="464"/>
      <c r="C810" s="390"/>
      <c r="D810" s="224" t="s">
        <v>821</v>
      </c>
      <c r="E810" s="226" t="s">
        <v>64</v>
      </c>
      <c r="F810" s="229" t="s">
        <v>64</v>
      </c>
      <c r="G810" s="477">
        <v>300</v>
      </c>
      <c r="H810" s="226" t="s">
        <v>64</v>
      </c>
      <c r="I810" s="641" t="s">
        <v>64</v>
      </c>
      <c r="J810" s="1233"/>
      <c r="K810" s="1064"/>
      <c r="L810" s="928"/>
      <c r="M810" s="928"/>
      <c r="N810" s="929"/>
      <c r="O810" s="735"/>
      <c r="P810" s="735"/>
      <c r="Q810" s="735"/>
      <c r="R810" s="927"/>
      <c r="S810" s="928"/>
      <c r="T810" s="929"/>
      <c r="U810" s="927"/>
      <c r="V810" s="928"/>
      <c r="W810" s="929"/>
      <c r="X810" s="927"/>
      <c r="Y810" s="928"/>
      <c r="Z810" s="929"/>
      <c r="AA810" s="927"/>
      <c r="AB810" s="928"/>
      <c r="AC810" s="928"/>
      <c r="AD810" s="928"/>
      <c r="AE810" s="1117"/>
      <c r="AF810" s="1118"/>
      <c r="AG810" s="928"/>
      <c r="AH810" s="928"/>
      <c r="AI810" s="929"/>
      <c r="AJ810" s="977"/>
      <c r="AK810" s="980"/>
      <c r="AL810" s="1006"/>
      <c r="AM810" s="440"/>
      <c r="AN810" s="89"/>
      <c r="AO810" s="89"/>
    </row>
    <row r="811" spans="1:42" s="69" customFormat="1" ht="12.75" customHeight="1">
      <c r="A811" s="1039"/>
      <c r="B811" s="465" t="s">
        <v>151</v>
      </c>
      <c r="C811" s="386" t="s">
        <v>151</v>
      </c>
      <c r="D811" s="222" t="s">
        <v>416</v>
      </c>
      <c r="E811" s="240" t="s">
        <v>1</v>
      </c>
      <c r="F811" s="240" t="s">
        <v>0</v>
      </c>
      <c r="G811" s="430">
        <f>12*150*66.612</f>
        <v>119901.59999999999</v>
      </c>
      <c r="H811" s="430">
        <v>59151.44</v>
      </c>
      <c r="I811" s="640">
        <v>59151.44</v>
      </c>
      <c r="J811" s="1233"/>
      <c r="K811" s="1064"/>
      <c r="L811" s="209">
        <v>3166.8153599999996</v>
      </c>
      <c r="M811" s="120">
        <v>1497.44</v>
      </c>
      <c r="N811" s="115"/>
      <c r="O811" s="115"/>
      <c r="P811" s="115"/>
      <c r="Q811" s="115"/>
      <c r="R811" s="174"/>
      <c r="S811" s="676">
        <v>1669.3753599999995</v>
      </c>
      <c r="T811" s="117">
        <v>10653.492690597539</v>
      </c>
      <c r="U811" s="120"/>
      <c r="V811" s="120"/>
      <c r="W811" s="120">
        <v>789.75080000000003</v>
      </c>
      <c r="X811" s="117">
        <v>5039.9715826604497</v>
      </c>
      <c r="Y811" s="120">
        <v>94.852399999999975</v>
      </c>
      <c r="Z811" s="117">
        <v>605.32183132596003</v>
      </c>
      <c r="AA811" s="120">
        <v>120.49855999999998</v>
      </c>
      <c r="AB811" s="117">
        <v>768.98854442629897</v>
      </c>
      <c r="AC811" s="120">
        <v>265.34409999999991</v>
      </c>
      <c r="AD811" s="177">
        <v>1693.352793851695</v>
      </c>
      <c r="AE811" s="1117"/>
      <c r="AF811" s="1118"/>
      <c r="AG811" s="209">
        <v>1669.3753599999995</v>
      </c>
      <c r="AH811" s="117">
        <v>21306.985381195078</v>
      </c>
      <c r="AI811" s="177">
        <f t="shared" ref="AI811:AI824" si="27">AH811</f>
        <v>21306.985381195078</v>
      </c>
      <c r="AJ811" s="975">
        <v>46172</v>
      </c>
      <c r="AK811" s="981">
        <f>SUM(AI811:AI825)</f>
        <v>74219.336122048262</v>
      </c>
      <c r="AL811" s="1006"/>
      <c r="AM811" s="440"/>
      <c r="AN811" s="89"/>
      <c r="AO811" s="89"/>
    </row>
    <row r="812" spans="1:42" s="69" customFormat="1" ht="12.75" customHeight="1">
      <c r="A812" s="1039"/>
      <c r="B812" s="466"/>
      <c r="C812" s="388"/>
      <c r="D812" s="223" t="s">
        <v>809</v>
      </c>
      <c r="E812" s="225" t="s">
        <v>64</v>
      </c>
      <c r="F812" s="228" t="s">
        <v>64</v>
      </c>
      <c r="G812" s="426">
        <f>2*4929.29</f>
        <v>9858.58</v>
      </c>
      <c r="H812" s="320" t="s">
        <v>64</v>
      </c>
      <c r="I812" s="638" t="s">
        <v>64</v>
      </c>
      <c r="J812" s="1233"/>
      <c r="K812" s="1064"/>
      <c r="L812" s="211">
        <v>287.28106800000006</v>
      </c>
      <c r="M812" s="320" t="s">
        <v>64</v>
      </c>
      <c r="N812" s="188"/>
      <c r="O812" s="188"/>
      <c r="P812" s="188"/>
      <c r="Q812" s="188"/>
      <c r="R812" s="214"/>
      <c r="S812" s="633">
        <v>287.28106800000006</v>
      </c>
      <c r="T812" s="157">
        <v>1833.3484675879345</v>
      </c>
      <c r="U812" s="607" t="s">
        <v>64</v>
      </c>
      <c r="V812" s="7"/>
      <c r="W812" s="7">
        <v>128.16154</v>
      </c>
      <c r="X812" s="157">
        <v>817.89156730199011</v>
      </c>
      <c r="Y812" s="7">
        <v>19.987870000000001</v>
      </c>
      <c r="Z812" s="157">
        <v>127.55706837892565</v>
      </c>
      <c r="AA812" s="7">
        <v>21.533728</v>
      </c>
      <c r="AB812" s="157">
        <v>137.42230737688348</v>
      </c>
      <c r="AC812" s="7">
        <v>47.105029999999999</v>
      </c>
      <c r="AD812" s="176">
        <v>300.61129738693273</v>
      </c>
      <c r="AE812" s="1117"/>
      <c r="AF812" s="1118"/>
      <c r="AG812" s="211">
        <v>287.28106800000006</v>
      </c>
      <c r="AH812" s="157">
        <v>3666.6969351758689</v>
      </c>
      <c r="AI812" s="176">
        <f t="shared" si="27"/>
        <v>3666.6969351758689</v>
      </c>
      <c r="AJ812" s="1003"/>
      <c r="AK812" s="982"/>
      <c r="AL812" s="1006"/>
      <c r="AM812" s="440"/>
      <c r="AN812" s="89"/>
      <c r="AO812" s="89"/>
    </row>
    <row r="813" spans="1:42" s="69" customFormat="1" ht="12.75" customHeight="1">
      <c r="A813" s="1039"/>
      <c r="B813" s="466"/>
      <c r="C813" s="388"/>
      <c r="D813" s="223" t="s">
        <v>810</v>
      </c>
      <c r="E813" s="225" t="s">
        <v>64</v>
      </c>
      <c r="F813" s="228" t="s">
        <v>64</v>
      </c>
      <c r="G813" s="426">
        <f>74*66.612</f>
        <v>4929.2879999999996</v>
      </c>
      <c r="H813" s="320" t="s">
        <v>64</v>
      </c>
      <c r="I813" s="638" t="s">
        <v>64</v>
      </c>
      <c r="J813" s="1233"/>
      <c r="K813" s="1064"/>
      <c r="L813" s="211">
        <v>166.02048479999999</v>
      </c>
      <c r="M813" s="320" t="s">
        <v>64</v>
      </c>
      <c r="N813" s="188"/>
      <c r="O813" s="188"/>
      <c r="P813" s="188"/>
      <c r="Q813" s="188"/>
      <c r="R813" s="214"/>
      <c r="S813" s="633">
        <v>166.02048479999999</v>
      </c>
      <c r="T813" s="157">
        <v>1059.496901467541</v>
      </c>
      <c r="U813" s="607" t="s">
        <v>64</v>
      </c>
      <c r="V813" s="7"/>
      <c r="W813" s="7">
        <v>64.080743999999996</v>
      </c>
      <c r="X813" s="157">
        <v>408.9456177261726</v>
      </c>
      <c r="Y813" s="7">
        <v>12.593931999999999</v>
      </c>
      <c r="Z813" s="157">
        <v>80.37099727402375</v>
      </c>
      <c r="AA813" s="7">
        <v>13.646860800000001</v>
      </c>
      <c r="AB813" s="157">
        <v>87.090498198321384</v>
      </c>
      <c r="AC813" s="7">
        <v>29.852507999999997</v>
      </c>
      <c r="AD813" s="176">
        <v>190.51046480882792</v>
      </c>
      <c r="AE813" s="1117"/>
      <c r="AF813" s="1118"/>
      <c r="AG813" s="211">
        <v>166.02048479999999</v>
      </c>
      <c r="AH813" s="157">
        <v>2118.9938029350819</v>
      </c>
      <c r="AI813" s="176">
        <f t="shared" si="27"/>
        <v>2118.9938029350819</v>
      </c>
      <c r="AJ813" s="1003"/>
      <c r="AK813" s="982"/>
      <c r="AL813" s="1006"/>
      <c r="AM813" s="440"/>
      <c r="AN813" s="89"/>
      <c r="AO813" s="89"/>
    </row>
    <row r="814" spans="1:42" s="69" customFormat="1" ht="12.75" customHeight="1">
      <c r="A814" s="1039"/>
      <c r="B814" s="466"/>
      <c r="C814" s="388"/>
      <c r="D814" s="223" t="s">
        <v>811</v>
      </c>
      <c r="E814" s="225" t="s">
        <v>64</v>
      </c>
      <c r="F814" s="228" t="s">
        <v>64</v>
      </c>
      <c r="G814" s="426">
        <f>150*66.612</f>
        <v>9991.7999999999993</v>
      </c>
      <c r="H814" s="225" t="s">
        <v>64</v>
      </c>
      <c r="I814" s="638" t="s">
        <v>64</v>
      </c>
      <c r="J814" s="1233"/>
      <c r="K814" s="1064"/>
      <c r="L814" s="211">
        <v>290.55828000000002</v>
      </c>
      <c r="M814" s="320" t="s">
        <v>64</v>
      </c>
      <c r="N814" s="188"/>
      <c r="O814" s="188"/>
      <c r="P814" s="188"/>
      <c r="Q814" s="188"/>
      <c r="R814" s="214"/>
      <c r="S814" s="633">
        <v>290.55828000000002</v>
      </c>
      <c r="T814" s="157">
        <v>1854.2627298468046</v>
      </c>
      <c r="U814" s="607" t="s">
        <v>64</v>
      </c>
      <c r="V814" s="7"/>
      <c r="W814" s="7">
        <v>129.89340000000001</v>
      </c>
      <c r="X814" s="157">
        <v>828.94381971521511</v>
      </c>
      <c r="Y814" s="7">
        <v>20.187699999999996</v>
      </c>
      <c r="Z814" s="157">
        <v>128.83232827275936</v>
      </c>
      <c r="AA814" s="7">
        <v>21.746880000000004</v>
      </c>
      <c r="AB814" s="157">
        <v>138.78258459697247</v>
      </c>
      <c r="AC814" s="7">
        <v>47.571300000000001</v>
      </c>
      <c r="AD814" s="176">
        <v>303.58690380587785</v>
      </c>
      <c r="AE814" s="1117"/>
      <c r="AF814" s="1118"/>
      <c r="AG814" s="211">
        <v>290.55828000000002</v>
      </c>
      <c r="AH814" s="157">
        <v>3708.5254596936093</v>
      </c>
      <c r="AI814" s="176">
        <f t="shared" si="27"/>
        <v>3708.5254596936093</v>
      </c>
      <c r="AJ814" s="1003"/>
      <c r="AK814" s="982"/>
      <c r="AL814" s="1006"/>
      <c r="AM814" s="440"/>
      <c r="AN814" s="89"/>
      <c r="AO814" s="89"/>
    </row>
    <row r="815" spans="1:42" s="69" customFormat="1" ht="12.75" customHeight="1">
      <c r="A815" s="1039"/>
      <c r="B815" s="466"/>
      <c r="C815" s="388"/>
      <c r="D815" s="223" t="s">
        <v>812</v>
      </c>
      <c r="E815" s="225" t="s">
        <v>64</v>
      </c>
      <c r="F815" s="228" t="s">
        <v>64</v>
      </c>
      <c r="G815" s="427">
        <v>5316.22</v>
      </c>
      <c r="H815" s="225" t="s">
        <v>64</v>
      </c>
      <c r="I815" s="638" t="s">
        <v>64</v>
      </c>
      <c r="J815" s="1233"/>
      <c r="K815" s="1064"/>
      <c r="L815" s="211">
        <v>175.53901200000001</v>
      </c>
      <c r="M815" s="320" t="s">
        <v>64</v>
      </c>
      <c r="N815" s="188"/>
      <c r="O815" s="188"/>
      <c r="P815" s="188"/>
      <c r="Q815" s="188"/>
      <c r="R815" s="214"/>
      <c r="S815" s="633">
        <v>175.53901200000001</v>
      </c>
      <c r="T815" s="157">
        <v>1120.2415143210901</v>
      </c>
      <c r="U815" s="607" t="s">
        <v>64</v>
      </c>
      <c r="V815" s="7"/>
      <c r="W815" s="7">
        <v>69.110860000000002</v>
      </c>
      <c r="X815" s="157">
        <v>441.04642939674773</v>
      </c>
      <c r="Y815" s="7">
        <v>13.174329999999999</v>
      </c>
      <c r="Z815" s="157">
        <v>84.074937082166983</v>
      </c>
      <c r="AA815" s="7">
        <v>14.265952000000002</v>
      </c>
      <c r="AB815" s="157">
        <v>91.041367327007464</v>
      </c>
      <c r="AC815" s="7">
        <v>31.206770000000002</v>
      </c>
      <c r="AD815" s="176">
        <v>199.15299102782868</v>
      </c>
      <c r="AE815" s="1117"/>
      <c r="AF815" s="1118"/>
      <c r="AG815" s="211">
        <v>175.53901200000001</v>
      </c>
      <c r="AH815" s="157">
        <v>2240.4830286421802</v>
      </c>
      <c r="AI815" s="176">
        <f t="shared" si="27"/>
        <v>2240.4830286421802</v>
      </c>
      <c r="AJ815" s="1003"/>
      <c r="AK815" s="982"/>
      <c r="AL815" s="1006"/>
      <c r="AM815" s="440"/>
      <c r="AN815" s="89"/>
      <c r="AO815" s="89"/>
    </row>
    <row r="816" spans="1:42" s="69" customFormat="1" ht="12.75" customHeight="1">
      <c r="A816" s="1039"/>
      <c r="B816" s="466"/>
      <c r="C816" s="388"/>
      <c r="D816" s="223" t="s">
        <v>813</v>
      </c>
      <c r="E816" s="225" t="s">
        <v>64</v>
      </c>
      <c r="F816" s="228" t="s">
        <v>64</v>
      </c>
      <c r="G816" s="427">
        <f>G815</f>
        <v>5316.22</v>
      </c>
      <c r="H816" s="225" t="s">
        <v>64</v>
      </c>
      <c r="I816" s="638" t="s">
        <v>64</v>
      </c>
      <c r="J816" s="1233"/>
      <c r="K816" s="1064"/>
      <c r="L816" s="211">
        <v>175.53901200000001</v>
      </c>
      <c r="M816" s="320" t="s">
        <v>64</v>
      </c>
      <c r="N816" s="188"/>
      <c r="O816" s="188"/>
      <c r="P816" s="188"/>
      <c r="Q816" s="188"/>
      <c r="R816" s="214"/>
      <c r="S816" s="633">
        <v>175.53901200000001</v>
      </c>
      <c r="T816" s="157">
        <v>1120.2415143210901</v>
      </c>
      <c r="U816" s="607" t="s">
        <v>64</v>
      </c>
      <c r="V816" s="7"/>
      <c r="W816" s="7">
        <v>69.110860000000002</v>
      </c>
      <c r="X816" s="157">
        <v>441.04642939674773</v>
      </c>
      <c r="Y816" s="7">
        <v>13.174329999999999</v>
      </c>
      <c r="Z816" s="157">
        <v>84.074937082166983</v>
      </c>
      <c r="AA816" s="7">
        <v>14.265952000000002</v>
      </c>
      <c r="AB816" s="157">
        <v>91.041367327007464</v>
      </c>
      <c r="AC816" s="7">
        <v>31.206770000000002</v>
      </c>
      <c r="AD816" s="176">
        <v>199.15299102782868</v>
      </c>
      <c r="AE816" s="1117"/>
      <c r="AF816" s="1118"/>
      <c r="AG816" s="211">
        <v>175.53901200000001</v>
      </c>
      <c r="AH816" s="157">
        <v>2240.4830286421802</v>
      </c>
      <c r="AI816" s="176">
        <f t="shared" si="27"/>
        <v>2240.4830286421802</v>
      </c>
      <c r="AJ816" s="1003"/>
      <c r="AK816" s="982"/>
      <c r="AL816" s="1006"/>
      <c r="AM816" s="440"/>
      <c r="AN816" s="89"/>
      <c r="AO816" s="89"/>
    </row>
    <row r="817" spans="1:41" s="69" customFormat="1" ht="12.75" customHeight="1">
      <c r="A817" s="1039"/>
      <c r="B817" s="466"/>
      <c r="C817" s="388"/>
      <c r="D817" s="223" t="s">
        <v>814</v>
      </c>
      <c r="E817" s="225" t="s">
        <v>64</v>
      </c>
      <c r="F817" s="228" t="s">
        <v>64</v>
      </c>
      <c r="G817" s="427">
        <f>G815*10%</f>
        <v>531.62200000000007</v>
      </c>
      <c r="H817" s="225" t="s">
        <v>64</v>
      </c>
      <c r="I817" s="638" t="s">
        <v>64</v>
      </c>
      <c r="J817" s="1233"/>
      <c r="K817" s="1064"/>
      <c r="L817" s="211">
        <v>57.837901200000005</v>
      </c>
      <c r="M817" s="320" t="s">
        <v>64</v>
      </c>
      <c r="N817" s="188"/>
      <c r="O817" s="188"/>
      <c r="P817" s="188"/>
      <c r="Q817" s="188"/>
      <c r="R817" s="214"/>
      <c r="S817" s="633">
        <v>57.837901200000005</v>
      </c>
      <c r="T817" s="157">
        <v>369.10551841001387</v>
      </c>
      <c r="U817" s="607" t="s">
        <v>64</v>
      </c>
      <c r="V817" s="7"/>
      <c r="W817" s="7">
        <v>6.9110860000000018</v>
      </c>
      <c r="X817" s="157">
        <v>44.104642939674726</v>
      </c>
      <c r="Y817" s="7">
        <v>5.997433</v>
      </c>
      <c r="Z817" s="157">
        <v>38.273961721735482</v>
      </c>
      <c r="AA817" s="7">
        <v>6.6105952000000006</v>
      </c>
      <c r="AB817" s="157">
        <v>42.186993609213907</v>
      </c>
      <c r="AC817" s="7">
        <v>14.460676999999999</v>
      </c>
      <c r="AD817" s="176">
        <v>92.284048520155338</v>
      </c>
      <c r="AE817" s="1117"/>
      <c r="AF817" s="1118"/>
      <c r="AG817" s="211">
        <v>57.837901200000005</v>
      </c>
      <c r="AH817" s="157">
        <v>738.21103682002774</v>
      </c>
      <c r="AI817" s="176">
        <f t="shared" si="27"/>
        <v>738.21103682002774</v>
      </c>
      <c r="AJ817" s="1003"/>
      <c r="AK817" s="982"/>
      <c r="AL817" s="1006"/>
      <c r="AM817" s="440"/>
      <c r="AN817" s="89"/>
      <c r="AO817" s="89"/>
    </row>
    <row r="818" spans="1:41" s="69" customFormat="1" ht="12.75" customHeight="1">
      <c r="A818" s="1039"/>
      <c r="B818" s="466"/>
      <c r="C818" s="388"/>
      <c r="D818" s="223" t="s">
        <v>815</v>
      </c>
      <c r="E818" s="225" t="s">
        <v>64</v>
      </c>
      <c r="F818" s="228" t="s">
        <v>64</v>
      </c>
      <c r="G818" s="427">
        <f>G817</f>
        <v>531.62200000000007</v>
      </c>
      <c r="H818" s="225" t="s">
        <v>64</v>
      </c>
      <c r="I818" s="639" t="s">
        <v>64</v>
      </c>
      <c r="J818" s="1233"/>
      <c r="K818" s="1064"/>
      <c r="L818" s="211">
        <v>57.837901200000005</v>
      </c>
      <c r="M818" s="320" t="s">
        <v>64</v>
      </c>
      <c r="N818" s="188"/>
      <c r="O818" s="188"/>
      <c r="P818" s="188"/>
      <c r="Q818" s="188"/>
      <c r="R818" s="214"/>
      <c r="S818" s="633">
        <v>57.837901200000005</v>
      </c>
      <c r="T818" s="157">
        <v>369.10551841001387</v>
      </c>
      <c r="U818" s="607" t="s">
        <v>64</v>
      </c>
      <c r="V818" s="7"/>
      <c r="W818" s="7">
        <v>6.9110860000000018</v>
      </c>
      <c r="X818" s="157">
        <v>44.104642939674726</v>
      </c>
      <c r="Y818" s="7">
        <v>5.997433</v>
      </c>
      <c r="Z818" s="157">
        <v>38.273961721735482</v>
      </c>
      <c r="AA818" s="7">
        <v>6.6105952000000006</v>
      </c>
      <c r="AB818" s="157">
        <v>42.186993609213907</v>
      </c>
      <c r="AC818" s="7">
        <v>14.460676999999999</v>
      </c>
      <c r="AD818" s="176">
        <v>92.284048520155338</v>
      </c>
      <c r="AE818" s="1117"/>
      <c r="AF818" s="1118"/>
      <c r="AG818" s="211">
        <v>57.837901200000005</v>
      </c>
      <c r="AH818" s="157">
        <v>738.21103682002774</v>
      </c>
      <c r="AI818" s="176">
        <f t="shared" si="27"/>
        <v>738.21103682002774</v>
      </c>
      <c r="AJ818" s="1003"/>
      <c r="AK818" s="982"/>
      <c r="AL818" s="1006"/>
      <c r="AM818" s="440"/>
      <c r="AN818" s="89"/>
      <c r="AO818" s="89"/>
    </row>
    <row r="819" spans="1:41" s="69" customFormat="1" ht="15.75" customHeight="1">
      <c r="A819" s="1039"/>
      <c r="B819" s="465"/>
      <c r="C819" s="386"/>
      <c r="D819" s="223" t="s">
        <v>816</v>
      </c>
      <c r="E819" s="225" t="s">
        <v>64</v>
      </c>
      <c r="F819" s="228" t="s">
        <v>64</v>
      </c>
      <c r="G819" s="427">
        <f>G781*2</f>
        <v>1063.2430000000002</v>
      </c>
      <c r="H819" s="225" t="s">
        <v>64</v>
      </c>
      <c r="I819" s="639" t="s">
        <v>64</v>
      </c>
      <c r="J819" s="1233"/>
      <c r="K819" s="1064"/>
      <c r="L819" s="211">
        <v>70.915777800000001</v>
      </c>
      <c r="M819" s="320" t="s">
        <v>64</v>
      </c>
      <c r="N819" s="188"/>
      <c r="O819" s="188"/>
      <c r="P819" s="188"/>
      <c r="Q819" s="188"/>
      <c r="R819" s="214"/>
      <c r="S819" s="676">
        <v>70.915777800000001</v>
      </c>
      <c r="T819" s="157">
        <v>452.56491652083508</v>
      </c>
      <c r="U819" s="607" t="s">
        <v>64</v>
      </c>
      <c r="V819" s="7"/>
      <c r="W819" s="7">
        <v>13.822159000000003</v>
      </c>
      <c r="X819" s="157">
        <v>88.209202916938182</v>
      </c>
      <c r="Y819" s="7">
        <v>6.7948645000000001</v>
      </c>
      <c r="Z819" s="157">
        <v>43.36294941141977</v>
      </c>
      <c r="AA819" s="7">
        <v>7.4611888000000004</v>
      </c>
      <c r="AB819" s="157">
        <v>47.61524714487711</v>
      </c>
      <c r="AC819" s="7">
        <v>16.321350499999998</v>
      </c>
      <c r="AD819" s="176">
        <v>104.15835312941869</v>
      </c>
      <c r="AE819" s="1117"/>
      <c r="AF819" s="1118"/>
      <c r="AG819" s="211">
        <v>70.915777800000001</v>
      </c>
      <c r="AH819" s="157">
        <v>905.12983304167017</v>
      </c>
      <c r="AI819" s="176">
        <f t="shared" si="27"/>
        <v>905.12983304167017</v>
      </c>
      <c r="AJ819" s="1003"/>
      <c r="AK819" s="982"/>
      <c r="AL819" s="1006"/>
      <c r="AM819" s="440"/>
      <c r="AN819" s="89"/>
      <c r="AO819" s="89"/>
    </row>
    <row r="820" spans="1:41" s="69" customFormat="1" ht="15" customHeight="1">
      <c r="A820" s="1039"/>
      <c r="B820" s="465"/>
      <c r="C820" s="386"/>
      <c r="D820" s="223" t="s">
        <v>820</v>
      </c>
      <c r="E820" s="225" t="s">
        <v>64</v>
      </c>
      <c r="F820" s="228" t="s">
        <v>64</v>
      </c>
      <c r="G820" s="426">
        <v>12000</v>
      </c>
      <c r="H820" s="225" t="s">
        <v>64</v>
      </c>
      <c r="I820" s="639" t="s">
        <v>64</v>
      </c>
      <c r="J820" s="1233"/>
      <c r="K820" s="1064"/>
      <c r="L820" s="211">
        <v>339.96000000000004</v>
      </c>
      <c r="M820" s="320" t="s">
        <v>64</v>
      </c>
      <c r="N820" s="188"/>
      <c r="O820" s="188"/>
      <c r="P820" s="188"/>
      <c r="Q820" s="188"/>
      <c r="R820" s="214"/>
      <c r="S820" s="676">
        <v>339.96000000000004</v>
      </c>
      <c r="T820" s="157">
        <v>2169.5308687768929</v>
      </c>
      <c r="U820" s="607" t="s">
        <v>64</v>
      </c>
      <c r="V820" s="7"/>
      <c r="W820" s="7">
        <v>156</v>
      </c>
      <c r="X820" s="157">
        <v>995.54893378396127</v>
      </c>
      <c r="Y820" s="7">
        <v>23.199999999999996</v>
      </c>
      <c r="Z820" s="157">
        <v>148.0559952806916</v>
      </c>
      <c r="AA820" s="7">
        <v>24.960000000000004</v>
      </c>
      <c r="AB820" s="157">
        <v>159.28782940543374</v>
      </c>
      <c r="AC820" s="7">
        <v>54.599999999999994</v>
      </c>
      <c r="AD820" s="176">
        <v>348.44212682438649</v>
      </c>
      <c r="AE820" s="1117"/>
      <c r="AF820" s="1118"/>
      <c r="AG820" s="211">
        <v>339.96000000000004</v>
      </c>
      <c r="AH820" s="157">
        <v>4339.0617375537859</v>
      </c>
      <c r="AI820" s="176">
        <f t="shared" si="27"/>
        <v>4339.0617375537859</v>
      </c>
      <c r="AJ820" s="1003"/>
      <c r="AK820" s="982"/>
      <c r="AL820" s="1006"/>
      <c r="AM820" s="440"/>
      <c r="AN820" s="108"/>
      <c r="AO820" s="89"/>
    </row>
    <row r="821" spans="1:41" s="69" customFormat="1" ht="15" customHeight="1">
      <c r="A821" s="1039"/>
      <c r="B821" s="465"/>
      <c r="C821" s="386"/>
      <c r="D821" s="223" t="s">
        <v>821</v>
      </c>
      <c r="E821" s="225" t="s">
        <v>64</v>
      </c>
      <c r="F821" s="228" t="s">
        <v>64</v>
      </c>
      <c r="G821" s="426">
        <f>G786</f>
        <v>31897.29</v>
      </c>
      <c r="H821" s="225" t="s">
        <v>64</v>
      </c>
      <c r="I821" s="639" t="s">
        <v>64</v>
      </c>
      <c r="J821" s="1233"/>
      <c r="K821" s="1064"/>
      <c r="L821" s="211">
        <v>829.43333400000006</v>
      </c>
      <c r="M821" s="320" t="s">
        <v>64</v>
      </c>
      <c r="N821" s="188"/>
      <c r="O821" s="188"/>
      <c r="P821" s="188"/>
      <c r="Q821" s="188"/>
      <c r="R821" s="214"/>
      <c r="S821" s="676">
        <v>829.43333400000006</v>
      </c>
      <c r="T821" s="157">
        <v>5293.214559670364</v>
      </c>
      <c r="U821" s="607" t="s">
        <v>64</v>
      </c>
      <c r="V821" s="7"/>
      <c r="W821" s="7">
        <v>414.66477000000003</v>
      </c>
      <c r="X821" s="157">
        <v>2646.2760875081522</v>
      </c>
      <c r="Y821" s="7">
        <v>53.045935000000007</v>
      </c>
      <c r="Z821" s="157">
        <v>338.52451301809799</v>
      </c>
      <c r="AA821" s="7">
        <v>56.795664000000009</v>
      </c>
      <c r="AB821" s="157">
        <v>362.45424832533371</v>
      </c>
      <c r="AC821" s="7">
        <v>124.240515</v>
      </c>
      <c r="AD821" s="176">
        <v>792.86866821166791</v>
      </c>
      <c r="AE821" s="1117"/>
      <c r="AF821" s="1118"/>
      <c r="AG821" s="211">
        <v>829.43333400000006</v>
      </c>
      <c r="AH821" s="157">
        <v>10586.429119340728</v>
      </c>
      <c r="AI821" s="176">
        <f t="shared" si="27"/>
        <v>10586.429119340728</v>
      </c>
      <c r="AJ821" s="1003"/>
      <c r="AK821" s="982"/>
      <c r="AL821" s="1006"/>
      <c r="AM821" s="440"/>
      <c r="AN821" s="108"/>
      <c r="AO821" s="89"/>
    </row>
    <row r="822" spans="1:41" s="69" customFormat="1" ht="15" customHeight="1">
      <c r="A822" s="1039"/>
      <c r="B822" s="465"/>
      <c r="C822" s="386"/>
      <c r="D822" s="223" t="s">
        <v>822</v>
      </c>
      <c r="E822" s="225" t="s">
        <v>64</v>
      </c>
      <c r="F822" s="228" t="s">
        <v>64</v>
      </c>
      <c r="G822" s="426">
        <f>G785-G821</f>
        <v>47845.935000000005</v>
      </c>
      <c r="H822" s="225" t="s">
        <v>64</v>
      </c>
      <c r="I822" s="639" t="s">
        <v>64</v>
      </c>
      <c r="J822" s="1233"/>
      <c r="K822" s="1064"/>
      <c r="L822" s="211">
        <v>1221.7700010000003</v>
      </c>
      <c r="M822" s="320" t="s">
        <v>64</v>
      </c>
      <c r="N822" s="188"/>
      <c r="O822" s="188"/>
      <c r="P822" s="188"/>
      <c r="Q822" s="188"/>
      <c r="R822" s="214"/>
      <c r="S822" s="676">
        <v>1221.7700010000003</v>
      </c>
      <c r="T822" s="157">
        <v>7796.9988578511557</v>
      </c>
      <c r="U822" s="607" t="s">
        <v>64</v>
      </c>
      <c r="V822" s="7"/>
      <c r="W822" s="7">
        <v>621.99715500000013</v>
      </c>
      <c r="X822" s="157">
        <v>3969.4141312622278</v>
      </c>
      <c r="Y822" s="7">
        <v>76.968902500000013</v>
      </c>
      <c r="Z822" s="157">
        <v>491.19428729741401</v>
      </c>
      <c r="AA822" s="7">
        <v>82.313496000000015</v>
      </c>
      <c r="AB822" s="157">
        <v>525.30200755660496</v>
      </c>
      <c r="AC822" s="7">
        <v>180.06077250000001</v>
      </c>
      <c r="AD822" s="176">
        <v>1149.0981415300728</v>
      </c>
      <c r="AE822" s="1117"/>
      <c r="AF822" s="1118"/>
      <c r="AG822" s="211">
        <v>1221.7700010000003</v>
      </c>
      <c r="AH822" s="157">
        <v>15593.997715702311</v>
      </c>
      <c r="AI822" s="177">
        <f t="shared" si="27"/>
        <v>15593.997715702311</v>
      </c>
      <c r="AJ822" s="1003"/>
      <c r="AK822" s="982"/>
      <c r="AL822" s="1006"/>
      <c r="AM822" s="440"/>
      <c r="AN822" s="108"/>
      <c r="AO822" s="89"/>
    </row>
    <row r="823" spans="1:41" s="69" customFormat="1" ht="15" customHeight="1">
      <c r="A823" s="1039"/>
      <c r="B823" s="465"/>
      <c r="C823" s="386"/>
      <c r="D823" s="223" t="s">
        <v>823</v>
      </c>
      <c r="E823" s="225" t="s">
        <v>64</v>
      </c>
      <c r="F823" s="228" t="s">
        <v>64</v>
      </c>
      <c r="G823" s="427">
        <v>11111.11</v>
      </c>
      <c r="H823" s="225" t="s">
        <v>64</v>
      </c>
      <c r="I823" s="639" t="s">
        <v>64</v>
      </c>
      <c r="J823" s="1233"/>
      <c r="K823" s="1064"/>
      <c r="L823" s="211">
        <v>318.09330600000004</v>
      </c>
      <c r="M823" s="320" t="s">
        <v>64</v>
      </c>
      <c r="N823" s="188"/>
      <c r="O823" s="188"/>
      <c r="P823" s="188"/>
      <c r="Q823" s="188"/>
      <c r="R823" s="214"/>
      <c r="S823" s="676">
        <v>318.09330600000004</v>
      </c>
      <c r="T823" s="157">
        <v>2029.9836643084288</v>
      </c>
      <c r="U823" s="607" t="s">
        <v>64</v>
      </c>
      <c r="V823" s="7"/>
      <c r="W823" s="7">
        <v>144.44443000000001</v>
      </c>
      <c r="X823" s="157">
        <v>921.80447613802573</v>
      </c>
      <c r="Y823" s="7">
        <v>21.866665000000001</v>
      </c>
      <c r="Z823" s="157">
        <v>139.54701939846828</v>
      </c>
      <c r="AA823" s="7">
        <v>23.537776000000008</v>
      </c>
      <c r="AB823" s="157">
        <v>150.21158846439548</v>
      </c>
      <c r="AC823" s="7">
        <v>51.488885000000003</v>
      </c>
      <c r="AD823" s="176">
        <v>328.58784976586531</v>
      </c>
      <c r="AE823" s="1117"/>
      <c r="AF823" s="1118"/>
      <c r="AG823" s="211">
        <v>318.09330600000004</v>
      </c>
      <c r="AH823" s="157">
        <v>4059.9673286168577</v>
      </c>
      <c r="AI823" s="177">
        <f t="shared" si="27"/>
        <v>4059.9673286168577</v>
      </c>
      <c r="AJ823" s="1003"/>
      <c r="AK823" s="982"/>
      <c r="AL823" s="1006"/>
      <c r="AM823" s="440"/>
      <c r="AN823" s="108"/>
      <c r="AO823" s="89"/>
    </row>
    <row r="824" spans="1:41" s="69" customFormat="1" ht="15" customHeight="1">
      <c r="A824" s="1039"/>
      <c r="B824" s="466"/>
      <c r="C824" s="388"/>
      <c r="D824" s="223" t="s">
        <v>825</v>
      </c>
      <c r="E824" s="320" t="s">
        <v>64</v>
      </c>
      <c r="F824" s="607" t="s">
        <v>64</v>
      </c>
      <c r="G824" s="427">
        <v>1111.1099999999999</v>
      </c>
      <c r="H824" s="225" t="s">
        <v>64</v>
      </c>
      <c r="I824" s="639" t="s">
        <v>64</v>
      </c>
      <c r="J824" s="1233"/>
      <c r="K824" s="1064"/>
      <c r="L824" s="211">
        <v>72.093305999999984</v>
      </c>
      <c r="M824" s="320" t="s">
        <v>64</v>
      </c>
      <c r="N824" s="188"/>
      <c r="O824" s="188"/>
      <c r="P824" s="188"/>
      <c r="Q824" s="188"/>
      <c r="R824" s="214"/>
      <c r="S824" s="676">
        <v>72.093305999999984</v>
      </c>
      <c r="T824" s="157">
        <v>460.07957641833917</v>
      </c>
      <c r="U824" s="607" t="s">
        <v>64</v>
      </c>
      <c r="V824" s="7"/>
      <c r="W824" s="7">
        <v>14.444430000000001</v>
      </c>
      <c r="X824" s="157">
        <v>92.180364651391415</v>
      </c>
      <c r="Y824" s="7">
        <v>6.8666649999999994</v>
      </c>
      <c r="Z824" s="157">
        <v>43.821160380779759</v>
      </c>
      <c r="AA824" s="7">
        <v>7.5377759999999991</v>
      </c>
      <c r="AB824" s="157">
        <v>48.104005512194426</v>
      </c>
      <c r="AC824" s="7">
        <v>16.488884999999996</v>
      </c>
      <c r="AD824" s="176">
        <v>105.2275120579253</v>
      </c>
      <c r="AE824" s="1117"/>
      <c r="AF824" s="1118"/>
      <c r="AG824" s="211">
        <v>72.093305999999984</v>
      </c>
      <c r="AH824" s="157">
        <v>920.15915283667835</v>
      </c>
      <c r="AI824" s="177">
        <f t="shared" si="27"/>
        <v>920.15915283667835</v>
      </c>
      <c r="AJ824" s="1003"/>
      <c r="AK824" s="982"/>
      <c r="AL824" s="1006"/>
      <c r="AM824" s="440"/>
      <c r="AN824" s="108"/>
      <c r="AO824" s="89"/>
    </row>
    <row r="825" spans="1:41" s="69" customFormat="1" ht="12.75" customHeight="1" thickBot="1">
      <c r="A825" s="1039"/>
      <c r="B825" s="623"/>
      <c r="C825" s="624"/>
      <c r="D825" s="224" t="s">
        <v>826</v>
      </c>
      <c r="E825" s="409" t="s">
        <v>64</v>
      </c>
      <c r="F825" s="313" t="s">
        <v>64</v>
      </c>
      <c r="G825" s="429">
        <v>1111.1099999999999</v>
      </c>
      <c r="H825" s="226" t="s">
        <v>64</v>
      </c>
      <c r="I825" s="641" t="s">
        <v>64</v>
      </c>
      <c r="J825" s="1233"/>
      <c r="K825" s="1064"/>
      <c r="L825" s="199">
        <v>72.093305999999984</v>
      </c>
      <c r="M825" s="226" t="s">
        <v>64</v>
      </c>
      <c r="N825" s="116"/>
      <c r="O825" s="116"/>
      <c r="P825" s="116"/>
      <c r="Q825" s="116"/>
      <c r="R825" s="175"/>
      <c r="S825" s="28">
        <v>72.093305999999984</v>
      </c>
      <c r="T825" s="118">
        <v>460.07957641833917</v>
      </c>
      <c r="U825" s="229" t="s">
        <v>64</v>
      </c>
      <c r="V825" s="28"/>
      <c r="W825" s="28">
        <v>14.444430000000001</v>
      </c>
      <c r="X825" s="118">
        <v>92.180364651391415</v>
      </c>
      <c r="Y825" s="28">
        <v>6.8666649999999994</v>
      </c>
      <c r="Z825" s="118">
        <v>43.821160380779759</v>
      </c>
      <c r="AA825" s="28">
        <v>7.5377759999999991</v>
      </c>
      <c r="AB825" s="118">
        <v>48.104005512194426</v>
      </c>
      <c r="AC825" s="28">
        <v>16.488884999999996</v>
      </c>
      <c r="AD825" s="180">
        <v>105.2275120579253</v>
      </c>
      <c r="AE825" s="1117"/>
      <c r="AF825" s="1118"/>
      <c r="AG825" s="193">
        <v>72.093305999999984</v>
      </c>
      <c r="AH825" s="118">
        <v>920</v>
      </c>
      <c r="AI825" s="180">
        <f>R825+X825+Z825+AH825</f>
        <v>1056.0015250321712</v>
      </c>
      <c r="AJ825" s="1004"/>
      <c r="AK825" s="983"/>
      <c r="AL825" s="1006"/>
      <c r="AM825" s="440"/>
      <c r="AN825" s="89"/>
      <c r="AO825" s="89"/>
    </row>
    <row r="826" spans="1:41" s="69" customFormat="1" ht="12.75" customHeight="1">
      <c r="A826" s="1039"/>
      <c r="B826" s="232" t="s">
        <v>151</v>
      </c>
      <c r="C826" s="912" t="s">
        <v>151</v>
      </c>
      <c r="D826" s="222" t="s">
        <v>424</v>
      </c>
      <c r="E826" s="240" t="s">
        <v>1</v>
      </c>
      <c r="F826" s="634"/>
      <c r="G826" s="433">
        <v>21822.09</v>
      </c>
      <c r="H826" s="430">
        <v>21817.18</v>
      </c>
      <c r="I826" s="642"/>
      <c r="J826" s="1233"/>
      <c r="K826" s="1064"/>
      <c r="L826" s="209">
        <v>635.0471328000001</v>
      </c>
      <c r="M826" s="120">
        <v>315.62</v>
      </c>
      <c r="N826" s="115"/>
      <c r="O826" s="115"/>
      <c r="P826" s="115"/>
      <c r="Q826" s="115"/>
      <c r="R826" s="174"/>
      <c r="S826" s="676">
        <v>319.42713280000009</v>
      </c>
      <c r="T826" s="117">
        <v>816.77817754280863</v>
      </c>
      <c r="U826" s="115"/>
      <c r="V826" s="115"/>
      <c r="W826" s="115"/>
      <c r="X826" s="174"/>
      <c r="Y826" s="120">
        <v>2</v>
      </c>
      <c r="Z826" s="117">
        <v>5.1140187771976811</v>
      </c>
      <c r="AA826" s="120">
        <v>60.080412799999998</v>
      </c>
      <c r="AB826" s="117">
        <v>153.62617960049397</v>
      </c>
      <c r="AC826" s="120">
        <v>110.15255680000001</v>
      </c>
      <c r="AD826" s="177">
        <v>281.66112191576718</v>
      </c>
      <c r="AE826" s="1117"/>
      <c r="AF826" s="1118"/>
      <c r="AG826" s="209">
        <v>319.42713280000009</v>
      </c>
      <c r="AH826" s="117">
        <v>1633.5563550856173</v>
      </c>
      <c r="AI826" s="177">
        <f t="shared" ref="AI826:AI837" si="28">AH826</f>
        <v>1633.5563550856173</v>
      </c>
      <c r="AJ826" s="975">
        <v>46174</v>
      </c>
      <c r="AK826" s="981">
        <f>SUM(AI826:AI837)</f>
        <v>16813.425437266371</v>
      </c>
      <c r="AL826" s="1006"/>
      <c r="AM826" s="440"/>
      <c r="AN826" s="89"/>
      <c r="AO826" s="89"/>
    </row>
    <row r="827" spans="1:41" s="69" customFormat="1" ht="12.75" customHeight="1">
      <c r="A827" s="1039"/>
      <c r="B827" s="469"/>
      <c r="C827" s="388"/>
      <c r="D827" s="223" t="s">
        <v>809</v>
      </c>
      <c r="E827" s="225" t="s">
        <v>64</v>
      </c>
      <c r="F827" s="635"/>
      <c r="G827" s="431">
        <f>8*9991.8</f>
        <v>79934.399999999994</v>
      </c>
      <c r="H827" s="320" t="s">
        <v>64</v>
      </c>
      <c r="I827" s="643"/>
      <c r="J827" s="1233"/>
      <c r="K827" s="1064"/>
      <c r="L827" s="211">
        <v>845.54924799999992</v>
      </c>
      <c r="M827" s="320" t="s">
        <v>64</v>
      </c>
      <c r="N827" s="188"/>
      <c r="O827" s="188"/>
      <c r="P827" s="188"/>
      <c r="Q827" s="188"/>
      <c r="R827" s="214"/>
      <c r="S827" s="633">
        <v>845.54924799999992</v>
      </c>
      <c r="T827" s="157">
        <v>2162.0773656586898</v>
      </c>
      <c r="U827" s="636"/>
      <c r="V827" s="188"/>
      <c r="W827" s="188"/>
      <c r="X827" s="214"/>
      <c r="Y827" s="7">
        <v>3</v>
      </c>
      <c r="Z827" s="157">
        <v>7.671028165796522</v>
      </c>
      <c r="AA827" s="7">
        <v>163.07404799999998</v>
      </c>
      <c r="AB827" s="157">
        <v>416.98187177281807</v>
      </c>
      <c r="AC827" s="7">
        <v>298.969088</v>
      </c>
      <c r="AD827" s="176">
        <v>764.46676491683263</v>
      </c>
      <c r="AE827" s="1117"/>
      <c r="AF827" s="1118"/>
      <c r="AG827" s="211">
        <v>845.54924799999992</v>
      </c>
      <c r="AH827" s="157">
        <v>4324.1547313173796</v>
      </c>
      <c r="AI827" s="176">
        <f t="shared" si="28"/>
        <v>4324.1547313173796</v>
      </c>
      <c r="AJ827" s="1003"/>
      <c r="AK827" s="982"/>
      <c r="AL827" s="1006"/>
      <c r="AM827" s="440"/>
      <c r="AN827" s="89"/>
      <c r="AO827" s="89"/>
    </row>
    <row r="828" spans="1:41" s="69" customFormat="1" ht="12.75" customHeight="1">
      <c r="A828" s="1039"/>
      <c r="B828" s="469"/>
      <c r="C828" s="388"/>
      <c r="D828" s="223" t="s">
        <v>810</v>
      </c>
      <c r="E828" s="225" t="s">
        <v>64</v>
      </c>
      <c r="F828" s="635"/>
      <c r="G828" s="431">
        <f>7*9991.8</f>
        <v>69942.599999999991</v>
      </c>
      <c r="H828" s="320" t="s">
        <v>64</v>
      </c>
      <c r="I828" s="643"/>
      <c r="J828" s="1233"/>
      <c r="K828" s="1064"/>
      <c r="L828" s="211">
        <v>746.43059199999993</v>
      </c>
      <c r="M828" s="320" t="s">
        <v>64</v>
      </c>
      <c r="N828" s="188"/>
      <c r="O828" s="188"/>
      <c r="P828" s="188"/>
      <c r="Q828" s="188"/>
      <c r="R828" s="214"/>
      <c r="S828" s="633">
        <v>746.43059199999993</v>
      </c>
      <c r="T828" s="157">
        <v>1908.6300316813908</v>
      </c>
      <c r="U828" s="636"/>
      <c r="V828" s="188"/>
      <c r="W828" s="188"/>
      <c r="X828" s="214"/>
      <c r="Y828" s="7">
        <v>3</v>
      </c>
      <c r="Z828" s="157">
        <v>7.671028165796522</v>
      </c>
      <c r="AA828" s="7">
        <v>143.889792</v>
      </c>
      <c r="AB828" s="157">
        <v>367.92754906753436</v>
      </c>
      <c r="AC828" s="7">
        <v>263.79795200000001</v>
      </c>
      <c r="AD828" s="176">
        <v>674.53383995714637</v>
      </c>
      <c r="AE828" s="1117"/>
      <c r="AF828" s="1118"/>
      <c r="AG828" s="211">
        <v>746.43059199999993</v>
      </c>
      <c r="AH828" s="157">
        <v>3817.2600633627817</v>
      </c>
      <c r="AI828" s="176">
        <f t="shared" si="28"/>
        <v>3817.2600633627817</v>
      </c>
      <c r="AJ828" s="1003"/>
      <c r="AK828" s="982"/>
      <c r="AL828" s="1006"/>
      <c r="AM828" s="440"/>
      <c r="AN828" s="89"/>
      <c r="AO828" s="89"/>
    </row>
    <row r="829" spans="1:41" s="69" customFormat="1" ht="12.75" customHeight="1">
      <c r="A829" s="1039"/>
      <c r="B829" s="469"/>
      <c r="C829" s="388"/>
      <c r="D829" s="223" t="s">
        <v>811</v>
      </c>
      <c r="E829" s="225" t="s">
        <v>64</v>
      </c>
      <c r="F829" s="635"/>
      <c r="G829" s="431">
        <f>G826/5</f>
        <v>4364.4179999999997</v>
      </c>
      <c r="H829" s="225" t="s">
        <v>64</v>
      </c>
      <c r="I829" s="643"/>
      <c r="J829" s="1233"/>
      <c r="K829" s="1064"/>
      <c r="L829" s="211">
        <v>95.895026560000005</v>
      </c>
      <c r="M829" s="320" t="s">
        <v>64</v>
      </c>
      <c r="N829" s="188"/>
      <c r="O829" s="188"/>
      <c r="P829" s="188"/>
      <c r="Q829" s="188"/>
      <c r="R829" s="214"/>
      <c r="S829" s="633">
        <v>95.895026560000005</v>
      </c>
      <c r="T829" s="157">
        <v>245.2044832338552</v>
      </c>
      <c r="U829" s="636"/>
      <c r="V829" s="188"/>
      <c r="W829" s="188"/>
      <c r="X829" s="214"/>
      <c r="Y829" s="7">
        <v>3</v>
      </c>
      <c r="Z829" s="157">
        <v>7.671028165796522</v>
      </c>
      <c r="AA829" s="7">
        <v>17.979682560000001</v>
      </c>
      <c r="AB829" s="157">
        <v>45.974217109946835</v>
      </c>
      <c r="AC829" s="7">
        <v>32.962751360000006</v>
      </c>
      <c r="AD829" s="176">
        <v>84.286064701569217</v>
      </c>
      <c r="AE829" s="1117"/>
      <c r="AF829" s="1118"/>
      <c r="AG829" s="211">
        <v>95.895026560000005</v>
      </c>
      <c r="AH829" s="157">
        <v>490.4089664677104</v>
      </c>
      <c r="AI829" s="176">
        <f t="shared" si="28"/>
        <v>490.4089664677104</v>
      </c>
      <c r="AJ829" s="1003"/>
      <c r="AK829" s="982"/>
      <c r="AL829" s="1006"/>
      <c r="AM829" s="440"/>
      <c r="AN829" s="89"/>
      <c r="AO829" s="89"/>
    </row>
    <row r="830" spans="1:41" s="69" customFormat="1" ht="12.75" customHeight="1">
      <c r="A830" s="1039"/>
      <c r="B830" s="469"/>
      <c r="C830" s="388"/>
      <c r="D830" s="223" t="s">
        <v>812</v>
      </c>
      <c r="E830" s="225" t="s">
        <v>64</v>
      </c>
      <c r="F830" s="635"/>
      <c r="G830" s="479">
        <v>5316.22</v>
      </c>
      <c r="H830" s="225" t="s">
        <v>64</v>
      </c>
      <c r="I830" s="643"/>
      <c r="J830" s="1233"/>
      <c r="K830" s="1064"/>
      <c r="L830" s="211">
        <v>105.33690240000001</v>
      </c>
      <c r="M830" s="320" t="s">
        <v>64</v>
      </c>
      <c r="N830" s="188"/>
      <c r="O830" s="188"/>
      <c r="P830" s="188"/>
      <c r="Q830" s="188"/>
      <c r="R830" s="214"/>
      <c r="S830" s="633">
        <v>105.33690240000001</v>
      </c>
      <c r="T830" s="157">
        <v>269.34744840271981</v>
      </c>
      <c r="U830" s="636"/>
      <c r="V830" s="188"/>
      <c r="W830" s="188"/>
      <c r="X830" s="214"/>
      <c r="Y830" s="7">
        <v>3</v>
      </c>
      <c r="Z830" s="157">
        <v>7.671028165796522</v>
      </c>
      <c r="AA830" s="7">
        <v>19.8071424</v>
      </c>
      <c r="AB830" s="157">
        <v>50.647049078114172</v>
      </c>
      <c r="AC830" s="7">
        <v>36.313094400000004</v>
      </c>
      <c r="AD830" s="176">
        <v>92.852923309875976</v>
      </c>
      <c r="AE830" s="1117"/>
      <c r="AF830" s="1118"/>
      <c r="AG830" s="211">
        <v>105.33690240000001</v>
      </c>
      <c r="AH830" s="157">
        <v>538.69489680543961</v>
      </c>
      <c r="AI830" s="176">
        <f t="shared" si="28"/>
        <v>538.69489680543961</v>
      </c>
      <c r="AJ830" s="1003"/>
      <c r="AK830" s="982"/>
      <c r="AL830" s="1006"/>
      <c r="AM830" s="440"/>
      <c r="AN830" s="89"/>
      <c r="AO830" s="89"/>
    </row>
    <row r="831" spans="1:41" s="69" customFormat="1" ht="12.75" customHeight="1">
      <c r="A831" s="1039"/>
      <c r="B831" s="469"/>
      <c r="C831" s="388"/>
      <c r="D831" s="223" t="s">
        <v>813</v>
      </c>
      <c r="E831" s="225" t="s">
        <v>64</v>
      </c>
      <c r="F831" s="635"/>
      <c r="G831" s="479">
        <f>7*G830*10%</f>
        <v>3721.3540000000003</v>
      </c>
      <c r="H831" s="225" t="s">
        <v>64</v>
      </c>
      <c r="I831" s="643"/>
      <c r="J831" s="1233"/>
      <c r="K831" s="1064"/>
      <c r="L831" s="211">
        <v>89.515831679999991</v>
      </c>
      <c r="M831" s="320" t="s">
        <v>64</v>
      </c>
      <c r="N831" s="188"/>
      <c r="O831" s="188"/>
      <c r="P831" s="188"/>
      <c r="Q831" s="188"/>
      <c r="R831" s="214"/>
      <c r="S831" s="633">
        <v>89.515831679999991</v>
      </c>
      <c r="T831" s="157">
        <v>228.89282203399358</v>
      </c>
      <c r="U831" s="636"/>
      <c r="V831" s="188"/>
      <c r="W831" s="188"/>
      <c r="X831" s="214"/>
      <c r="Y831" s="7">
        <v>3</v>
      </c>
      <c r="Z831" s="157">
        <v>7.671028165796522</v>
      </c>
      <c r="AA831" s="7">
        <v>16.744999679999999</v>
      </c>
      <c r="AB831" s="157">
        <v>42.817121393844573</v>
      </c>
      <c r="AC831" s="7">
        <v>30.699166080000001</v>
      </c>
      <c r="AD831" s="176">
        <v>78.498055888715072</v>
      </c>
      <c r="AE831" s="1117"/>
      <c r="AF831" s="1118"/>
      <c r="AG831" s="211">
        <v>89.515831679999991</v>
      </c>
      <c r="AH831" s="157">
        <v>457.78564406798716</v>
      </c>
      <c r="AI831" s="176">
        <f t="shared" si="28"/>
        <v>457.78564406798716</v>
      </c>
      <c r="AJ831" s="1003"/>
      <c r="AK831" s="982"/>
      <c r="AL831" s="1006"/>
      <c r="AM831" s="440"/>
      <c r="AN831" s="89"/>
      <c r="AO831" s="89"/>
    </row>
    <row r="832" spans="1:41" s="69" customFormat="1" ht="12.75" customHeight="1">
      <c r="A832" s="1039"/>
      <c r="B832" s="469"/>
      <c r="C832" s="388"/>
      <c r="D832" s="223" t="s">
        <v>814</v>
      </c>
      <c r="E832" s="225" t="s">
        <v>64</v>
      </c>
      <c r="F832" s="635"/>
      <c r="G832" s="479">
        <f>G830*10%</f>
        <v>531.62200000000007</v>
      </c>
      <c r="H832" s="225" t="s">
        <v>64</v>
      </c>
      <c r="I832" s="643"/>
      <c r="J832" s="1233"/>
      <c r="K832" s="1064"/>
      <c r="L832" s="211">
        <v>57.873690240000002</v>
      </c>
      <c r="M832" s="320" t="s">
        <v>64</v>
      </c>
      <c r="N832" s="188"/>
      <c r="O832" s="188"/>
      <c r="P832" s="188"/>
      <c r="Q832" s="188"/>
      <c r="R832" s="214"/>
      <c r="S832" s="633">
        <v>57.873690240000002</v>
      </c>
      <c r="T832" s="157">
        <v>147.98356929654102</v>
      </c>
      <c r="U832" s="636"/>
      <c r="V832" s="188"/>
      <c r="W832" s="188"/>
      <c r="X832" s="214"/>
      <c r="Y832" s="7">
        <v>3</v>
      </c>
      <c r="Z832" s="157">
        <v>7.671028165796522</v>
      </c>
      <c r="AA832" s="7">
        <v>10.62071424</v>
      </c>
      <c r="AB832" s="157">
        <v>27.157266025305397</v>
      </c>
      <c r="AC832" s="7">
        <v>19.471309440000002</v>
      </c>
      <c r="AD832" s="176">
        <v>49.78832104639325</v>
      </c>
      <c r="AE832" s="1117"/>
      <c r="AF832" s="1118"/>
      <c r="AG832" s="211">
        <v>57.873690240000002</v>
      </c>
      <c r="AH832" s="157">
        <v>295.96713859308204</v>
      </c>
      <c r="AI832" s="176">
        <f t="shared" si="28"/>
        <v>295.96713859308204</v>
      </c>
      <c r="AJ832" s="1003"/>
      <c r="AK832" s="982"/>
      <c r="AL832" s="1006"/>
      <c r="AM832" s="440"/>
      <c r="AN832" s="89"/>
      <c r="AO832" s="89"/>
    </row>
    <row r="833" spans="1:42" s="69" customFormat="1" ht="12.75" customHeight="1">
      <c r="A833" s="1039"/>
      <c r="B833" s="469"/>
      <c r="C833" s="388"/>
      <c r="D833" s="223" t="s">
        <v>815</v>
      </c>
      <c r="E833" s="225" t="s">
        <v>64</v>
      </c>
      <c r="F833" s="635"/>
      <c r="G833" s="476">
        <f>G832*7</f>
        <v>3721.3540000000003</v>
      </c>
      <c r="H833" s="225" t="s">
        <v>64</v>
      </c>
      <c r="I833" s="644"/>
      <c r="J833" s="1233"/>
      <c r="K833" s="1064"/>
      <c r="L833" s="211">
        <v>89.515831679999991</v>
      </c>
      <c r="M833" s="320" t="s">
        <v>64</v>
      </c>
      <c r="N833" s="188"/>
      <c r="O833" s="188"/>
      <c r="P833" s="188"/>
      <c r="Q833" s="188"/>
      <c r="R833" s="214"/>
      <c r="S833" s="633">
        <v>89.515831679999991</v>
      </c>
      <c r="T833" s="157">
        <v>228.89282203399358</v>
      </c>
      <c r="U833" s="636"/>
      <c r="V833" s="188"/>
      <c r="W833" s="188"/>
      <c r="X833" s="214"/>
      <c r="Y833" s="7">
        <v>3</v>
      </c>
      <c r="Z833" s="157">
        <v>7.671028165796522</v>
      </c>
      <c r="AA833" s="7">
        <v>16.744999679999999</v>
      </c>
      <c r="AB833" s="157">
        <v>42.817121393844573</v>
      </c>
      <c r="AC833" s="7">
        <v>30.699166080000001</v>
      </c>
      <c r="AD833" s="176">
        <v>78.498055888715072</v>
      </c>
      <c r="AE833" s="1117"/>
      <c r="AF833" s="1118"/>
      <c r="AG833" s="211">
        <v>89.515831679999991</v>
      </c>
      <c r="AH833" s="157">
        <v>457.78564406798716</v>
      </c>
      <c r="AI833" s="176">
        <f t="shared" si="28"/>
        <v>457.78564406798716</v>
      </c>
      <c r="AJ833" s="1003"/>
      <c r="AK833" s="982"/>
      <c r="AL833" s="1006"/>
      <c r="AM833" s="440"/>
      <c r="AN833" s="89"/>
      <c r="AO833" s="89"/>
    </row>
    <row r="834" spans="1:42" s="69" customFormat="1" ht="15" customHeight="1">
      <c r="A834" s="1039"/>
      <c r="B834" s="468"/>
      <c r="C834" s="386"/>
      <c r="D834" s="223" t="s">
        <v>816</v>
      </c>
      <c r="E834" s="225" t="s">
        <v>64</v>
      </c>
      <c r="F834" s="635"/>
      <c r="G834" s="476">
        <f>8*G832</f>
        <v>4252.9760000000006</v>
      </c>
      <c r="H834" s="225" t="s">
        <v>64</v>
      </c>
      <c r="I834" s="644"/>
      <c r="J834" s="1233"/>
      <c r="K834" s="1064"/>
      <c r="L834" s="211">
        <v>94.789521919999999</v>
      </c>
      <c r="M834" s="320" t="s">
        <v>64</v>
      </c>
      <c r="N834" s="188"/>
      <c r="O834" s="188"/>
      <c r="P834" s="188"/>
      <c r="Q834" s="188"/>
      <c r="R834" s="214"/>
      <c r="S834" s="676">
        <v>94.789521919999999</v>
      </c>
      <c r="T834" s="157">
        <v>242.37769749023565</v>
      </c>
      <c r="U834" s="636"/>
      <c r="V834" s="188"/>
      <c r="W834" s="188"/>
      <c r="X834" s="214"/>
      <c r="Y834" s="7">
        <v>3</v>
      </c>
      <c r="Z834" s="157">
        <v>7.671028165796522</v>
      </c>
      <c r="AA834" s="7">
        <v>17.76571392</v>
      </c>
      <c r="AB834" s="157">
        <v>45.427097288601111</v>
      </c>
      <c r="AC834" s="7">
        <v>32.570475520000002</v>
      </c>
      <c r="AD834" s="176">
        <v>83.283011695768707</v>
      </c>
      <c r="AE834" s="1117"/>
      <c r="AF834" s="1118"/>
      <c r="AG834" s="211">
        <v>94.789521919999999</v>
      </c>
      <c r="AH834" s="157">
        <v>484.75539498047129</v>
      </c>
      <c r="AI834" s="176">
        <f t="shared" si="28"/>
        <v>484.75539498047129</v>
      </c>
      <c r="AJ834" s="1003"/>
      <c r="AK834" s="982"/>
      <c r="AL834" s="1006"/>
      <c r="AM834" s="440"/>
      <c r="AN834" s="89"/>
      <c r="AO834" s="89"/>
    </row>
    <row r="835" spans="1:42" s="69" customFormat="1" ht="15" customHeight="1">
      <c r="A835" s="1039"/>
      <c r="B835" s="468"/>
      <c r="C835" s="386"/>
      <c r="D835" s="223" t="s">
        <v>820</v>
      </c>
      <c r="E835" s="225" t="s">
        <v>64</v>
      </c>
      <c r="F835" s="635"/>
      <c r="G835" s="475">
        <f>79743.23/15*5</f>
        <v>26581.076666666664</v>
      </c>
      <c r="H835" s="225" t="s">
        <v>64</v>
      </c>
      <c r="I835" s="644"/>
      <c r="J835" s="1233"/>
      <c r="K835" s="1064"/>
      <c r="L835" s="211">
        <v>316.28428053333329</v>
      </c>
      <c r="M835" s="320" t="s">
        <v>64</v>
      </c>
      <c r="N835" s="188"/>
      <c r="O835" s="188"/>
      <c r="P835" s="188"/>
      <c r="Q835" s="188"/>
      <c r="R835" s="214"/>
      <c r="S835" s="676">
        <v>316.28428053333329</v>
      </c>
      <c r="T835" s="157">
        <v>808.74187478996294</v>
      </c>
      <c r="U835" s="636"/>
      <c r="V835" s="188"/>
      <c r="W835" s="188"/>
      <c r="X835" s="214"/>
      <c r="Y835" s="7">
        <v>3</v>
      </c>
      <c r="Z835" s="157">
        <v>7.671028165796522</v>
      </c>
      <c r="AA835" s="7">
        <v>60.635667199999993</v>
      </c>
      <c r="AB835" s="157">
        <v>155.04597031435475</v>
      </c>
      <c r="AC835" s="7">
        <v>111.16538986666666</v>
      </c>
      <c r="AD835" s="176">
        <v>284.25094557631718</v>
      </c>
      <c r="AE835" s="1117"/>
      <c r="AF835" s="1118"/>
      <c r="AG835" s="211">
        <v>316.28428053333329</v>
      </c>
      <c r="AH835" s="157">
        <v>1617.4837495799259</v>
      </c>
      <c r="AI835" s="176">
        <f t="shared" si="28"/>
        <v>1617.4837495799259</v>
      </c>
      <c r="AJ835" s="1003"/>
      <c r="AK835" s="982"/>
      <c r="AL835" s="1006"/>
      <c r="AM835" s="440"/>
      <c r="AN835" s="108"/>
      <c r="AO835" s="89"/>
    </row>
    <row r="836" spans="1:42" s="69" customFormat="1" ht="15" customHeight="1">
      <c r="A836" s="1039"/>
      <c r="B836" s="468"/>
      <c r="C836" s="386"/>
      <c r="D836" s="223" t="s">
        <v>821</v>
      </c>
      <c r="E836" s="225" t="s">
        <v>64</v>
      </c>
      <c r="F836" s="635"/>
      <c r="G836" s="426">
        <v>31897.29</v>
      </c>
      <c r="H836" s="225" t="s">
        <v>64</v>
      </c>
      <c r="I836" s="644"/>
      <c r="J836" s="1233"/>
      <c r="K836" s="1064"/>
      <c r="L836" s="211">
        <v>369.02111679999996</v>
      </c>
      <c r="M836" s="320" t="s">
        <v>64</v>
      </c>
      <c r="N836" s="188"/>
      <c r="O836" s="188"/>
      <c r="P836" s="188"/>
      <c r="Q836" s="188"/>
      <c r="R836" s="214"/>
      <c r="S836" s="676">
        <v>369.02111679999996</v>
      </c>
      <c r="T836" s="157">
        <v>943.59046024882912</v>
      </c>
      <c r="U836" s="636"/>
      <c r="V836" s="188"/>
      <c r="W836" s="188"/>
      <c r="X836" s="214"/>
      <c r="Y836" s="7">
        <v>3</v>
      </c>
      <c r="Z836" s="157">
        <v>7.671028165796522</v>
      </c>
      <c r="AA836" s="7">
        <v>70.842796799999988</v>
      </c>
      <c r="AB836" s="157">
        <v>181.14569653219991</v>
      </c>
      <c r="AC836" s="7">
        <v>129.8784608</v>
      </c>
      <c r="AD836" s="176">
        <v>332.10044364236643</v>
      </c>
      <c r="AE836" s="1117"/>
      <c r="AF836" s="1118"/>
      <c r="AG836" s="211">
        <v>369.02111679999996</v>
      </c>
      <c r="AH836" s="157">
        <v>1887.1809204976582</v>
      </c>
      <c r="AI836" s="176">
        <f t="shared" si="28"/>
        <v>1887.1809204976582</v>
      </c>
      <c r="AJ836" s="1003"/>
      <c r="AK836" s="982"/>
      <c r="AL836" s="1006"/>
      <c r="AM836" s="440"/>
      <c r="AN836" s="108"/>
      <c r="AO836" s="89"/>
    </row>
    <row r="837" spans="1:42" s="69" customFormat="1" ht="15" customHeight="1" thickBot="1">
      <c r="A837" s="1040"/>
      <c r="B837" s="464"/>
      <c r="C837" s="390"/>
      <c r="D837" s="224" t="s">
        <v>822</v>
      </c>
      <c r="E837" s="226" t="s">
        <v>64</v>
      </c>
      <c r="F837" s="637"/>
      <c r="G837" s="477">
        <f>G835*40%</f>
        <v>10632.430666666667</v>
      </c>
      <c r="H837" s="226" t="s">
        <v>64</v>
      </c>
      <c r="I837" s="645"/>
      <c r="J837" s="1234"/>
      <c r="K837" s="1065"/>
      <c r="L837" s="199">
        <v>158.07371221333335</v>
      </c>
      <c r="M837" s="226" t="s">
        <v>64</v>
      </c>
      <c r="N837" s="116"/>
      <c r="O837" s="116"/>
      <c r="P837" s="116"/>
      <c r="Q837" s="116"/>
      <c r="R837" s="175"/>
      <c r="S837" s="677">
        <v>158.07371221333335</v>
      </c>
      <c r="T837" s="118">
        <v>404.19596622016473</v>
      </c>
      <c r="U837" s="637"/>
      <c r="V837" s="116"/>
      <c r="W837" s="116"/>
      <c r="X837" s="175"/>
      <c r="Y837" s="28">
        <v>3</v>
      </c>
      <c r="Z837" s="118">
        <v>7.671028165796522</v>
      </c>
      <c r="AA837" s="28">
        <v>30.014266880000001</v>
      </c>
      <c r="AB837" s="118">
        <v>76.746762204071246</v>
      </c>
      <c r="AC837" s="28">
        <v>55.02615594666667</v>
      </c>
      <c r="AD837" s="180">
        <v>140.70239737413061</v>
      </c>
      <c r="AE837" s="1119"/>
      <c r="AF837" s="1120"/>
      <c r="AG837" s="199">
        <v>158.07371221333335</v>
      </c>
      <c r="AH837" s="118">
        <v>808.39193244032947</v>
      </c>
      <c r="AI837" s="178">
        <f t="shared" si="28"/>
        <v>808.39193244032947</v>
      </c>
      <c r="AJ837" s="1004"/>
      <c r="AK837" s="983"/>
      <c r="AL837" s="1007"/>
      <c r="AM837" s="440"/>
      <c r="AN837" s="108"/>
      <c r="AO837" s="89"/>
    </row>
    <row r="838" spans="1:42" s="69" customFormat="1">
      <c r="A838" s="66"/>
      <c r="B838" s="66"/>
      <c r="C838" s="67"/>
      <c r="D838" s="128"/>
      <c r="E838" s="128"/>
      <c r="F838" s="128"/>
      <c r="G838" s="59"/>
      <c r="H838" s="59"/>
      <c r="I838" s="59"/>
      <c r="J838" s="128"/>
      <c r="K838" s="128"/>
      <c r="L838" s="61"/>
      <c r="M838" s="60"/>
      <c r="N838" s="61"/>
      <c r="O838" s="61"/>
      <c r="P838" s="61"/>
      <c r="Q838" s="61"/>
      <c r="R838" s="160"/>
      <c r="S838" s="61"/>
      <c r="T838" s="160"/>
      <c r="U838" s="61"/>
      <c r="V838" s="61"/>
      <c r="W838" s="61"/>
      <c r="X838" s="151"/>
      <c r="Y838" s="60"/>
      <c r="Z838" s="151"/>
      <c r="AA838" s="60"/>
      <c r="AB838" s="60"/>
      <c r="AC838" s="60"/>
      <c r="AD838" s="60"/>
      <c r="AE838" s="60"/>
      <c r="AF838" s="60"/>
      <c r="AG838" s="60"/>
      <c r="AH838" s="151"/>
      <c r="AI838" s="151"/>
      <c r="AJ838" s="60"/>
      <c r="AM838" s="850"/>
      <c r="AN838" s="128"/>
      <c r="AO838" s="106"/>
    </row>
    <row r="839" spans="1:42" s="144" customFormat="1">
      <c r="A839" s="139"/>
      <c r="B839" s="139"/>
      <c r="C839" s="140"/>
      <c r="D839" s="141"/>
      <c r="E839" s="141"/>
      <c r="F839" s="141"/>
      <c r="G839" s="142"/>
      <c r="H839" s="142"/>
      <c r="I839" s="142"/>
      <c r="J839" s="141"/>
      <c r="K839" s="141"/>
      <c r="L839" s="143"/>
      <c r="M839" s="137"/>
      <c r="N839" s="143"/>
      <c r="O839" s="143"/>
      <c r="P839" s="143"/>
      <c r="Q839" s="143"/>
      <c r="R839" s="169"/>
      <c r="S839" s="143"/>
      <c r="T839" s="169"/>
      <c r="U839" s="143"/>
      <c r="V839" s="143"/>
      <c r="W839" s="137"/>
      <c r="X839" s="137"/>
      <c r="Y839" s="137">
        <f>Y857+Y861+Y865+Y868</f>
        <v>25.822448789435072</v>
      </c>
      <c r="Z839" s="137">
        <f>Z857+Z861+Z865+Z868</f>
        <v>9922.5239886153868</v>
      </c>
      <c r="AA839" s="137"/>
      <c r="AB839" s="137"/>
      <c r="AC839" s="137"/>
      <c r="AD839" s="137"/>
      <c r="AE839" s="137"/>
      <c r="AF839" s="137"/>
      <c r="AG839" s="137"/>
      <c r="AH839" s="155"/>
      <c r="AI839" s="155"/>
      <c r="AJ839" s="137"/>
      <c r="AM839" s="851"/>
      <c r="AN839" s="141"/>
      <c r="AO839" s="145"/>
    </row>
    <row r="840" spans="1:42" s="69" customFormat="1" ht="13.5" thickBot="1">
      <c r="A840" s="70"/>
      <c r="B840" s="70"/>
      <c r="C840" s="71"/>
      <c r="D840" s="63"/>
      <c r="E840" s="63"/>
      <c r="F840" s="63"/>
      <c r="G840" s="62"/>
      <c r="H840" s="62"/>
      <c r="I840" s="62"/>
      <c r="J840" s="62"/>
      <c r="K840" s="62"/>
      <c r="L840" s="65"/>
      <c r="M840" s="64"/>
      <c r="N840" s="65"/>
      <c r="O840" s="65"/>
      <c r="P840" s="65"/>
      <c r="Q840" s="65"/>
      <c r="R840" s="168"/>
      <c r="S840" s="65"/>
      <c r="T840" s="168"/>
      <c r="U840" s="65"/>
      <c r="V840" s="65"/>
      <c r="W840" s="65"/>
      <c r="X840" s="152"/>
      <c r="Y840" s="64"/>
      <c r="Z840" s="152"/>
      <c r="AA840" s="64"/>
      <c r="AB840" s="64"/>
      <c r="AC840" s="64"/>
      <c r="AD840" s="64"/>
      <c r="AE840" s="64"/>
      <c r="AF840" s="64"/>
      <c r="AG840" s="64"/>
      <c r="AH840" s="152"/>
      <c r="AI840" s="152"/>
      <c r="AJ840" s="60"/>
      <c r="AM840" s="151"/>
      <c r="AN840" s="90"/>
      <c r="AO840" s="128"/>
      <c r="AP840" s="106"/>
    </row>
    <row r="841" spans="1:42" s="69" customFormat="1">
      <c r="A841" s="997" t="s">
        <v>452</v>
      </c>
      <c r="B841" s="608">
        <v>9256</v>
      </c>
      <c r="C841" s="525">
        <v>32754</v>
      </c>
      <c r="D841" s="223" t="s">
        <v>440</v>
      </c>
      <c r="E841" s="223" t="s">
        <v>440</v>
      </c>
      <c r="F841" s="534" t="s">
        <v>151</v>
      </c>
      <c r="G841" s="11">
        <v>216.2905355832722</v>
      </c>
      <c r="H841" s="11">
        <v>216.2905355832722</v>
      </c>
      <c r="I841" s="227" t="s">
        <v>50</v>
      </c>
      <c r="J841" s="1022" t="s">
        <v>450</v>
      </c>
      <c r="K841" s="1047" t="s">
        <v>506</v>
      </c>
      <c r="L841" s="209">
        <v>82.229418928833468</v>
      </c>
      <c r="M841" s="12">
        <v>44.29</v>
      </c>
      <c r="N841" s="255"/>
      <c r="O841" s="255"/>
      <c r="P841" s="255"/>
      <c r="Q841" s="255"/>
      <c r="R841" s="258"/>
      <c r="S841" s="120">
        <v>37.938883345561273</v>
      </c>
      <c r="T841" s="117">
        <v>16460.772100772439</v>
      </c>
      <c r="U841" s="255"/>
      <c r="V841" s="255"/>
      <c r="W841" s="120">
        <v>2.8117769625825386</v>
      </c>
      <c r="X841" s="117">
        <v>1219.9626266725222</v>
      </c>
      <c r="Y841" s="120">
        <v>3.7612156272927368</v>
      </c>
      <c r="Z841" s="117">
        <v>1631.9013055499754</v>
      </c>
      <c r="AA841" s="252"/>
      <c r="AB841" s="252"/>
      <c r="AC841" s="120">
        <v>9.1858208363903149</v>
      </c>
      <c r="AD841" s="177">
        <v>3985.5074797302595</v>
      </c>
      <c r="AE841" s="941" t="s">
        <v>19</v>
      </c>
      <c r="AF841" s="942"/>
      <c r="AG841" s="192">
        <v>37.938883345561273</v>
      </c>
      <c r="AH841" s="117">
        <v>32921.544201544879</v>
      </c>
      <c r="AI841" s="176">
        <f t="shared" ref="AI841:AI868" si="29">AH841</f>
        <v>32921.544201544879</v>
      </c>
      <c r="AJ841" s="975">
        <v>46182</v>
      </c>
      <c r="AK841" s="1019">
        <f>SUM(AI841:AI853)</f>
        <v>1941404.4381768627</v>
      </c>
      <c r="AL841" s="1281">
        <f>AK841+AK854</f>
        <v>2073464.1846353756</v>
      </c>
      <c r="AM841" s="151"/>
      <c r="AN841" s="90"/>
      <c r="AO841" s="128"/>
      <c r="AP841" s="106"/>
    </row>
    <row r="842" spans="1:42" s="69" customFormat="1" ht="15" customHeight="1">
      <c r="A842" s="998"/>
      <c r="B842" s="608"/>
      <c r="C842" s="525"/>
      <c r="D842" s="223" t="s">
        <v>809</v>
      </c>
      <c r="E842" s="225" t="s">
        <v>64</v>
      </c>
      <c r="F842" s="534" t="s">
        <v>151</v>
      </c>
      <c r="G842" s="6">
        <v>72.096845194424063</v>
      </c>
      <c r="H842" s="225" t="s">
        <v>64</v>
      </c>
      <c r="I842" s="227" t="s">
        <v>50</v>
      </c>
      <c r="J842" s="1023"/>
      <c r="K842" s="1048"/>
      <c r="L842" s="209">
        <v>41.232575201760824</v>
      </c>
      <c r="M842" s="225" t="s">
        <v>64</v>
      </c>
      <c r="N842" s="255"/>
      <c r="O842" s="255"/>
      <c r="P842" s="255"/>
      <c r="Q842" s="255"/>
      <c r="R842" s="258"/>
      <c r="S842" s="120">
        <v>41.232575201760824</v>
      </c>
      <c r="T842" s="117">
        <v>17889.826048439965</v>
      </c>
      <c r="U842" s="256"/>
      <c r="V842" s="256"/>
      <c r="W842" s="120">
        <v>0</v>
      </c>
      <c r="X842" s="117">
        <v>0</v>
      </c>
      <c r="Y842" s="120">
        <v>2.9757887013939839</v>
      </c>
      <c r="Z842" s="117">
        <v>1291.1233888340309</v>
      </c>
      <c r="AA842" s="253"/>
      <c r="AB842" s="253"/>
      <c r="AC842" s="120">
        <v>11.753484959647835</v>
      </c>
      <c r="AD842" s="177">
        <v>5099.5553967261239</v>
      </c>
      <c r="AE842" s="943"/>
      <c r="AF842" s="944"/>
      <c r="AG842" s="192">
        <v>41.232575201760824</v>
      </c>
      <c r="AH842" s="117">
        <v>35779.65209687993</v>
      </c>
      <c r="AI842" s="176">
        <f t="shared" si="29"/>
        <v>35779.65209687993</v>
      </c>
      <c r="AJ842" s="1003"/>
      <c r="AK842" s="1020"/>
      <c r="AL842" s="1282"/>
      <c r="AM842" s="151"/>
      <c r="AN842" s="90"/>
      <c r="AO842" s="128"/>
      <c r="AP842" s="106"/>
    </row>
    <row r="843" spans="1:42" s="69" customFormat="1" ht="15" customHeight="1">
      <c r="A843" s="998"/>
      <c r="B843" s="610"/>
      <c r="C843" s="525"/>
      <c r="D843" s="223" t="s">
        <v>810</v>
      </c>
      <c r="E843" s="225" t="s">
        <v>64</v>
      </c>
      <c r="F843" s="534" t="s">
        <v>151</v>
      </c>
      <c r="G843" s="73">
        <v>52.172490095377846</v>
      </c>
      <c r="H843" s="225" t="s">
        <v>64</v>
      </c>
      <c r="I843" s="227" t="s">
        <v>50</v>
      </c>
      <c r="J843" s="1023"/>
      <c r="K843" s="1048"/>
      <c r="L843" s="209">
        <v>45.13899072046955</v>
      </c>
      <c r="M843" s="225" t="s">
        <v>64</v>
      </c>
      <c r="N843" s="255"/>
      <c r="O843" s="255"/>
      <c r="P843" s="255"/>
      <c r="Q843" s="255"/>
      <c r="R843" s="258"/>
      <c r="S843" s="120">
        <v>45.13899072046955</v>
      </c>
      <c r="T843" s="117">
        <v>19584.726106480517</v>
      </c>
      <c r="U843" s="256"/>
      <c r="V843" s="256"/>
      <c r="W843" s="120">
        <v>0.67824237123991216</v>
      </c>
      <c r="X843" s="117">
        <v>294.27310762887629</v>
      </c>
      <c r="Y843" s="120">
        <v>2.9757887013939839</v>
      </c>
      <c r="Z843" s="117">
        <v>1291.1233888340309</v>
      </c>
      <c r="AA843" s="253"/>
      <c r="AB843" s="253"/>
      <c r="AC843" s="120">
        <v>12.721936903888482</v>
      </c>
      <c r="AD843" s="177">
        <v>5519.7434818496395</v>
      </c>
      <c r="AE843" s="943"/>
      <c r="AF843" s="944"/>
      <c r="AG843" s="192">
        <v>45.13899072046955</v>
      </c>
      <c r="AH843" s="117">
        <v>39169.452212961034</v>
      </c>
      <c r="AI843" s="176">
        <f t="shared" si="29"/>
        <v>39169.452212961034</v>
      </c>
      <c r="AJ843" s="1003"/>
      <c r="AK843" s="1020"/>
      <c r="AL843" s="1282"/>
      <c r="AM843" s="151"/>
      <c r="AN843" s="90"/>
      <c r="AO843" s="128"/>
      <c r="AP843" s="106"/>
    </row>
    <row r="844" spans="1:42" s="69" customFormat="1" ht="15" customHeight="1">
      <c r="A844" s="998"/>
      <c r="B844" s="610"/>
      <c r="C844" s="525"/>
      <c r="D844" s="223" t="s">
        <v>811</v>
      </c>
      <c r="E844" s="225" t="s">
        <v>64</v>
      </c>
      <c r="F844" s="534" t="s">
        <v>151</v>
      </c>
      <c r="G844" s="73">
        <v>5.2172490095377855</v>
      </c>
      <c r="H844" s="225" t="s">
        <v>64</v>
      </c>
      <c r="I844" s="227" t="s">
        <v>50</v>
      </c>
      <c r="J844" s="1023"/>
      <c r="K844" s="1048"/>
      <c r="L844" s="209">
        <v>30.227439471753485</v>
      </c>
      <c r="M844" s="225" t="s">
        <v>64</v>
      </c>
      <c r="N844" s="255"/>
      <c r="O844" s="255"/>
      <c r="P844" s="255"/>
      <c r="Q844" s="255"/>
      <c r="R844" s="258"/>
      <c r="S844" s="120">
        <v>30.227439471753485</v>
      </c>
      <c r="T844" s="117">
        <v>13114.961444763798</v>
      </c>
      <c r="U844" s="256"/>
      <c r="V844" s="256"/>
      <c r="W844" s="120">
        <v>0</v>
      </c>
      <c r="X844" s="117">
        <v>0</v>
      </c>
      <c r="Y844" s="120">
        <v>2.9757887013939839</v>
      </c>
      <c r="Z844" s="117">
        <v>1291.1233888340309</v>
      </c>
      <c r="AA844" s="253"/>
      <c r="AB844" s="253"/>
      <c r="AC844" s="120">
        <v>8.4519442406456342</v>
      </c>
      <c r="AD844" s="177">
        <v>3667.0960156232859</v>
      </c>
      <c r="AE844" s="943"/>
      <c r="AF844" s="944"/>
      <c r="AG844" s="192">
        <v>30.227439471753485</v>
      </c>
      <c r="AH844" s="117">
        <v>26229.922889527596</v>
      </c>
      <c r="AI844" s="176">
        <f t="shared" si="29"/>
        <v>26229.922889527596</v>
      </c>
      <c r="AJ844" s="1003"/>
      <c r="AK844" s="1020"/>
      <c r="AL844" s="1282"/>
      <c r="AM844" s="151"/>
      <c r="AN844" s="90"/>
      <c r="AO844" s="128"/>
      <c r="AP844" s="106"/>
    </row>
    <row r="845" spans="1:42" s="69" customFormat="1" ht="15" customHeight="1">
      <c r="A845" s="998"/>
      <c r="B845" s="610"/>
      <c r="C845" s="525"/>
      <c r="D845" s="223" t="s">
        <v>812</v>
      </c>
      <c r="E845" s="225" t="s">
        <v>64</v>
      </c>
      <c r="F845" s="534" t="s">
        <v>151</v>
      </c>
      <c r="G845" s="6">
        <v>56933.235509904625</v>
      </c>
      <c r="H845" s="225" t="s">
        <v>64</v>
      </c>
      <c r="I845" s="227" t="s">
        <v>50</v>
      </c>
      <c r="J845" s="1023"/>
      <c r="K845" s="1048"/>
      <c r="L845" s="209">
        <v>1426.2949376375641</v>
      </c>
      <c r="M845" s="225" t="s">
        <v>64</v>
      </c>
      <c r="N845" s="255"/>
      <c r="O845" s="255"/>
      <c r="P845" s="255"/>
      <c r="Q845" s="255"/>
      <c r="R845" s="258"/>
      <c r="S845" s="120">
        <v>1426.2949376375641</v>
      </c>
      <c r="T845" s="117">
        <v>618835.18560870457</v>
      </c>
      <c r="U845" s="256"/>
      <c r="V845" s="256"/>
      <c r="W845" s="120">
        <v>740.1320616287602</v>
      </c>
      <c r="X845" s="117">
        <v>321125.56081256614</v>
      </c>
      <c r="Y845" s="120">
        <v>100.88187820983126</v>
      </c>
      <c r="Z845" s="117">
        <v>43770.228848978571</v>
      </c>
      <c r="AA845" s="253"/>
      <c r="AB845" s="253"/>
      <c r="AC845" s="120">
        <v>205.23257520176082</v>
      </c>
      <c r="AD845" s="177">
        <v>89045.495021035866</v>
      </c>
      <c r="AE845" s="943"/>
      <c r="AF845" s="944"/>
      <c r="AG845" s="192">
        <v>1426.2949376375641</v>
      </c>
      <c r="AH845" s="117">
        <v>1237670.3712174091</v>
      </c>
      <c r="AI845" s="176">
        <f t="shared" si="29"/>
        <v>1237670.3712174091</v>
      </c>
      <c r="AJ845" s="1003"/>
      <c r="AK845" s="1020"/>
      <c r="AL845" s="1282"/>
      <c r="AM845" s="151"/>
      <c r="AN845" s="90"/>
      <c r="AO845" s="128"/>
      <c r="AP845" s="106"/>
    </row>
    <row r="846" spans="1:42" s="69" customFormat="1" ht="15" customHeight="1">
      <c r="A846" s="998"/>
      <c r="B846" s="610"/>
      <c r="C846" s="525"/>
      <c r="D846" s="223" t="s">
        <v>813</v>
      </c>
      <c r="E846" s="250" t="s">
        <v>88</v>
      </c>
      <c r="F846" s="534" t="s">
        <v>151</v>
      </c>
      <c r="G846" s="6">
        <v>1760.8217168011738</v>
      </c>
      <c r="H846" s="225" t="s">
        <v>64</v>
      </c>
      <c r="I846" s="227" t="s">
        <v>50</v>
      </c>
      <c r="J846" s="1023"/>
      <c r="K846" s="1048"/>
      <c r="L846" s="209">
        <v>74.570799706529712</v>
      </c>
      <c r="M846" s="251">
        <v>24.68</v>
      </c>
      <c r="N846" s="255"/>
      <c r="O846" s="255"/>
      <c r="P846" s="255"/>
      <c r="Q846" s="255"/>
      <c r="R846" s="258"/>
      <c r="S846" s="120">
        <v>49.889948642699927</v>
      </c>
      <c r="T846" s="117">
        <v>21646.052869998544</v>
      </c>
      <c r="U846" s="256"/>
      <c r="V846" s="256"/>
      <c r="W846" s="120">
        <v>0</v>
      </c>
      <c r="X846" s="117">
        <v>0</v>
      </c>
      <c r="Y846" s="120">
        <v>5.7094644167278066</v>
      </c>
      <c r="Z846" s="117">
        <v>2477.1997563871819</v>
      </c>
      <c r="AA846" s="253"/>
      <c r="AB846" s="253"/>
      <c r="AC846" s="120">
        <v>14.350696991929567</v>
      </c>
      <c r="AD846" s="177">
        <v>6226.4234431936957</v>
      </c>
      <c r="AE846" s="943"/>
      <c r="AF846" s="944"/>
      <c r="AG846" s="192">
        <v>49.889948642699927</v>
      </c>
      <c r="AH846" s="117">
        <v>43292.105739997089</v>
      </c>
      <c r="AI846" s="176">
        <f t="shared" si="29"/>
        <v>43292.105739997089</v>
      </c>
      <c r="AJ846" s="1003"/>
      <c r="AK846" s="1020"/>
      <c r="AL846" s="1282"/>
      <c r="AM846" s="151"/>
      <c r="AN846" s="90"/>
      <c r="AO846" s="128"/>
      <c r="AP846" s="106"/>
    </row>
    <row r="847" spans="1:42" s="69" customFormat="1" ht="15" customHeight="1">
      <c r="A847" s="998"/>
      <c r="B847" s="610"/>
      <c r="C847" s="525"/>
      <c r="D847" s="223" t="s">
        <v>814</v>
      </c>
      <c r="E847" s="225" t="s">
        <v>64</v>
      </c>
      <c r="F847" s="534" t="s">
        <v>151</v>
      </c>
      <c r="G847" s="73">
        <v>5869.40572267058</v>
      </c>
      <c r="H847" s="225" t="s">
        <v>64</v>
      </c>
      <c r="I847" s="227" t="s">
        <v>50</v>
      </c>
      <c r="J847" s="1023"/>
      <c r="K847" s="1048"/>
      <c r="L847" s="209">
        <v>95.700660308143796</v>
      </c>
      <c r="M847" s="225" t="s">
        <v>64</v>
      </c>
      <c r="N847" s="255"/>
      <c r="O847" s="255"/>
      <c r="P847" s="255"/>
      <c r="Q847" s="255"/>
      <c r="R847" s="258"/>
      <c r="S847" s="120">
        <v>95.700660308143796</v>
      </c>
      <c r="T847" s="117">
        <v>41522.222593567865</v>
      </c>
      <c r="U847" s="256"/>
      <c r="V847" s="256"/>
      <c r="W847" s="120">
        <v>0</v>
      </c>
      <c r="X847" s="117">
        <v>0</v>
      </c>
      <c r="Y847" s="120">
        <v>12.796771826852531</v>
      </c>
      <c r="Z847" s="117">
        <v>5552.2125611546135</v>
      </c>
      <c r="AA847" s="253"/>
      <c r="AB847" s="253"/>
      <c r="AC847" s="120">
        <v>28.093910491562728</v>
      </c>
      <c r="AD847" s="177">
        <v>12189.274360264466</v>
      </c>
      <c r="AE847" s="943"/>
      <c r="AF847" s="944"/>
      <c r="AG847" s="192">
        <v>95.700660308143796</v>
      </c>
      <c r="AH847" s="117">
        <v>83044.445187135731</v>
      </c>
      <c r="AI847" s="176">
        <f t="shared" si="29"/>
        <v>83044.445187135731</v>
      </c>
      <c r="AJ847" s="1003"/>
      <c r="AK847" s="1020"/>
      <c r="AL847" s="1282"/>
      <c r="AM847" s="151"/>
      <c r="AN847" s="90"/>
      <c r="AO847" s="128"/>
      <c r="AP847" s="106"/>
    </row>
    <row r="848" spans="1:42" s="69" customFormat="1" ht="15" customHeight="1">
      <c r="A848" s="998"/>
      <c r="B848" s="610"/>
      <c r="C848" s="525"/>
      <c r="D848" s="223" t="s">
        <v>815</v>
      </c>
      <c r="E848" s="225" t="s">
        <v>64</v>
      </c>
      <c r="F848" s="534" t="s">
        <v>151</v>
      </c>
      <c r="G848" s="73">
        <v>1630.3888481291269</v>
      </c>
      <c r="H848" s="225" t="s">
        <v>64</v>
      </c>
      <c r="I848" s="227" t="s">
        <v>50</v>
      </c>
      <c r="J848" s="1023"/>
      <c r="K848" s="1048"/>
      <c r="L848" s="209">
        <v>71.375194424064574</v>
      </c>
      <c r="M848" s="225" t="s">
        <v>64</v>
      </c>
      <c r="N848" s="255"/>
      <c r="O848" s="255"/>
      <c r="P848" s="255"/>
      <c r="Q848" s="255"/>
      <c r="R848" s="258"/>
      <c r="S848" s="120">
        <v>71.375194424064574</v>
      </c>
      <c r="T848" s="117">
        <v>30967.986020081782</v>
      </c>
      <c r="U848" s="256"/>
      <c r="V848" s="256"/>
      <c r="W848" s="120">
        <v>21.195055025678652</v>
      </c>
      <c r="X848" s="117">
        <v>9196.026336970388</v>
      </c>
      <c r="Y848" s="120">
        <v>5.4844677182685251</v>
      </c>
      <c r="Z848" s="117">
        <v>2379.5790820244115</v>
      </c>
      <c r="AA848" s="253"/>
      <c r="AB848" s="253"/>
      <c r="AC848" s="120">
        <v>14.437754218635362</v>
      </c>
      <c r="AD848" s="177">
        <v>6264.1954871275466</v>
      </c>
      <c r="AE848" s="943"/>
      <c r="AF848" s="944"/>
      <c r="AG848" s="192">
        <v>71.375194424064574</v>
      </c>
      <c r="AH848" s="117">
        <v>61935.972040163564</v>
      </c>
      <c r="AI848" s="176">
        <f t="shared" si="29"/>
        <v>61935.972040163564</v>
      </c>
      <c r="AJ848" s="1003"/>
      <c r="AK848" s="1020"/>
      <c r="AL848" s="1282"/>
      <c r="AM848" s="151"/>
      <c r="AN848" s="90"/>
      <c r="AO848" s="128"/>
      <c r="AP848" s="106"/>
    </row>
    <row r="849" spans="1:42" s="69" customFormat="1" ht="15" customHeight="1">
      <c r="A849" s="998"/>
      <c r="B849" s="610"/>
      <c r="C849" s="525"/>
      <c r="D849" s="223" t="s">
        <v>816</v>
      </c>
      <c r="E849" s="225" t="s">
        <v>64</v>
      </c>
      <c r="F849" s="534" t="s">
        <v>151</v>
      </c>
      <c r="G849" s="73">
        <v>9782.3418928833453</v>
      </c>
      <c r="H849" s="225" t="s">
        <v>64</v>
      </c>
      <c r="I849" s="227" t="s">
        <v>50</v>
      </c>
      <c r="J849" s="1023"/>
      <c r="K849" s="1048"/>
      <c r="L849" s="209">
        <v>271.09804402054294</v>
      </c>
      <c r="M849" s="225" t="s">
        <v>64</v>
      </c>
      <c r="N849" s="255"/>
      <c r="O849" s="255"/>
      <c r="P849" s="255"/>
      <c r="Q849" s="255"/>
      <c r="R849" s="258"/>
      <c r="S849" s="120">
        <v>271.09804402054294</v>
      </c>
      <c r="T849" s="117">
        <v>117622.94316734113</v>
      </c>
      <c r="U849" s="256"/>
      <c r="V849" s="256"/>
      <c r="W849" s="120">
        <v>127.1704446074835</v>
      </c>
      <c r="X849" s="117">
        <v>55176.207680414125</v>
      </c>
      <c r="Y849" s="120">
        <v>19.546586720469548</v>
      </c>
      <c r="Z849" s="117">
        <v>8480.795452596738</v>
      </c>
      <c r="AA849" s="253"/>
      <c r="AB849" s="253"/>
      <c r="AC849" s="120">
        <v>42.561992223037414</v>
      </c>
      <c r="AD849" s="177">
        <v>18466.628228272242</v>
      </c>
      <c r="AE849" s="943"/>
      <c r="AF849" s="944"/>
      <c r="AG849" s="192">
        <v>271.09804402054294</v>
      </c>
      <c r="AH849" s="117">
        <v>235245.88633468226</v>
      </c>
      <c r="AI849" s="176">
        <f t="shared" si="29"/>
        <v>235245.88633468226</v>
      </c>
      <c r="AJ849" s="1003"/>
      <c r="AK849" s="1020"/>
      <c r="AL849" s="1282"/>
      <c r="AM849" s="151"/>
      <c r="AN849" s="90"/>
      <c r="AO849" s="128"/>
      <c r="AP849" s="106"/>
    </row>
    <row r="850" spans="1:42" s="69" customFormat="1" ht="15" customHeight="1">
      <c r="A850" s="998"/>
      <c r="B850" s="610"/>
      <c r="C850" s="525"/>
      <c r="D850" s="223" t="s">
        <v>820</v>
      </c>
      <c r="E850" s="225" t="s">
        <v>64</v>
      </c>
      <c r="F850" s="534" t="s">
        <v>151</v>
      </c>
      <c r="G850" s="6">
        <v>3912.9367571533389</v>
      </c>
      <c r="H850" s="225" t="s">
        <v>64</v>
      </c>
      <c r="I850" s="227" t="s">
        <v>50</v>
      </c>
      <c r="J850" s="1023"/>
      <c r="K850" s="1048"/>
      <c r="L850" s="209">
        <v>73.201267204695512</v>
      </c>
      <c r="M850" s="225" t="s">
        <v>64</v>
      </c>
      <c r="N850" s="255"/>
      <c r="O850" s="255"/>
      <c r="P850" s="255"/>
      <c r="Q850" s="255"/>
      <c r="R850" s="258"/>
      <c r="S850" s="120">
        <v>73.201267204695512</v>
      </c>
      <c r="T850" s="117">
        <v>31760.275229218572</v>
      </c>
      <c r="U850" s="256"/>
      <c r="V850" s="256"/>
      <c r="W850" s="120">
        <v>0</v>
      </c>
      <c r="X850" s="117">
        <v>0</v>
      </c>
      <c r="Y850" s="120">
        <v>9.4218628613352902</v>
      </c>
      <c r="Z850" s="117">
        <v>4087.9204565022478</v>
      </c>
      <c r="AA850" s="253"/>
      <c r="AB850" s="253"/>
      <c r="AC850" s="120">
        <v>21.344092560528242</v>
      </c>
      <c r="AD850" s="177">
        <v>9260.6901509596992</v>
      </c>
      <c r="AE850" s="943"/>
      <c r="AF850" s="944"/>
      <c r="AG850" s="192">
        <v>73.201267204695512</v>
      </c>
      <c r="AH850" s="117">
        <v>63520.550458437145</v>
      </c>
      <c r="AI850" s="176">
        <f t="shared" si="29"/>
        <v>63520.550458437145</v>
      </c>
      <c r="AJ850" s="1003"/>
      <c r="AK850" s="1020"/>
      <c r="AL850" s="1282"/>
      <c r="AM850" s="151"/>
      <c r="AN850" s="90"/>
      <c r="AO850" s="128"/>
      <c r="AP850" s="106"/>
    </row>
    <row r="851" spans="1:42" s="69" customFormat="1" ht="15" customHeight="1">
      <c r="A851" s="998"/>
      <c r="B851" s="610"/>
      <c r="C851" s="525"/>
      <c r="D851" s="223" t="s">
        <v>821</v>
      </c>
      <c r="E851" s="225" t="s">
        <v>64</v>
      </c>
      <c r="F851" s="534" t="s">
        <v>151</v>
      </c>
      <c r="G851" s="6">
        <v>9.7813646368305207</v>
      </c>
      <c r="H851" s="225" t="s">
        <v>64</v>
      </c>
      <c r="I851" s="227" t="s">
        <v>50</v>
      </c>
      <c r="J851" s="1023"/>
      <c r="K851" s="1048"/>
      <c r="L851" s="209">
        <v>30.227439471753485</v>
      </c>
      <c r="M851" s="225" t="s">
        <v>64</v>
      </c>
      <c r="N851" s="255"/>
      <c r="O851" s="255"/>
      <c r="P851" s="255"/>
      <c r="Q851" s="255"/>
      <c r="R851" s="258"/>
      <c r="S851" s="120">
        <v>30.227439471753485</v>
      </c>
      <c r="T851" s="117">
        <v>13114.961444763798</v>
      </c>
      <c r="U851" s="256"/>
      <c r="V851" s="256"/>
      <c r="W851" s="120">
        <v>0</v>
      </c>
      <c r="X851" s="117">
        <v>0</v>
      </c>
      <c r="Y851" s="120">
        <v>2.9757887013939839</v>
      </c>
      <c r="Z851" s="117">
        <v>1291.1233888340309</v>
      </c>
      <c r="AA851" s="253"/>
      <c r="AB851" s="253"/>
      <c r="AC851" s="120">
        <v>8.4519442406456342</v>
      </c>
      <c r="AD851" s="177">
        <v>3667.0960156232859</v>
      </c>
      <c r="AE851" s="943"/>
      <c r="AF851" s="944"/>
      <c r="AG851" s="192">
        <v>30.227439471753485</v>
      </c>
      <c r="AH851" s="117">
        <v>26229.922889527596</v>
      </c>
      <c r="AI851" s="176">
        <f t="shared" si="29"/>
        <v>26229.922889527596</v>
      </c>
      <c r="AJ851" s="1003"/>
      <c r="AK851" s="1020"/>
      <c r="AL851" s="1282"/>
      <c r="AM851" s="151"/>
      <c r="AN851" s="90"/>
      <c r="AO851" s="128"/>
      <c r="AP851" s="106"/>
    </row>
    <row r="852" spans="1:42" s="69" customFormat="1" ht="15" customHeight="1">
      <c r="A852" s="998"/>
      <c r="B852" s="610"/>
      <c r="C852" s="525"/>
      <c r="D852" s="223" t="s">
        <v>822</v>
      </c>
      <c r="E852" s="225" t="s">
        <v>64</v>
      </c>
      <c r="F852" s="534" t="s">
        <v>151</v>
      </c>
      <c r="G852" s="6">
        <v>9.7813646368305207</v>
      </c>
      <c r="H852" s="225" t="s">
        <v>64</v>
      </c>
      <c r="I852" s="227" t="s">
        <v>50</v>
      </c>
      <c r="J852" s="1023"/>
      <c r="K852" s="1048"/>
      <c r="L852" s="209">
        <v>30.227439471753485</v>
      </c>
      <c r="M852" s="225" t="s">
        <v>64</v>
      </c>
      <c r="N852" s="255"/>
      <c r="O852" s="255"/>
      <c r="P852" s="255"/>
      <c r="Q852" s="255"/>
      <c r="R852" s="258"/>
      <c r="S852" s="120">
        <v>30.227439471753485</v>
      </c>
      <c r="T852" s="117">
        <v>13114.961444763798</v>
      </c>
      <c r="U852" s="256"/>
      <c r="V852" s="256"/>
      <c r="W852" s="120">
        <v>0</v>
      </c>
      <c r="X852" s="117">
        <v>0</v>
      </c>
      <c r="Y852" s="120">
        <v>2.9757887013939839</v>
      </c>
      <c r="Z852" s="117">
        <v>1291.1233888340309</v>
      </c>
      <c r="AA852" s="253"/>
      <c r="AB852" s="253"/>
      <c r="AC852" s="120">
        <v>8.4519442406456342</v>
      </c>
      <c r="AD852" s="177">
        <v>3667.0960156232859</v>
      </c>
      <c r="AE852" s="943"/>
      <c r="AF852" s="944"/>
      <c r="AG852" s="192">
        <v>30.227439471753485</v>
      </c>
      <c r="AH852" s="117">
        <v>26229.922889527596</v>
      </c>
      <c r="AI852" s="176">
        <f t="shared" si="29"/>
        <v>26229.922889527596</v>
      </c>
      <c r="AJ852" s="1003"/>
      <c r="AK852" s="1020"/>
      <c r="AL852" s="1282"/>
      <c r="AM852" s="151"/>
      <c r="AN852" s="90"/>
      <c r="AO852" s="128"/>
      <c r="AP852" s="106"/>
    </row>
    <row r="853" spans="1:42" s="69" customFormat="1" ht="15.75" customHeight="1" thickBot="1">
      <c r="A853" s="998"/>
      <c r="B853" s="667"/>
      <c r="C853" s="527"/>
      <c r="D853" s="224" t="s">
        <v>823</v>
      </c>
      <c r="E853" s="226" t="s">
        <v>64</v>
      </c>
      <c r="F853" s="536" t="s">
        <v>151</v>
      </c>
      <c r="G853" s="27">
        <v>97.822450476889216</v>
      </c>
      <c r="H853" s="226" t="s">
        <v>64</v>
      </c>
      <c r="I853" s="220" t="s">
        <v>50</v>
      </c>
      <c r="J853" s="1037"/>
      <c r="K853" s="1048"/>
      <c r="L853" s="199">
        <v>34.72730447542186</v>
      </c>
      <c r="M853" s="226" t="s">
        <v>64</v>
      </c>
      <c r="N853" s="257"/>
      <c r="O853" s="257"/>
      <c r="P853" s="257"/>
      <c r="Q853" s="257"/>
      <c r="R853" s="259"/>
      <c r="S853" s="28">
        <v>34.72730447542186</v>
      </c>
      <c r="T853" s="118">
        <v>15067.345009534516</v>
      </c>
      <c r="U853" s="257"/>
      <c r="V853" s="257"/>
      <c r="W853" s="28">
        <v>1.27169185619956</v>
      </c>
      <c r="X853" s="118">
        <v>551.75661435903498</v>
      </c>
      <c r="Y853" s="28">
        <v>2.9757887013939839</v>
      </c>
      <c r="Z853" s="118">
        <v>1291.1233888340309</v>
      </c>
      <c r="AA853" s="254"/>
      <c r="AB853" s="254"/>
      <c r="AC853" s="28">
        <v>9.4203961848862807</v>
      </c>
      <c r="AD853" s="180">
        <v>4087.284100746781</v>
      </c>
      <c r="AE853" s="943"/>
      <c r="AF853" s="944"/>
      <c r="AG853" s="193">
        <v>34.72730447542186</v>
      </c>
      <c r="AH853" s="118">
        <v>30134.690019069032</v>
      </c>
      <c r="AI853" s="180">
        <f t="shared" si="29"/>
        <v>30134.690019069032</v>
      </c>
      <c r="AJ853" s="1003"/>
      <c r="AK853" s="1021"/>
      <c r="AL853" s="1282"/>
      <c r="AM853" s="151">
        <v>2073464</v>
      </c>
      <c r="AN853" s="107" t="s">
        <v>77</v>
      </c>
      <c r="AO853" s="128"/>
      <c r="AP853" s="106"/>
    </row>
    <row r="854" spans="1:42" s="69" customFormat="1" ht="15" customHeight="1">
      <c r="A854" s="998"/>
      <c r="B854" s="668">
        <v>9459</v>
      </c>
      <c r="C854" s="525">
        <v>32975</v>
      </c>
      <c r="D854" s="222" t="s">
        <v>442</v>
      </c>
      <c r="E854" s="250" t="s">
        <v>448</v>
      </c>
      <c r="F854" s="535" t="s">
        <v>151</v>
      </c>
      <c r="G854" s="120">
        <v>5407.2633895818044</v>
      </c>
      <c r="H854" s="320" t="s">
        <v>221</v>
      </c>
      <c r="I854" s="227" t="s">
        <v>50</v>
      </c>
      <c r="J854" s="1022" t="s">
        <v>451</v>
      </c>
      <c r="K854" s="1048"/>
      <c r="L854" s="958" t="s">
        <v>454</v>
      </c>
      <c r="M854" s="958"/>
      <c r="N854" s="959"/>
      <c r="O854" s="730"/>
      <c r="P854" s="730"/>
      <c r="Q854" s="730"/>
      <c r="R854" s="957" t="s">
        <v>454</v>
      </c>
      <c r="S854" s="958"/>
      <c r="T854" s="959"/>
      <c r="U854" s="957" t="s">
        <v>454</v>
      </c>
      <c r="V854" s="958"/>
      <c r="W854" s="959"/>
      <c r="X854" s="957" t="s">
        <v>454</v>
      </c>
      <c r="Y854" s="958"/>
      <c r="Z854" s="959"/>
      <c r="AA854" s="957" t="s">
        <v>454</v>
      </c>
      <c r="AB854" s="958"/>
      <c r="AC854" s="958"/>
      <c r="AD854" s="958"/>
      <c r="AE854" s="943"/>
      <c r="AF854" s="944"/>
      <c r="AG854" s="958" t="s">
        <v>454</v>
      </c>
      <c r="AH854" s="958"/>
      <c r="AI854" s="959"/>
      <c r="AJ854" s="1003"/>
      <c r="AK854" s="978">
        <f>SUM(AI854:AI873)</f>
        <v>132059.74645851302</v>
      </c>
      <c r="AL854" s="1282"/>
      <c r="AM854" s="151"/>
      <c r="AN854" s="90"/>
      <c r="AO854" s="128"/>
      <c r="AP854" s="106"/>
    </row>
    <row r="855" spans="1:42" s="69" customFormat="1" ht="15" customHeight="1">
      <c r="A855" s="998"/>
      <c r="B855" s="669"/>
      <c r="C855" s="525"/>
      <c r="D855" s="223" t="s">
        <v>809</v>
      </c>
      <c r="E855" s="225" t="s">
        <v>64</v>
      </c>
      <c r="F855" s="534" t="s">
        <v>151</v>
      </c>
      <c r="G855" s="120">
        <v>216.2905355832722</v>
      </c>
      <c r="H855" s="225" t="s">
        <v>64</v>
      </c>
      <c r="I855" s="227" t="s">
        <v>50</v>
      </c>
      <c r="J855" s="1023"/>
      <c r="K855" s="1048"/>
      <c r="L855" s="954"/>
      <c r="M855" s="954"/>
      <c r="N855" s="955"/>
      <c r="O855" s="731"/>
      <c r="P855" s="731"/>
      <c r="Q855" s="731"/>
      <c r="R855" s="961"/>
      <c r="S855" s="954"/>
      <c r="T855" s="955"/>
      <c r="U855" s="961"/>
      <c r="V855" s="954"/>
      <c r="W855" s="955"/>
      <c r="X855" s="961"/>
      <c r="Y855" s="954"/>
      <c r="Z855" s="955"/>
      <c r="AA855" s="961"/>
      <c r="AB855" s="954"/>
      <c r="AC855" s="954"/>
      <c r="AD855" s="954"/>
      <c r="AE855" s="943"/>
      <c r="AF855" s="944"/>
      <c r="AG855" s="954"/>
      <c r="AH855" s="954"/>
      <c r="AI855" s="955"/>
      <c r="AJ855" s="1003"/>
      <c r="AK855" s="979"/>
      <c r="AL855" s="1282"/>
      <c r="AM855" s="151"/>
      <c r="AN855" s="90"/>
      <c r="AO855" s="128"/>
      <c r="AP855" s="106"/>
    </row>
    <row r="856" spans="1:42" s="69" customFormat="1" ht="15" customHeight="1">
      <c r="A856" s="998"/>
      <c r="B856" s="669"/>
      <c r="C856" s="525"/>
      <c r="D856" s="1376" t="s">
        <v>871</v>
      </c>
      <c r="E856" s="225" t="s">
        <v>64</v>
      </c>
      <c r="F856" s="534" t="s">
        <v>151</v>
      </c>
      <c r="G856" s="120">
        <v>72.096845194424063</v>
      </c>
      <c r="H856" s="225" t="s">
        <v>64</v>
      </c>
      <c r="I856" s="227" t="s">
        <v>50</v>
      </c>
      <c r="J856" s="1024"/>
      <c r="K856" s="1048"/>
      <c r="L856" s="939" t="s">
        <v>455</v>
      </c>
      <c r="M856" s="939"/>
      <c r="N856" s="956"/>
      <c r="O856" s="729"/>
      <c r="P856" s="729"/>
      <c r="Q856" s="729"/>
      <c r="R856" s="1374" t="s">
        <v>455</v>
      </c>
      <c r="S856" s="1298"/>
      <c r="T856" s="1375"/>
      <c r="U856" s="965" t="s">
        <v>455</v>
      </c>
      <c r="V856" s="939"/>
      <c r="W856" s="956"/>
      <c r="X856" s="965" t="s">
        <v>455</v>
      </c>
      <c r="Y856" s="939"/>
      <c r="Z856" s="956"/>
      <c r="AA856" s="965" t="s">
        <v>455</v>
      </c>
      <c r="AB856" s="939"/>
      <c r="AC856" s="939"/>
      <c r="AD856" s="939"/>
      <c r="AE856" s="943"/>
      <c r="AF856" s="944"/>
      <c r="AG856" s="939" t="s">
        <v>455</v>
      </c>
      <c r="AH856" s="939"/>
      <c r="AI856" s="956"/>
      <c r="AJ856" s="1003"/>
      <c r="AK856" s="979"/>
      <c r="AL856" s="1282"/>
      <c r="AM856" s="151"/>
      <c r="AN856" s="90"/>
      <c r="AO856" s="128"/>
      <c r="AP856" s="106"/>
    </row>
    <row r="857" spans="1:42" s="69" customFormat="1" ht="15" customHeight="1">
      <c r="A857" s="998"/>
      <c r="B857" s="669"/>
      <c r="C857" s="525"/>
      <c r="D857" s="518" t="s">
        <v>856</v>
      </c>
      <c r="E857" s="225" t="s">
        <v>64</v>
      </c>
      <c r="F857" s="534" t="s">
        <v>151</v>
      </c>
      <c r="G857" s="120">
        <v>72.096845194424063</v>
      </c>
      <c r="H857" s="225" t="s">
        <v>64</v>
      </c>
      <c r="I857" s="227" t="s">
        <v>50</v>
      </c>
      <c r="J857" s="671" t="s">
        <v>450</v>
      </c>
      <c r="K857" s="1048"/>
      <c r="L857" s="209">
        <v>15.847395451210565</v>
      </c>
      <c r="M857" s="225" t="s">
        <v>64</v>
      </c>
      <c r="N857" s="255"/>
      <c r="O857" s="255"/>
      <c r="P857" s="255"/>
      <c r="Q857" s="255"/>
      <c r="R857" s="258"/>
      <c r="S857" s="120">
        <v>15.847395451210565</v>
      </c>
      <c r="T857" s="117">
        <v>6089.5139265818352</v>
      </c>
      <c r="U857" s="256"/>
      <c r="V857" s="256"/>
      <c r="W857" s="120"/>
      <c r="X857" s="117"/>
      <c r="Y857" s="120">
        <v>2.3888481291269259</v>
      </c>
      <c r="Z857" s="117">
        <v>917.93784004400368</v>
      </c>
      <c r="AA857" s="252"/>
      <c r="AB857" s="252"/>
      <c r="AC857" s="120">
        <v>4.3140132061628762</v>
      </c>
      <c r="AD857" s="177">
        <v>1657.7010133472777</v>
      </c>
      <c r="AE857" s="943"/>
      <c r="AF857" s="944"/>
      <c r="AG857" s="198">
        <v>15.847395451210565</v>
      </c>
      <c r="AH857" s="117">
        <v>12179.02785316367</v>
      </c>
      <c r="AI857" s="176">
        <f t="shared" si="29"/>
        <v>12179.02785316367</v>
      </c>
      <c r="AJ857" s="1003"/>
      <c r="AK857" s="979"/>
      <c r="AL857" s="1282"/>
      <c r="AM857" s="151"/>
      <c r="AN857" s="90"/>
      <c r="AO857" s="128"/>
      <c r="AP857" s="106"/>
    </row>
    <row r="858" spans="1:42" s="69" customFormat="1" ht="15" customHeight="1">
      <c r="A858" s="998"/>
      <c r="B858" s="669"/>
      <c r="C858" s="525"/>
      <c r="D858" s="223" t="s">
        <v>810</v>
      </c>
      <c r="E858" s="225" t="s">
        <v>64</v>
      </c>
      <c r="F858" s="534" t="s">
        <v>151</v>
      </c>
      <c r="G858" s="39">
        <v>52.173147468818783</v>
      </c>
      <c r="H858" s="225" t="s">
        <v>64</v>
      </c>
      <c r="I858" s="227" t="s">
        <v>50</v>
      </c>
      <c r="J858" s="1025" t="s">
        <v>451</v>
      </c>
      <c r="K858" s="1048"/>
      <c r="L858" s="939" t="s">
        <v>454</v>
      </c>
      <c r="M858" s="939"/>
      <c r="N858" s="939"/>
      <c r="O858" s="939"/>
      <c r="P858" s="939"/>
      <c r="Q858" s="939"/>
      <c r="R858" s="939"/>
      <c r="S858" s="939"/>
      <c r="T858" s="956"/>
      <c r="U858" s="965" t="s">
        <v>454</v>
      </c>
      <c r="V858" s="939"/>
      <c r="W858" s="939"/>
      <c r="X858" s="939"/>
      <c r="Y858" s="939"/>
      <c r="Z858" s="956"/>
      <c r="AA858" s="965" t="s">
        <v>454</v>
      </c>
      <c r="AB858" s="939"/>
      <c r="AC858" s="939"/>
      <c r="AD858" s="939"/>
      <c r="AE858" s="943"/>
      <c r="AF858" s="944"/>
      <c r="AG858" s="939" t="s">
        <v>454</v>
      </c>
      <c r="AH858" s="939"/>
      <c r="AI858" s="940"/>
      <c r="AJ858" s="1003"/>
      <c r="AK858" s="979"/>
      <c r="AL858" s="1282"/>
      <c r="AM858" s="151"/>
      <c r="AN858" s="90"/>
      <c r="AO858" s="128"/>
      <c r="AP858" s="106"/>
    </row>
    <row r="859" spans="1:42" s="69" customFormat="1" ht="15" customHeight="1">
      <c r="A859" s="998"/>
      <c r="B859" s="669"/>
      <c r="C859" s="525"/>
      <c r="D859" s="1376" t="s">
        <v>862</v>
      </c>
      <c r="E859" s="225" t="s">
        <v>64</v>
      </c>
      <c r="F859" s="534" t="s">
        <v>151</v>
      </c>
      <c r="G859" s="39">
        <v>52.173147468818783</v>
      </c>
      <c r="H859" s="225" t="s">
        <v>64</v>
      </c>
      <c r="I859" s="227" t="s">
        <v>50</v>
      </c>
      <c r="J859" s="1023"/>
      <c r="K859" s="1048"/>
      <c r="L859" s="925" t="s">
        <v>455</v>
      </c>
      <c r="M859" s="925"/>
      <c r="N859" s="926"/>
      <c r="O859" s="732"/>
      <c r="P859" s="732"/>
      <c r="Q859" s="732"/>
      <c r="R859" s="1368" t="s">
        <v>455</v>
      </c>
      <c r="S859" s="1369"/>
      <c r="T859" s="1370"/>
      <c r="U859" s="924" t="s">
        <v>455</v>
      </c>
      <c r="V859" s="925"/>
      <c r="W859" s="926"/>
      <c r="X859" s="924" t="s">
        <v>455</v>
      </c>
      <c r="Y859" s="925"/>
      <c r="Z859" s="926"/>
      <c r="AA859" s="924" t="s">
        <v>455</v>
      </c>
      <c r="AB859" s="925"/>
      <c r="AC859" s="925"/>
      <c r="AD859" s="925"/>
      <c r="AE859" s="943"/>
      <c r="AF859" s="944"/>
      <c r="AG859" s="925" t="s">
        <v>455</v>
      </c>
      <c r="AH859" s="925"/>
      <c r="AI859" s="926"/>
      <c r="AJ859" s="1003"/>
      <c r="AK859" s="979"/>
      <c r="AL859" s="1282"/>
      <c r="AM859" s="151"/>
      <c r="AN859" s="90"/>
      <c r="AO859" s="128"/>
      <c r="AP859" s="106"/>
    </row>
    <row r="860" spans="1:42" s="69" customFormat="1" ht="15" customHeight="1">
      <c r="A860" s="998"/>
      <c r="B860" s="669"/>
      <c r="C860" s="525"/>
      <c r="D860" s="1376" t="s">
        <v>863</v>
      </c>
      <c r="E860" s="225" t="s">
        <v>64</v>
      </c>
      <c r="F860" s="534" t="s">
        <v>151</v>
      </c>
      <c r="G860" s="39">
        <v>5.2120322817314744</v>
      </c>
      <c r="H860" s="225" t="s">
        <v>64</v>
      </c>
      <c r="I860" s="227" t="s">
        <v>50</v>
      </c>
      <c r="J860" s="1024"/>
      <c r="K860" s="1048"/>
      <c r="L860" s="969"/>
      <c r="M860" s="969"/>
      <c r="N860" s="993"/>
      <c r="O860" s="733"/>
      <c r="P860" s="733"/>
      <c r="Q860" s="733"/>
      <c r="R860" s="1371"/>
      <c r="S860" s="1372"/>
      <c r="T860" s="1373"/>
      <c r="U860" s="968"/>
      <c r="V860" s="969"/>
      <c r="W860" s="993"/>
      <c r="X860" s="968"/>
      <c r="Y860" s="969"/>
      <c r="Z860" s="993"/>
      <c r="AA860" s="968"/>
      <c r="AB860" s="969"/>
      <c r="AC860" s="969"/>
      <c r="AD860" s="969"/>
      <c r="AE860" s="943"/>
      <c r="AF860" s="944"/>
      <c r="AG860" s="969"/>
      <c r="AH860" s="969"/>
      <c r="AI860" s="993"/>
      <c r="AJ860" s="1003"/>
      <c r="AK860" s="979"/>
      <c r="AL860" s="1282"/>
      <c r="AM860" s="151"/>
      <c r="AN860" s="90"/>
      <c r="AO860" s="128"/>
      <c r="AP860" s="106"/>
    </row>
    <row r="861" spans="1:42" s="69" customFormat="1" ht="15" customHeight="1">
      <c r="A861" s="998"/>
      <c r="B861" s="669"/>
      <c r="C861" s="525"/>
      <c r="D861" s="518" t="s">
        <v>857</v>
      </c>
      <c r="E861" s="225" t="s">
        <v>64</v>
      </c>
      <c r="F861" s="534" t="s">
        <v>151</v>
      </c>
      <c r="G861" s="39">
        <v>5.2120322817314744</v>
      </c>
      <c r="H861" s="225" t="s">
        <v>64</v>
      </c>
      <c r="I861" s="227" t="s">
        <v>50</v>
      </c>
      <c r="J861" s="671" t="s">
        <v>450</v>
      </c>
      <c r="K861" s="1048"/>
      <c r="L861" s="210">
        <v>15.847395451210565</v>
      </c>
      <c r="M861" s="320" t="s">
        <v>64</v>
      </c>
      <c r="N861" s="520"/>
      <c r="O861" s="520"/>
      <c r="P861" s="520"/>
      <c r="Q861" s="520"/>
      <c r="R861" s="521"/>
      <c r="S861" s="24">
        <v>15.847395451210565</v>
      </c>
      <c r="T861" s="159">
        <v>6089.5139265818352</v>
      </c>
      <c r="U861" s="522"/>
      <c r="V861" s="522"/>
      <c r="W861" s="24"/>
      <c r="X861" s="159"/>
      <c r="Y861" s="24">
        <v>2.3888481291269259</v>
      </c>
      <c r="Z861" s="159">
        <v>917.93784004400368</v>
      </c>
      <c r="AA861" s="538"/>
      <c r="AB861" s="538"/>
      <c r="AC861" s="24">
        <v>4.3140132061628762</v>
      </c>
      <c r="AD861" s="187">
        <v>1657.7010133472777</v>
      </c>
      <c r="AE861" s="943"/>
      <c r="AF861" s="944"/>
      <c r="AG861" s="195">
        <v>15.847395451210565</v>
      </c>
      <c r="AH861" s="159">
        <v>12179.02785316367</v>
      </c>
      <c r="AI861" s="562">
        <f t="shared" si="29"/>
        <v>12179.02785316367</v>
      </c>
      <c r="AJ861" s="1003"/>
      <c r="AK861" s="979"/>
      <c r="AL861" s="1282"/>
      <c r="AM861" s="151"/>
      <c r="AN861" s="90"/>
      <c r="AO861" s="128"/>
      <c r="AP861" s="106"/>
    </row>
    <row r="862" spans="1:42" s="69" customFormat="1" ht="15" customHeight="1">
      <c r="A862" s="998"/>
      <c r="B862" s="669"/>
      <c r="C862" s="525"/>
      <c r="D862" s="223" t="s">
        <v>811</v>
      </c>
      <c r="E862" s="320" t="s">
        <v>64</v>
      </c>
      <c r="F862" s="534" t="s">
        <v>151</v>
      </c>
      <c r="G862" s="19">
        <v>1630.3888481291269</v>
      </c>
      <c r="H862" s="320" t="s">
        <v>64</v>
      </c>
      <c r="I862" s="72" t="s">
        <v>50</v>
      </c>
      <c r="J862" s="1025" t="s">
        <v>451</v>
      </c>
      <c r="K862" s="1048"/>
      <c r="L862" s="925" t="s">
        <v>454</v>
      </c>
      <c r="M862" s="925"/>
      <c r="N862" s="925"/>
      <c r="O862" s="925"/>
      <c r="P862" s="925"/>
      <c r="Q862" s="925"/>
      <c r="R862" s="925"/>
      <c r="S862" s="925"/>
      <c r="T862" s="926"/>
      <c r="U862" s="924" t="s">
        <v>454</v>
      </c>
      <c r="V862" s="925"/>
      <c r="W862" s="925"/>
      <c r="X862" s="925"/>
      <c r="Y862" s="925"/>
      <c r="Z862" s="926"/>
      <c r="AA862" s="924" t="s">
        <v>454</v>
      </c>
      <c r="AB862" s="925"/>
      <c r="AC862" s="925"/>
      <c r="AD862" s="925"/>
      <c r="AE862" s="943"/>
      <c r="AF862" s="944"/>
      <c r="AG862" s="925" t="s">
        <v>454</v>
      </c>
      <c r="AH862" s="925"/>
      <c r="AI862" s="935"/>
      <c r="AJ862" s="1003"/>
      <c r="AK862" s="979"/>
      <c r="AL862" s="1282"/>
      <c r="AM862" s="151"/>
      <c r="AN862" s="90"/>
      <c r="AO862" s="128"/>
      <c r="AP862" s="106"/>
    </row>
    <row r="863" spans="1:42" s="69" customFormat="1" ht="15" customHeight="1">
      <c r="A863" s="998"/>
      <c r="B863" s="669"/>
      <c r="C863" s="525"/>
      <c r="D863" s="223" t="s">
        <v>812</v>
      </c>
      <c r="E863" s="320" t="s">
        <v>64</v>
      </c>
      <c r="F863" s="534" t="s">
        <v>151</v>
      </c>
      <c r="G863" s="7">
        <v>9782.3418928833453</v>
      </c>
      <c r="H863" s="320" t="s">
        <v>64</v>
      </c>
      <c r="I863" s="72" t="s">
        <v>50</v>
      </c>
      <c r="J863" s="1023"/>
      <c r="K863" s="1048"/>
      <c r="L863" s="969"/>
      <c r="M863" s="969"/>
      <c r="N863" s="969"/>
      <c r="O863" s="969"/>
      <c r="P863" s="969"/>
      <c r="Q863" s="969"/>
      <c r="R863" s="969"/>
      <c r="S863" s="969"/>
      <c r="T863" s="993"/>
      <c r="U863" s="968"/>
      <c r="V863" s="969"/>
      <c r="W863" s="969"/>
      <c r="X863" s="969"/>
      <c r="Y863" s="969"/>
      <c r="Z863" s="993"/>
      <c r="AA863" s="968"/>
      <c r="AB863" s="969"/>
      <c r="AC863" s="969"/>
      <c r="AD863" s="969"/>
      <c r="AE863" s="943"/>
      <c r="AF863" s="944"/>
      <c r="AG863" s="969"/>
      <c r="AH863" s="969"/>
      <c r="AI863" s="970"/>
      <c r="AJ863" s="1003"/>
      <c r="AK863" s="979"/>
      <c r="AL863" s="1282"/>
      <c r="AM863" s="151"/>
      <c r="AN863" s="90"/>
      <c r="AO863" s="128"/>
      <c r="AP863" s="106"/>
    </row>
    <row r="864" spans="1:42" s="69" customFormat="1" ht="15" customHeight="1">
      <c r="A864" s="998"/>
      <c r="B864" s="669"/>
      <c r="C864" s="525"/>
      <c r="D864" s="1376" t="s">
        <v>864</v>
      </c>
      <c r="E864" s="320" t="s">
        <v>64</v>
      </c>
      <c r="F864" s="534" t="s">
        <v>151</v>
      </c>
      <c r="G864" s="7">
        <v>3912.9361702127658</v>
      </c>
      <c r="H864" s="320" t="s">
        <v>64</v>
      </c>
      <c r="I864" s="72" t="s">
        <v>50</v>
      </c>
      <c r="J864" s="1024"/>
      <c r="K864" s="1048"/>
      <c r="L864" s="939" t="s">
        <v>455</v>
      </c>
      <c r="M864" s="939"/>
      <c r="N864" s="956"/>
      <c r="O864" s="729"/>
      <c r="P864" s="729"/>
      <c r="Q864" s="729"/>
      <c r="R864" s="1374" t="s">
        <v>455</v>
      </c>
      <c r="S864" s="1298"/>
      <c r="T864" s="1375"/>
      <c r="U864" s="965" t="s">
        <v>455</v>
      </c>
      <c r="V864" s="939"/>
      <c r="W864" s="956"/>
      <c r="X864" s="965" t="s">
        <v>455</v>
      </c>
      <c r="Y864" s="939"/>
      <c r="Z864" s="956"/>
      <c r="AA864" s="965" t="s">
        <v>455</v>
      </c>
      <c r="AB864" s="939"/>
      <c r="AC864" s="939"/>
      <c r="AD864" s="939"/>
      <c r="AE864" s="943"/>
      <c r="AF864" s="944"/>
      <c r="AG864" s="939" t="s">
        <v>455</v>
      </c>
      <c r="AH864" s="939"/>
      <c r="AI864" s="956"/>
      <c r="AJ864" s="1003"/>
      <c r="AK864" s="979"/>
      <c r="AL864" s="1282"/>
      <c r="AM864" s="151"/>
      <c r="AN864" s="90"/>
      <c r="AO864" s="128"/>
      <c r="AP864" s="106"/>
    </row>
    <row r="865" spans="1:42" s="69" customFormat="1" ht="15" customHeight="1">
      <c r="A865" s="998"/>
      <c r="B865" s="669"/>
      <c r="C865" s="525"/>
      <c r="D865" s="518" t="s">
        <v>872</v>
      </c>
      <c r="E865" s="320" t="s">
        <v>64</v>
      </c>
      <c r="F865" s="534" t="s">
        <v>151</v>
      </c>
      <c r="G865" s="7">
        <v>3912.9361702127658</v>
      </c>
      <c r="H865" s="320" t="s">
        <v>64</v>
      </c>
      <c r="I865" s="72" t="s">
        <v>50</v>
      </c>
      <c r="J865" s="671" t="s">
        <v>450</v>
      </c>
      <c r="K865" s="1048"/>
      <c r="L865" s="211">
        <v>58.821216434336023</v>
      </c>
      <c r="M865" s="320" t="s">
        <v>64</v>
      </c>
      <c r="N865" s="256"/>
      <c r="O865" s="256"/>
      <c r="P865" s="256"/>
      <c r="Q865" s="256"/>
      <c r="R865" s="537"/>
      <c r="S865" s="7">
        <v>58.821216434336023</v>
      </c>
      <c r="T865" s="157">
        <v>22602.617430614577</v>
      </c>
      <c r="U865" s="256"/>
      <c r="V865" s="256"/>
      <c r="W865" s="7"/>
      <c r="X865" s="157"/>
      <c r="Y865" s="7">
        <v>8.834921276595745</v>
      </c>
      <c r="Z865" s="157">
        <v>3394.9033656489037</v>
      </c>
      <c r="AA865" s="253"/>
      <c r="AB865" s="253"/>
      <c r="AC865" s="7">
        <v>17.206159501100512</v>
      </c>
      <c r="AD865" s="176">
        <v>6611.6320645570877</v>
      </c>
      <c r="AE865" s="943"/>
      <c r="AF865" s="944"/>
      <c r="AG865" s="192">
        <v>58.821216434336023</v>
      </c>
      <c r="AH865" s="157">
        <v>45205.234861229153</v>
      </c>
      <c r="AI865" s="176">
        <f t="shared" si="29"/>
        <v>45205.234861229153</v>
      </c>
      <c r="AJ865" s="1003"/>
      <c r="AK865" s="979"/>
      <c r="AL865" s="1282"/>
      <c r="AM865" s="151"/>
      <c r="AN865" s="90"/>
      <c r="AO865" s="128"/>
      <c r="AP865" s="106"/>
    </row>
    <row r="866" spans="1:42" s="69" customFormat="1" ht="15" customHeight="1">
      <c r="A866" s="998"/>
      <c r="B866" s="669"/>
      <c r="C866" s="529"/>
      <c r="D866" s="223" t="s">
        <v>813</v>
      </c>
      <c r="E866" s="320" t="s">
        <v>64</v>
      </c>
      <c r="F866" s="534" t="s">
        <v>151</v>
      </c>
      <c r="G866" s="7">
        <v>58694.057226705794</v>
      </c>
      <c r="H866" s="320" t="s">
        <v>64</v>
      </c>
      <c r="I866" s="72" t="s">
        <v>50</v>
      </c>
      <c r="J866" s="1025" t="s">
        <v>451</v>
      </c>
      <c r="K866" s="1048"/>
      <c r="L866" s="939" t="s">
        <v>454</v>
      </c>
      <c r="M866" s="939"/>
      <c r="N866" s="939"/>
      <c r="O866" s="939"/>
      <c r="P866" s="939"/>
      <c r="Q866" s="939"/>
      <c r="R866" s="939"/>
      <c r="S866" s="939"/>
      <c r="T866" s="956"/>
      <c r="U866" s="965" t="s">
        <v>454</v>
      </c>
      <c r="V866" s="939"/>
      <c r="W866" s="939"/>
      <c r="X866" s="939"/>
      <c r="Y866" s="939"/>
      <c r="Z866" s="956"/>
      <c r="AA866" s="965" t="s">
        <v>454</v>
      </c>
      <c r="AB866" s="939"/>
      <c r="AC866" s="939"/>
      <c r="AD866" s="939"/>
      <c r="AE866" s="943"/>
      <c r="AF866" s="944"/>
      <c r="AG866" s="939" t="s">
        <v>454</v>
      </c>
      <c r="AH866" s="939"/>
      <c r="AI866" s="940"/>
      <c r="AJ866" s="1003"/>
      <c r="AK866" s="979"/>
      <c r="AL866" s="1282"/>
      <c r="AM866" s="151"/>
      <c r="AN866" s="90"/>
      <c r="AO866" s="128"/>
      <c r="AP866" s="106"/>
    </row>
    <row r="867" spans="1:42" s="69" customFormat="1" ht="15" customHeight="1">
      <c r="A867" s="998"/>
      <c r="B867" s="669"/>
      <c r="C867" s="529"/>
      <c r="D867" s="1376" t="s">
        <v>865</v>
      </c>
      <c r="E867" s="225" t="s">
        <v>64</v>
      </c>
      <c r="F867" s="534" t="s">
        <v>151</v>
      </c>
      <c r="G867" s="7">
        <v>5869.40572267058</v>
      </c>
      <c r="H867" s="225" t="s">
        <v>64</v>
      </c>
      <c r="I867" s="72" t="s">
        <v>50</v>
      </c>
      <c r="J867" s="1024"/>
      <c r="K867" s="1048"/>
      <c r="L867" s="939" t="s">
        <v>455</v>
      </c>
      <c r="M867" s="939"/>
      <c r="N867" s="956"/>
      <c r="O867" s="729"/>
      <c r="P867" s="729"/>
      <c r="Q867" s="729"/>
      <c r="R867" s="1374" t="s">
        <v>455</v>
      </c>
      <c r="S867" s="1298"/>
      <c r="T867" s="1375"/>
      <c r="U867" s="965" t="s">
        <v>455</v>
      </c>
      <c r="V867" s="939"/>
      <c r="W867" s="956"/>
      <c r="X867" s="965" t="s">
        <v>455</v>
      </c>
      <c r="Y867" s="939"/>
      <c r="Z867" s="956"/>
      <c r="AA867" s="965" t="s">
        <v>455</v>
      </c>
      <c r="AB867" s="939"/>
      <c r="AC867" s="939"/>
      <c r="AD867" s="939"/>
      <c r="AE867" s="943"/>
      <c r="AF867" s="944"/>
      <c r="AG867" s="939" t="s">
        <v>455</v>
      </c>
      <c r="AH867" s="939"/>
      <c r="AI867" s="956"/>
      <c r="AJ867" s="1003"/>
      <c r="AK867" s="979"/>
      <c r="AL867" s="1282"/>
      <c r="AM867" s="151"/>
      <c r="AN867" s="90"/>
      <c r="AO867" s="128"/>
      <c r="AP867" s="106"/>
    </row>
    <row r="868" spans="1:42" s="69" customFormat="1" ht="15" customHeight="1">
      <c r="A868" s="998"/>
      <c r="B868" s="669"/>
      <c r="C868" s="529"/>
      <c r="D868" s="518" t="s">
        <v>873</v>
      </c>
      <c r="E868" s="225" t="s">
        <v>64</v>
      </c>
      <c r="F868" s="534" t="s">
        <v>151</v>
      </c>
      <c r="G868" s="19">
        <v>5869.40572267058</v>
      </c>
      <c r="H868" s="225" t="s">
        <v>64</v>
      </c>
      <c r="I868" s="72" t="s">
        <v>50</v>
      </c>
      <c r="J868" s="671" t="s">
        <v>450</v>
      </c>
      <c r="K868" s="1048"/>
      <c r="L868" s="211">
        <v>81.320616287600885</v>
      </c>
      <c r="M868" s="320" t="s">
        <v>64</v>
      </c>
      <c r="N868" s="256"/>
      <c r="O868" s="256"/>
      <c r="P868" s="256"/>
      <c r="Q868" s="256"/>
      <c r="R868" s="537"/>
      <c r="S868" s="7">
        <v>81.320616287600885</v>
      </c>
      <c r="T868" s="157">
        <v>31248.227945478258</v>
      </c>
      <c r="U868" s="256"/>
      <c r="V868" s="256"/>
      <c r="W868" s="7"/>
      <c r="X868" s="157"/>
      <c r="Y868" s="7">
        <v>12.209831254585474</v>
      </c>
      <c r="Z868" s="157">
        <v>4691.7449428784766</v>
      </c>
      <c r="AA868" s="253"/>
      <c r="AB868" s="253"/>
      <c r="AC868" s="7">
        <v>23.95597945707997</v>
      </c>
      <c r="AD868" s="176">
        <v>9205.3152190162109</v>
      </c>
      <c r="AE868" s="943"/>
      <c r="AF868" s="944"/>
      <c r="AG868" s="192">
        <v>81.320616287600885</v>
      </c>
      <c r="AH868" s="157">
        <v>62496.455890956517</v>
      </c>
      <c r="AI868" s="176">
        <f t="shared" si="29"/>
        <v>62496.455890956517</v>
      </c>
      <c r="AJ868" s="1003"/>
      <c r="AK868" s="979"/>
      <c r="AL868" s="1282"/>
      <c r="AM868" s="151"/>
      <c r="AN868" s="90"/>
      <c r="AO868" s="128"/>
      <c r="AP868" s="106"/>
    </row>
    <row r="869" spans="1:42" s="69" customFormat="1" ht="15" customHeight="1">
      <c r="A869" s="998"/>
      <c r="B869" s="669"/>
      <c r="C869" s="525"/>
      <c r="D869" s="223" t="s">
        <v>814</v>
      </c>
      <c r="E869" s="225" t="s">
        <v>64</v>
      </c>
      <c r="F869" s="534" t="s">
        <v>151</v>
      </c>
      <c r="G869" s="19">
        <v>9.7813646368305207</v>
      </c>
      <c r="H869" s="225" t="s">
        <v>64</v>
      </c>
      <c r="I869" s="659" t="s">
        <v>50</v>
      </c>
      <c r="J869" s="1032" t="s">
        <v>451</v>
      </c>
      <c r="K869" s="1048"/>
      <c r="L869" s="925" t="s">
        <v>454</v>
      </c>
      <c r="M869" s="925"/>
      <c r="N869" s="925"/>
      <c r="O869" s="925"/>
      <c r="P869" s="925"/>
      <c r="Q869" s="925"/>
      <c r="R869" s="925"/>
      <c r="S869" s="925"/>
      <c r="T869" s="926"/>
      <c r="U869" s="924" t="s">
        <v>454</v>
      </c>
      <c r="V869" s="925"/>
      <c r="W869" s="925"/>
      <c r="X869" s="925"/>
      <c r="Y869" s="925"/>
      <c r="Z869" s="926"/>
      <c r="AA869" s="924" t="s">
        <v>454</v>
      </c>
      <c r="AB869" s="925"/>
      <c r="AC869" s="925"/>
      <c r="AD869" s="925"/>
      <c r="AE869" s="943"/>
      <c r="AF869" s="944"/>
      <c r="AG869" s="925" t="s">
        <v>454</v>
      </c>
      <c r="AH869" s="925"/>
      <c r="AI869" s="935"/>
      <c r="AJ869" s="1003"/>
      <c r="AK869" s="979"/>
      <c r="AL869" s="1282"/>
      <c r="AM869" s="151"/>
      <c r="AN869" s="90"/>
      <c r="AO869" s="128"/>
      <c r="AP869" s="106"/>
    </row>
    <row r="870" spans="1:42" s="69" customFormat="1" ht="15" customHeight="1">
      <c r="A870" s="998"/>
      <c r="B870" s="669"/>
      <c r="C870" s="525"/>
      <c r="D870" s="223" t="s">
        <v>815</v>
      </c>
      <c r="E870" s="225" t="s">
        <v>64</v>
      </c>
      <c r="F870" s="534" t="s">
        <v>151</v>
      </c>
      <c r="G870" s="19">
        <v>97.822450476889216</v>
      </c>
      <c r="H870" s="225" t="s">
        <v>64</v>
      </c>
      <c r="I870" s="659" t="s">
        <v>50</v>
      </c>
      <c r="J870" s="1032"/>
      <c r="K870" s="1048"/>
      <c r="L870" s="932"/>
      <c r="M870" s="932"/>
      <c r="N870" s="932"/>
      <c r="O870" s="932"/>
      <c r="P870" s="932"/>
      <c r="Q870" s="932"/>
      <c r="R870" s="932"/>
      <c r="S870" s="932"/>
      <c r="T870" s="933"/>
      <c r="U870" s="971"/>
      <c r="V870" s="932"/>
      <c r="W870" s="932"/>
      <c r="X870" s="932"/>
      <c r="Y870" s="932"/>
      <c r="Z870" s="933"/>
      <c r="AA870" s="971"/>
      <c r="AB870" s="932"/>
      <c r="AC870" s="932"/>
      <c r="AD870" s="932"/>
      <c r="AE870" s="943"/>
      <c r="AF870" s="944"/>
      <c r="AG870" s="932"/>
      <c r="AH870" s="932"/>
      <c r="AI870" s="937"/>
      <c r="AJ870" s="1003"/>
      <c r="AK870" s="979"/>
      <c r="AL870" s="1282"/>
      <c r="AM870" s="151"/>
      <c r="AN870" s="90"/>
      <c r="AO870" s="128"/>
      <c r="AP870" s="106"/>
    </row>
    <row r="871" spans="1:42" s="69" customFormat="1" ht="15" customHeight="1">
      <c r="A871" s="998"/>
      <c r="B871" s="669"/>
      <c r="C871" s="525"/>
      <c r="D871" s="223" t="s">
        <v>816</v>
      </c>
      <c r="E871" s="225" t="s">
        <v>64</v>
      </c>
      <c r="F871" s="534" t="s">
        <v>151</v>
      </c>
      <c r="G871" s="19">
        <v>9.7813646368305207</v>
      </c>
      <c r="H871" s="225" t="s">
        <v>64</v>
      </c>
      <c r="I871" s="659" t="s">
        <v>50</v>
      </c>
      <c r="J871" s="1032"/>
      <c r="K871" s="1048"/>
      <c r="L871" s="932"/>
      <c r="M871" s="932"/>
      <c r="N871" s="932"/>
      <c r="O871" s="932"/>
      <c r="P871" s="932"/>
      <c r="Q871" s="932"/>
      <c r="R871" s="932"/>
      <c r="S871" s="932"/>
      <c r="T871" s="933"/>
      <c r="U871" s="971"/>
      <c r="V871" s="932"/>
      <c r="W871" s="932"/>
      <c r="X871" s="932"/>
      <c r="Y871" s="932"/>
      <c r="Z871" s="933"/>
      <c r="AA871" s="971"/>
      <c r="AB871" s="932"/>
      <c r="AC871" s="932"/>
      <c r="AD871" s="932"/>
      <c r="AE871" s="943"/>
      <c r="AF871" s="944"/>
      <c r="AG871" s="932"/>
      <c r="AH871" s="932"/>
      <c r="AI871" s="937"/>
      <c r="AJ871" s="1003"/>
      <c r="AK871" s="979"/>
      <c r="AL871" s="1282"/>
      <c r="AM871" s="151"/>
      <c r="AN871" s="90"/>
      <c r="AO871" s="128"/>
      <c r="AP871" s="106"/>
    </row>
    <row r="872" spans="1:42" s="69" customFormat="1" ht="15" customHeight="1">
      <c r="A872" s="998"/>
      <c r="B872" s="669"/>
      <c r="C872" s="529"/>
      <c r="D872" s="654" t="s">
        <v>443</v>
      </c>
      <c r="E872" s="320" t="s">
        <v>64</v>
      </c>
      <c r="F872" s="534" t="s">
        <v>151</v>
      </c>
      <c r="G872" s="19">
        <v>117.38517975055025</v>
      </c>
      <c r="H872" s="320" t="s">
        <v>64</v>
      </c>
      <c r="I872" s="659" t="s">
        <v>50</v>
      </c>
      <c r="J872" s="1032"/>
      <c r="K872" s="1048"/>
      <c r="L872" s="932"/>
      <c r="M872" s="932"/>
      <c r="N872" s="932"/>
      <c r="O872" s="932"/>
      <c r="P872" s="932"/>
      <c r="Q872" s="932"/>
      <c r="R872" s="932"/>
      <c r="S872" s="932"/>
      <c r="T872" s="933"/>
      <c r="U872" s="971"/>
      <c r="V872" s="932"/>
      <c r="W872" s="932"/>
      <c r="X872" s="932"/>
      <c r="Y872" s="932"/>
      <c r="Z872" s="933"/>
      <c r="AA872" s="971"/>
      <c r="AB872" s="932"/>
      <c r="AC872" s="932"/>
      <c r="AD872" s="932"/>
      <c r="AE872" s="943"/>
      <c r="AF872" s="944"/>
      <c r="AG872" s="932"/>
      <c r="AH872" s="932"/>
      <c r="AI872" s="937"/>
      <c r="AJ872" s="1003"/>
      <c r="AK872" s="979"/>
      <c r="AL872" s="1282"/>
      <c r="AM872" s="151"/>
      <c r="AN872" s="90"/>
      <c r="AO872" s="128"/>
      <c r="AP872" s="106"/>
    </row>
    <row r="873" spans="1:42" s="69" customFormat="1" ht="15.75" customHeight="1" thickBot="1">
      <c r="A873" s="999"/>
      <c r="B873" s="670"/>
      <c r="C873" s="527"/>
      <c r="D873" s="223" t="s">
        <v>820</v>
      </c>
      <c r="E873" s="226" t="s">
        <v>64</v>
      </c>
      <c r="F873" s="536" t="s">
        <v>151</v>
      </c>
      <c r="G873" s="28">
        <v>0</v>
      </c>
      <c r="H873" s="226" t="s">
        <v>64</v>
      </c>
      <c r="I873" s="660" t="s">
        <v>50</v>
      </c>
      <c r="J873" s="1033"/>
      <c r="K873" s="1049"/>
      <c r="L873" s="928"/>
      <c r="M873" s="928"/>
      <c r="N873" s="928"/>
      <c r="O873" s="928"/>
      <c r="P873" s="928"/>
      <c r="Q873" s="928"/>
      <c r="R873" s="928"/>
      <c r="S873" s="928"/>
      <c r="T873" s="929"/>
      <c r="U873" s="927"/>
      <c r="V873" s="928"/>
      <c r="W873" s="928"/>
      <c r="X873" s="928"/>
      <c r="Y873" s="928"/>
      <c r="Z873" s="929"/>
      <c r="AA873" s="927"/>
      <c r="AB873" s="928"/>
      <c r="AC873" s="928"/>
      <c r="AD873" s="928"/>
      <c r="AE873" s="945"/>
      <c r="AF873" s="946"/>
      <c r="AG873" s="928"/>
      <c r="AH873" s="928"/>
      <c r="AI873" s="936"/>
      <c r="AJ873" s="1004"/>
      <c r="AK873" s="980"/>
      <c r="AL873" s="1283"/>
      <c r="AM873" s="151"/>
      <c r="AN873" s="90"/>
      <c r="AO873" s="128"/>
      <c r="AP873" s="106"/>
    </row>
    <row r="874" spans="1:42" s="69" customFormat="1">
      <c r="A874" s="66"/>
      <c r="B874" s="66"/>
      <c r="C874" s="67"/>
      <c r="D874" s="128"/>
      <c r="E874" s="128"/>
      <c r="F874" s="128"/>
      <c r="G874" s="59"/>
      <c r="H874" s="59"/>
      <c r="I874" s="59"/>
      <c r="J874" s="128"/>
      <c r="K874" s="128"/>
      <c r="L874" s="61"/>
      <c r="M874" s="60"/>
      <c r="N874" s="61"/>
      <c r="O874" s="61"/>
      <c r="P874" s="61"/>
      <c r="Q874" s="61"/>
      <c r="R874" s="160"/>
      <c r="S874" s="61"/>
      <c r="T874" s="160"/>
      <c r="U874" s="61"/>
      <c r="V874" s="61"/>
      <c r="W874" s="61"/>
      <c r="X874" s="151"/>
      <c r="Y874" s="60"/>
      <c r="Z874" s="151"/>
      <c r="AA874" s="60"/>
      <c r="AB874" s="60"/>
      <c r="AC874" s="60"/>
      <c r="AD874" s="60"/>
      <c r="AE874" s="60"/>
      <c r="AF874" s="60"/>
      <c r="AG874" s="60"/>
      <c r="AH874" s="151"/>
      <c r="AI874" s="151"/>
      <c r="AJ874" s="60"/>
      <c r="AM874" s="850"/>
      <c r="AN874" s="128"/>
      <c r="AO874" s="106"/>
    </row>
    <row r="875" spans="1:42" s="144" customFormat="1">
      <c r="A875" s="139"/>
      <c r="B875" s="139"/>
      <c r="C875" s="140"/>
      <c r="D875" s="141"/>
      <c r="E875" s="141"/>
      <c r="F875" s="141"/>
      <c r="G875" s="142"/>
      <c r="H875" s="142"/>
      <c r="I875" s="142"/>
      <c r="J875" s="141"/>
      <c r="K875" s="141"/>
      <c r="L875" s="143"/>
      <c r="M875" s="137"/>
      <c r="N875" s="143"/>
      <c r="O875" s="143"/>
      <c r="P875" s="143"/>
      <c r="Q875" s="143"/>
      <c r="R875" s="169"/>
      <c r="S875" s="143"/>
      <c r="T875" s="169"/>
      <c r="U875" s="143"/>
      <c r="V875" s="143"/>
      <c r="W875" s="143"/>
      <c r="X875" s="155"/>
      <c r="Y875" s="137"/>
      <c r="Z875" s="155"/>
      <c r="AA875" s="137"/>
      <c r="AB875" s="137"/>
      <c r="AC875" s="137"/>
      <c r="AD875" s="137"/>
      <c r="AE875" s="137"/>
      <c r="AF875" s="137"/>
      <c r="AG875" s="137"/>
      <c r="AH875" s="155"/>
      <c r="AI875" s="155"/>
      <c r="AJ875" s="137"/>
      <c r="AM875" s="851"/>
      <c r="AN875" s="141"/>
      <c r="AO875" s="145"/>
    </row>
    <row r="876" spans="1:42" s="69" customFormat="1" ht="13.5" thickBot="1">
      <c r="A876" s="70"/>
      <c r="B876" s="70"/>
      <c r="C876" s="71"/>
      <c r="D876" s="63"/>
      <c r="E876" s="63"/>
      <c r="F876" s="63"/>
      <c r="G876" s="62"/>
      <c r="H876" s="62"/>
      <c r="I876" s="62"/>
      <c r="J876" s="62"/>
      <c r="K876" s="62"/>
      <c r="L876" s="65"/>
      <c r="M876" s="64"/>
      <c r="N876" s="65"/>
      <c r="O876" s="65"/>
      <c r="P876" s="65"/>
      <c r="Q876" s="65"/>
      <c r="R876" s="168"/>
      <c r="S876" s="65"/>
      <c r="T876" s="168"/>
      <c r="U876" s="65"/>
      <c r="V876" s="65"/>
      <c r="W876" s="65"/>
      <c r="X876" s="152"/>
      <c r="Y876" s="64"/>
      <c r="Z876" s="152"/>
      <c r="AA876" s="64"/>
      <c r="AB876" s="64"/>
      <c r="AC876" s="64"/>
      <c r="AD876" s="64"/>
      <c r="AE876" s="64"/>
      <c r="AF876" s="64"/>
      <c r="AG876" s="64"/>
      <c r="AH876" s="152"/>
      <c r="AI876" s="152"/>
      <c r="AJ876" s="60"/>
      <c r="AM876" s="151"/>
      <c r="AN876" s="90"/>
      <c r="AO876" s="128"/>
      <c r="AP876" s="106"/>
    </row>
    <row r="877" spans="1:42" s="69" customFormat="1" ht="12.75" customHeight="1">
      <c r="A877" s="1211" t="s">
        <v>439</v>
      </c>
      <c r="B877" s="591">
        <v>9256</v>
      </c>
      <c r="C877" s="525">
        <v>32754</v>
      </c>
      <c r="D877" s="223" t="s">
        <v>440</v>
      </c>
      <c r="E877" s="223" t="s">
        <v>440</v>
      </c>
      <c r="F877" s="534" t="s">
        <v>151</v>
      </c>
      <c r="G877" s="11">
        <v>216.2905355832722</v>
      </c>
      <c r="H877" s="11">
        <v>216.2905355832722</v>
      </c>
      <c r="I877" s="227" t="s">
        <v>50</v>
      </c>
      <c r="J877" s="1022" t="s">
        <v>450</v>
      </c>
      <c r="K877" s="1047" t="s">
        <v>506</v>
      </c>
      <c r="L877" s="1051" t="s">
        <v>453</v>
      </c>
      <c r="M877" s="1051"/>
      <c r="N877" s="1052"/>
      <c r="O877" s="736"/>
      <c r="P877" s="736"/>
      <c r="Q877" s="736"/>
      <c r="R877" s="1050" t="s">
        <v>453</v>
      </c>
      <c r="S877" s="1051"/>
      <c r="T877" s="1052"/>
      <c r="U877" s="1050" t="s">
        <v>453</v>
      </c>
      <c r="V877" s="1051"/>
      <c r="W877" s="1052"/>
      <c r="X877" s="1050" t="s">
        <v>453</v>
      </c>
      <c r="Y877" s="1051"/>
      <c r="Z877" s="1052"/>
      <c r="AA877" s="1050" t="s">
        <v>453</v>
      </c>
      <c r="AB877" s="1051"/>
      <c r="AC877" s="1051"/>
      <c r="AD877" s="1051"/>
      <c r="AE877" s="941" t="s">
        <v>19</v>
      </c>
      <c r="AF877" s="942"/>
      <c r="AG877" s="1051" t="s">
        <v>453</v>
      </c>
      <c r="AH877" s="1051"/>
      <c r="AI877" s="1052"/>
      <c r="AJ877" s="975">
        <v>46182</v>
      </c>
      <c r="AK877" s="1019">
        <f>SUM(AI877:AI889)</f>
        <v>0</v>
      </c>
      <c r="AL877" s="1284">
        <f>AK877+AK890+AK910+AK911+AK925+AK934</f>
        <v>436971.62977809587</v>
      </c>
      <c r="AM877" s="151"/>
      <c r="AN877" s="90"/>
      <c r="AO877" s="128"/>
      <c r="AP877" s="106"/>
    </row>
    <row r="878" spans="1:42" s="69" customFormat="1" ht="15" customHeight="1">
      <c r="A878" s="1212"/>
      <c r="B878" s="591"/>
      <c r="C878" s="525"/>
      <c r="D878" s="223" t="s">
        <v>809</v>
      </c>
      <c r="E878" s="225" t="s">
        <v>64</v>
      </c>
      <c r="F878" s="534" t="s">
        <v>151</v>
      </c>
      <c r="G878" s="6">
        <v>72.096845194424063</v>
      </c>
      <c r="H878" s="225" t="s">
        <v>64</v>
      </c>
      <c r="I878" s="227" t="s">
        <v>50</v>
      </c>
      <c r="J878" s="1023"/>
      <c r="K878" s="1048"/>
      <c r="L878" s="932"/>
      <c r="M878" s="932"/>
      <c r="N878" s="933"/>
      <c r="O878" s="734"/>
      <c r="P878" s="734"/>
      <c r="Q878" s="734"/>
      <c r="R878" s="971"/>
      <c r="S878" s="932"/>
      <c r="T878" s="933"/>
      <c r="U878" s="971"/>
      <c r="V878" s="932"/>
      <c r="W878" s="933"/>
      <c r="X878" s="971"/>
      <c r="Y878" s="932"/>
      <c r="Z878" s="933"/>
      <c r="AA878" s="971"/>
      <c r="AB878" s="932"/>
      <c r="AC878" s="932"/>
      <c r="AD878" s="932"/>
      <c r="AE878" s="943"/>
      <c r="AF878" s="944"/>
      <c r="AG878" s="932"/>
      <c r="AH878" s="932"/>
      <c r="AI878" s="933"/>
      <c r="AJ878" s="976"/>
      <c r="AK878" s="1020"/>
      <c r="AL878" s="1285"/>
      <c r="AM878" s="151"/>
      <c r="AN878" s="90"/>
      <c r="AO878" s="128"/>
      <c r="AP878" s="106"/>
    </row>
    <row r="879" spans="1:42" s="69" customFormat="1" ht="15" customHeight="1">
      <c r="A879" s="1212"/>
      <c r="B879" s="524"/>
      <c r="C879" s="525"/>
      <c r="D879" s="223" t="s">
        <v>810</v>
      </c>
      <c r="E879" s="225" t="s">
        <v>64</v>
      </c>
      <c r="F879" s="534" t="s">
        <v>151</v>
      </c>
      <c r="G879" s="73">
        <v>52.172490095377846</v>
      </c>
      <c r="H879" s="225" t="s">
        <v>64</v>
      </c>
      <c r="I879" s="227" t="s">
        <v>50</v>
      </c>
      <c r="J879" s="1023"/>
      <c r="K879" s="1048"/>
      <c r="L879" s="932"/>
      <c r="M879" s="932"/>
      <c r="N879" s="933"/>
      <c r="O879" s="734"/>
      <c r="P879" s="734"/>
      <c r="Q879" s="734"/>
      <c r="R879" s="971"/>
      <c r="S879" s="932"/>
      <c r="T879" s="933"/>
      <c r="U879" s="971"/>
      <c r="V879" s="932"/>
      <c r="W879" s="933"/>
      <c r="X879" s="971"/>
      <c r="Y879" s="932"/>
      <c r="Z879" s="933"/>
      <c r="AA879" s="971"/>
      <c r="AB879" s="932"/>
      <c r="AC879" s="932"/>
      <c r="AD879" s="932"/>
      <c r="AE879" s="943"/>
      <c r="AF879" s="944"/>
      <c r="AG879" s="932"/>
      <c r="AH879" s="932"/>
      <c r="AI879" s="933"/>
      <c r="AJ879" s="976"/>
      <c r="AK879" s="1020"/>
      <c r="AL879" s="1285"/>
      <c r="AM879" s="151"/>
      <c r="AN879" s="90"/>
      <c r="AO879" s="128"/>
      <c r="AP879" s="106"/>
    </row>
    <row r="880" spans="1:42" s="69" customFormat="1" ht="15" customHeight="1">
      <c r="A880" s="1212"/>
      <c r="B880" s="524"/>
      <c r="C880" s="525"/>
      <c r="D880" s="223" t="s">
        <v>811</v>
      </c>
      <c r="E880" s="225" t="s">
        <v>64</v>
      </c>
      <c r="F880" s="534" t="s">
        <v>151</v>
      </c>
      <c r="G880" s="73">
        <v>5.2172490095377855</v>
      </c>
      <c r="H880" s="225" t="s">
        <v>64</v>
      </c>
      <c r="I880" s="227" t="s">
        <v>50</v>
      </c>
      <c r="J880" s="1023"/>
      <c r="K880" s="1048"/>
      <c r="L880" s="932"/>
      <c r="M880" s="932"/>
      <c r="N880" s="933"/>
      <c r="O880" s="734"/>
      <c r="P880" s="734"/>
      <c r="Q880" s="734"/>
      <c r="R880" s="971"/>
      <c r="S880" s="932"/>
      <c r="T880" s="933"/>
      <c r="U880" s="971"/>
      <c r="V880" s="932"/>
      <c r="W880" s="933"/>
      <c r="X880" s="971"/>
      <c r="Y880" s="932"/>
      <c r="Z880" s="933"/>
      <c r="AA880" s="971"/>
      <c r="AB880" s="932"/>
      <c r="AC880" s="932"/>
      <c r="AD880" s="932"/>
      <c r="AE880" s="943"/>
      <c r="AF880" s="944"/>
      <c r="AG880" s="932"/>
      <c r="AH880" s="932"/>
      <c r="AI880" s="933"/>
      <c r="AJ880" s="976"/>
      <c r="AK880" s="1020"/>
      <c r="AL880" s="1285"/>
      <c r="AM880" s="151"/>
      <c r="AN880" s="90"/>
      <c r="AO880" s="128"/>
      <c r="AP880" s="106"/>
    </row>
    <row r="881" spans="1:42" s="69" customFormat="1" ht="15" customHeight="1">
      <c r="A881" s="1212"/>
      <c r="B881" s="524"/>
      <c r="C881" s="525"/>
      <c r="D881" s="223" t="s">
        <v>812</v>
      </c>
      <c r="E881" s="225" t="s">
        <v>64</v>
      </c>
      <c r="F881" s="534" t="s">
        <v>151</v>
      </c>
      <c r="G881" s="6">
        <v>56933.235509904625</v>
      </c>
      <c r="H881" s="225" t="s">
        <v>64</v>
      </c>
      <c r="I881" s="227" t="s">
        <v>50</v>
      </c>
      <c r="J881" s="1023"/>
      <c r="K881" s="1048"/>
      <c r="L881" s="932"/>
      <c r="M881" s="932"/>
      <c r="N881" s="933"/>
      <c r="O881" s="734"/>
      <c r="P881" s="734"/>
      <c r="Q881" s="734"/>
      <c r="R881" s="971"/>
      <c r="S881" s="932"/>
      <c r="T881" s="933"/>
      <c r="U881" s="971"/>
      <c r="V881" s="932"/>
      <c r="W881" s="933"/>
      <c r="X881" s="971"/>
      <c r="Y881" s="932"/>
      <c r="Z881" s="933"/>
      <c r="AA881" s="971"/>
      <c r="AB881" s="932"/>
      <c r="AC881" s="932"/>
      <c r="AD881" s="932"/>
      <c r="AE881" s="943"/>
      <c r="AF881" s="944"/>
      <c r="AG881" s="932"/>
      <c r="AH881" s="932"/>
      <c r="AI881" s="933"/>
      <c r="AJ881" s="976"/>
      <c r="AK881" s="1020"/>
      <c r="AL881" s="1285"/>
      <c r="AM881" s="151"/>
      <c r="AN881" s="90"/>
      <c r="AO881" s="128"/>
      <c r="AP881" s="106"/>
    </row>
    <row r="882" spans="1:42" s="69" customFormat="1" ht="15" customHeight="1">
      <c r="A882" s="1212"/>
      <c r="B882" s="524"/>
      <c r="C882" s="525"/>
      <c r="D882" s="223" t="s">
        <v>813</v>
      </c>
      <c r="E882" s="250" t="s">
        <v>88</v>
      </c>
      <c r="F882" s="534" t="s">
        <v>151</v>
      </c>
      <c r="G882" s="6">
        <v>1760.8217168011738</v>
      </c>
      <c r="H882" s="225" t="s">
        <v>64</v>
      </c>
      <c r="I882" s="227" t="s">
        <v>50</v>
      </c>
      <c r="J882" s="1023"/>
      <c r="K882" s="1048"/>
      <c r="L882" s="932"/>
      <c r="M882" s="932"/>
      <c r="N882" s="933"/>
      <c r="O882" s="734"/>
      <c r="P882" s="734"/>
      <c r="Q882" s="734"/>
      <c r="R882" s="971"/>
      <c r="S882" s="932"/>
      <c r="T882" s="933"/>
      <c r="U882" s="971"/>
      <c r="V882" s="932"/>
      <c r="W882" s="933"/>
      <c r="X882" s="971"/>
      <c r="Y882" s="932"/>
      <c r="Z882" s="933"/>
      <c r="AA882" s="971"/>
      <c r="AB882" s="932"/>
      <c r="AC882" s="932"/>
      <c r="AD882" s="932"/>
      <c r="AE882" s="943"/>
      <c r="AF882" s="944"/>
      <c r="AG882" s="932"/>
      <c r="AH882" s="932"/>
      <c r="AI882" s="933"/>
      <c r="AJ882" s="976"/>
      <c r="AK882" s="1020"/>
      <c r="AL882" s="1285"/>
      <c r="AM882" s="151"/>
      <c r="AN882" s="90"/>
      <c r="AO882" s="128"/>
      <c r="AP882" s="106"/>
    </row>
    <row r="883" spans="1:42" s="69" customFormat="1" ht="15" customHeight="1">
      <c r="A883" s="1212"/>
      <c r="B883" s="524"/>
      <c r="C883" s="525"/>
      <c r="D883" s="223" t="s">
        <v>814</v>
      </c>
      <c r="E883" s="225" t="s">
        <v>64</v>
      </c>
      <c r="F883" s="534" t="s">
        <v>151</v>
      </c>
      <c r="G883" s="73">
        <v>5869.40572267058</v>
      </c>
      <c r="H883" s="225" t="s">
        <v>64</v>
      </c>
      <c r="I883" s="227" t="s">
        <v>50</v>
      </c>
      <c r="J883" s="1023"/>
      <c r="K883" s="1048"/>
      <c r="L883" s="932"/>
      <c r="M883" s="932"/>
      <c r="N883" s="933"/>
      <c r="O883" s="734"/>
      <c r="P883" s="734"/>
      <c r="Q883" s="734"/>
      <c r="R883" s="971"/>
      <c r="S883" s="932"/>
      <c r="T883" s="933"/>
      <c r="U883" s="971"/>
      <c r="V883" s="932"/>
      <c r="W883" s="933"/>
      <c r="X883" s="971"/>
      <c r="Y883" s="932"/>
      <c r="Z883" s="933"/>
      <c r="AA883" s="971"/>
      <c r="AB883" s="932"/>
      <c r="AC883" s="932"/>
      <c r="AD883" s="932"/>
      <c r="AE883" s="943"/>
      <c r="AF883" s="944"/>
      <c r="AG883" s="932"/>
      <c r="AH883" s="932"/>
      <c r="AI883" s="933"/>
      <c r="AJ883" s="976"/>
      <c r="AK883" s="1020"/>
      <c r="AL883" s="1285"/>
      <c r="AM883" s="151"/>
      <c r="AN883" s="90"/>
      <c r="AO883" s="128"/>
      <c r="AP883" s="106"/>
    </row>
    <row r="884" spans="1:42" s="69" customFormat="1" ht="15" customHeight="1">
      <c r="A884" s="1212"/>
      <c r="B884" s="524"/>
      <c r="C884" s="525"/>
      <c r="D884" s="223" t="s">
        <v>815</v>
      </c>
      <c r="E884" s="225" t="s">
        <v>64</v>
      </c>
      <c r="F884" s="534" t="s">
        <v>151</v>
      </c>
      <c r="G884" s="73">
        <v>1630.3888481291269</v>
      </c>
      <c r="H884" s="225" t="s">
        <v>64</v>
      </c>
      <c r="I884" s="227" t="s">
        <v>50</v>
      </c>
      <c r="J884" s="1023"/>
      <c r="K884" s="1048"/>
      <c r="L884" s="932"/>
      <c r="M884" s="932"/>
      <c r="N884" s="933"/>
      <c r="O884" s="734"/>
      <c r="P884" s="734"/>
      <c r="Q884" s="734"/>
      <c r="R884" s="971"/>
      <c r="S884" s="932"/>
      <c r="T884" s="933"/>
      <c r="U884" s="971"/>
      <c r="V884" s="932"/>
      <c r="W884" s="933"/>
      <c r="X884" s="971"/>
      <c r="Y884" s="932"/>
      <c r="Z884" s="933"/>
      <c r="AA884" s="971"/>
      <c r="AB884" s="932"/>
      <c r="AC884" s="932"/>
      <c r="AD884" s="932"/>
      <c r="AE884" s="943"/>
      <c r="AF884" s="944"/>
      <c r="AG884" s="932"/>
      <c r="AH884" s="932"/>
      <c r="AI884" s="933"/>
      <c r="AJ884" s="976"/>
      <c r="AK884" s="1020"/>
      <c r="AL884" s="1285"/>
      <c r="AM884" s="151"/>
      <c r="AN884" s="90"/>
      <c r="AO884" s="128"/>
      <c r="AP884" s="106"/>
    </row>
    <row r="885" spans="1:42" s="69" customFormat="1" ht="15" customHeight="1">
      <c r="A885" s="1212"/>
      <c r="B885" s="524"/>
      <c r="C885" s="525"/>
      <c r="D885" s="223" t="s">
        <v>816</v>
      </c>
      <c r="E885" s="225" t="s">
        <v>64</v>
      </c>
      <c r="F885" s="534" t="s">
        <v>151</v>
      </c>
      <c r="G885" s="73">
        <v>9782.3418928833453</v>
      </c>
      <c r="H885" s="225" t="s">
        <v>64</v>
      </c>
      <c r="I885" s="227" t="s">
        <v>50</v>
      </c>
      <c r="J885" s="1023"/>
      <c r="K885" s="1048"/>
      <c r="L885" s="932"/>
      <c r="M885" s="932"/>
      <c r="N885" s="933"/>
      <c r="O885" s="734"/>
      <c r="P885" s="734"/>
      <c r="Q885" s="734"/>
      <c r="R885" s="971"/>
      <c r="S885" s="932"/>
      <c r="T885" s="933"/>
      <c r="U885" s="971"/>
      <c r="V885" s="932"/>
      <c r="W885" s="933"/>
      <c r="X885" s="971"/>
      <c r="Y885" s="932"/>
      <c r="Z885" s="933"/>
      <c r="AA885" s="971"/>
      <c r="AB885" s="932"/>
      <c r="AC885" s="932"/>
      <c r="AD885" s="932"/>
      <c r="AE885" s="943"/>
      <c r="AF885" s="944"/>
      <c r="AG885" s="932"/>
      <c r="AH885" s="932"/>
      <c r="AI885" s="933"/>
      <c r="AJ885" s="976"/>
      <c r="AK885" s="1020"/>
      <c r="AL885" s="1285"/>
      <c r="AM885" s="151"/>
      <c r="AN885" s="90"/>
      <c r="AO885" s="128"/>
      <c r="AP885" s="106"/>
    </row>
    <row r="886" spans="1:42" s="69" customFormat="1" ht="15" customHeight="1">
      <c r="A886" s="1212"/>
      <c r="B886" s="524"/>
      <c r="C886" s="525"/>
      <c r="D886" s="223" t="s">
        <v>820</v>
      </c>
      <c r="E886" s="225" t="s">
        <v>64</v>
      </c>
      <c r="F886" s="534" t="s">
        <v>151</v>
      </c>
      <c r="G886" s="6">
        <v>3912.9367571533389</v>
      </c>
      <c r="H886" s="225" t="s">
        <v>64</v>
      </c>
      <c r="I886" s="227" t="s">
        <v>50</v>
      </c>
      <c r="J886" s="1023"/>
      <c r="K886" s="1048"/>
      <c r="L886" s="932"/>
      <c r="M886" s="932"/>
      <c r="N886" s="933"/>
      <c r="O886" s="734"/>
      <c r="P886" s="734"/>
      <c r="Q886" s="734"/>
      <c r="R886" s="971"/>
      <c r="S886" s="932"/>
      <c r="T886" s="933"/>
      <c r="U886" s="971"/>
      <c r="V886" s="932"/>
      <c r="W886" s="933"/>
      <c r="X886" s="971"/>
      <c r="Y886" s="932"/>
      <c r="Z886" s="933"/>
      <c r="AA886" s="971"/>
      <c r="AB886" s="932"/>
      <c r="AC886" s="932"/>
      <c r="AD886" s="932"/>
      <c r="AE886" s="943"/>
      <c r="AF886" s="944"/>
      <c r="AG886" s="932"/>
      <c r="AH886" s="932"/>
      <c r="AI886" s="933"/>
      <c r="AJ886" s="976"/>
      <c r="AK886" s="1020"/>
      <c r="AL886" s="1285"/>
      <c r="AM886" s="151"/>
      <c r="AN886" s="90"/>
      <c r="AO886" s="128"/>
      <c r="AP886" s="106"/>
    </row>
    <row r="887" spans="1:42" s="69" customFormat="1" ht="15" customHeight="1">
      <c r="A887" s="1212"/>
      <c r="B887" s="524"/>
      <c r="C887" s="525"/>
      <c r="D887" s="223" t="s">
        <v>821</v>
      </c>
      <c r="E887" s="225" t="s">
        <v>64</v>
      </c>
      <c r="F887" s="534" t="s">
        <v>151</v>
      </c>
      <c r="G887" s="6">
        <v>9.7813646368305207</v>
      </c>
      <c r="H887" s="225" t="s">
        <v>64</v>
      </c>
      <c r="I887" s="227" t="s">
        <v>50</v>
      </c>
      <c r="J887" s="1023"/>
      <c r="K887" s="1048"/>
      <c r="L887" s="932"/>
      <c r="M887" s="932"/>
      <c r="N887" s="933"/>
      <c r="O887" s="734"/>
      <c r="P887" s="734"/>
      <c r="Q887" s="734"/>
      <c r="R887" s="971"/>
      <c r="S887" s="932"/>
      <c r="T887" s="933"/>
      <c r="U887" s="971"/>
      <c r="V887" s="932"/>
      <c r="W887" s="933"/>
      <c r="X887" s="971"/>
      <c r="Y887" s="932"/>
      <c r="Z887" s="933"/>
      <c r="AA887" s="971"/>
      <c r="AB887" s="932"/>
      <c r="AC887" s="932"/>
      <c r="AD887" s="932"/>
      <c r="AE887" s="943"/>
      <c r="AF887" s="944"/>
      <c r="AG887" s="932"/>
      <c r="AH887" s="932"/>
      <c r="AI887" s="933"/>
      <c r="AJ887" s="976"/>
      <c r="AK887" s="1020"/>
      <c r="AL887" s="1285"/>
      <c r="AM887" s="151"/>
      <c r="AN887" s="90"/>
      <c r="AO887" s="128"/>
      <c r="AP887" s="106"/>
    </row>
    <row r="888" spans="1:42" s="69" customFormat="1" ht="15" customHeight="1">
      <c r="A888" s="1212"/>
      <c r="B888" s="524"/>
      <c r="C888" s="525"/>
      <c r="D888" s="223" t="s">
        <v>822</v>
      </c>
      <c r="E888" s="225" t="s">
        <v>64</v>
      </c>
      <c r="F888" s="534" t="s">
        <v>151</v>
      </c>
      <c r="G888" s="6">
        <v>9.7813646368305207</v>
      </c>
      <c r="H888" s="225" t="s">
        <v>64</v>
      </c>
      <c r="I888" s="227" t="s">
        <v>50</v>
      </c>
      <c r="J888" s="1023"/>
      <c r="K888" s="1048"/>
      <c r="L888" s="932"/>
      <c r="M888" s="932"/>
      <c r="N888" s="933"/>
      <c r="O888" s="734"/>
      <c r="P888" s="734"/>
      <c r="Q888" s="734"/>
      <c r="R888" s="971"/>
      <c r="S888" s="932"/>
      <c r="T888" s="933"/>
      <c r="U888" s="971"/>
      <c r="V888" s="932"/>
      <c r="W888" s="933"/>
      <c r="X888" s="971"/>
      <c r="Y888" s="932"/>
      <c r="Z888" s="933"/>
      <c r="AA888" s="971"/>
      <c r="AB888" s="932"/>
      <c r="AC888" s="932"/>
      <c r="AD888" s="932"/>
      <c r="AE888" s="943"/>
      <c r="AF888" s="944"/>
      <c r="AG888" s="932"/>
      <c r="AH888" s="932"/>
      <c r="AI888" s="933"/>
      <c r="AJ888" s="976"/>
      <c r="AK888" s="1020"/>
      <c r="AL888" s="1285"/>
      <c r="AM888" s="151"/>
      <c r="AN888" s="90"/>
      <c r="AO888" s="128"/>
      <c r="AP888" s="106"/>
    </row>
    <row r="889" spans="1:42" s="69" customFormat="1" ht="15" customHeight="1" thickBot="1">
      <c r="A889" s="1212"/>
      <c r="B889" s="526"/>
      <c r="C889" s="527"/>
      <c r="D889" s="224" t="s">
        <v>823</v>
      </c>
      <c r="E889" s="226" t="s">
        <v>64</v>
      </c>
      <c r="F889" s="536" t="s">
        <v>151</v>
      </c>
      <c r="G889" s="27">
        <v>97.822450476889216</v>
      </c>
      <c r="H889" s="226" t="s">
        <v>64</v>
      </c>
      <c r="I889" s="220" t="s">
        <v>50</v>
      </c>
      <c r="J889" s="1037"/>
      <c r="K889" s="1048"/>
      <c r="L889" s="928"/>
      <c r="M889" s="928"/>
      <c r="N889" s="929"/>
      <c r="O889" s="735"/>
      <c r="P889" s="735"/>
      <c r="Q889" s="735"/>
      <c r="R889" s="927"/>
      <c r="S889" s="928"/>
      <c r="T889" s="929"/>
      <c r="U889" s="927"/>
      <c r="V889" s="928"/>
      <c r="W889" s="929"/>
      <c r="X889" s="927"/>
      <c r="Y889" s="928"/>
      <c r="Z889" s="929"/>
      <c r="AA889" s="927"/>
      <c r="AB889" s="928"/>
      <c r="AC889" s="928"/>
      <c r="AD889" s="928"/>
      <c r="AE889" s="943"/>
      <c r="AF889" s="944"/>
      <c r="AG889" s="928"/>
      <c r="AH889" s="928"/>
      <c r="AI889" s="929"/>
      <c r="AJ889" s="976"/>
      <c r="AK889" s="1021"/>
      <c r="AL889" s="1285"/>
      <c r="AM889" s="151"/>
      <c r="AN889" s="107" t="s">
        <v>77</v>
      </c>
      <c r="AO889" s="128"/>
      <c r="AP889" s="106"/>
    </row>
    <row r="890" spans="1:42" s="69" customFormat="1" ht="15" customHeight="1">
      <c r="A890" s="1212"/>
      <c r="B890" s="528">
        <v>9459</v>
      </c>
      <c r="C890" s="525">
        <v>32975</v>
      </c>
      <c r="D890" s="222" t="s">
        <v>442</v>
      </c>
      <c r="E890" s="250" t="s">
        <v>448</v>
      </c>
      <c r="F890" s="535" t="s">
        <v>151</v>
      </c>
      <c r="G890" s="120">
        <v>5407.2633895818044</v>
      </c>
      <c r="H890" s="320" t="s">
        <v>221</v>
      </c>
      <c r="I890" s="227" t="s">
        <v>50</v>
      </c>
      <c r="J890" s="1022" t="s">
        <v>451</v>
      </c>
      <c r="K890" s="1048"/>
      <c r="L890" s="958" t="s">
        <v>454</v>
      </c>
      <c r="M890" s="958"/>
      <c r="N890" s="959"/>
      <c r="O890" s="730"/>
      <c r="P890" s="730"/>
      <c r="Q890" s="730"/>
      <c r="R890" s="957" t="s">
        <v>454</v>
      </c>
      <c r="S890" s="958"/>
      <c r="T890" s="959"/>
      <c r="U890" s="957" t="s">
        <v>454</v>
      </c>
      <c r="V890" s="958"/>
      <c r="W890" s="959"/>
      <c r="X890" s="957" t="s">
        <v>454</v>
      </c>
      <c r="Y890" s="958"/>
      <c r="Z890" s="959"/>
      <c r="AA890" s="957" t="s">
        <v>454</v>
      </c>
      <c r="AB890" s="958"/>
      <c r="AC890" s="958"/>
      <c r="AD890" s="958"/>
      <c r="AE890" s="943"/>
      <c r="AF890" s="944"/>
      <c r="AG890" s="958" t="s">
        <v>454</v>
      </c>
      <c r="AH890" s="958"/>
      <c r="AI890" s="959"/>
      <c r="AJ890" s="976"/>
      <c r="AK890" s="978">
        <f>SUM(AI890:AI909)</f>
        <v>157208.27745689888</v>
      </c>
      <c r="AL890" s="1285"/>
      <c r="AM890" s="151"/>
      <c r="AN890" s="90"/>
      <c r="AO890" s="128"/>
      <c r="AP890" s="106"/>
    </row>
    <row r="891" spans="1:42" s="69" customFormat="1" ht="15" customHeight="1">
      <c r="A891" s="1212"/>
      <c r="B891" s="530"/>
      <c r="C891" s="525"/>
      <c r="D891" s="223" t="s">
        <v>809</v>
      </c>
      <c r="E891" s="225" t="s">
        <v>64</v>
      </c>
      <c r="F891" s="534" t="s">
        <v>151</v>
      </c>
      <c r="G891" s="120">
        <v>216.2905355832722</v>
      </c>
      <c r="H891" s="225" t="s">
        <v>64</v>
      </c>
      <c r="I891" s="227" t="s">
        <v>50</v>
      </c>
      <c r="J891" s="1023"/>
      <c r="K891" s="1048"/>
      <c r="L891" s="954"/>
      <c r="M891" s="954"/>
      <c r="N891" s="955"/>
      <c r="O891" s="731"/>
      <c r="P891" s="731"/>
      <c r="Q891" s="731"/>
      <c r="R891" s="961"/>
      <c r="S891" s="954"/>
      <c r="T891" s="955"/>
      <c r="U891" s="961"/>
      <c r="V891" s="954"/>
      <c r="W891" s="955"/>
      <c r="X891" s="961"/>
      <c r="Y891" s="954"/>
      <c r="Z891" s="955"/>
      <c r="AA891" s="961"/>
      <c r="AB891" s="954"/>
      <c r="AC891" s="954"/>
      <c r="AD891" s="954"/>
      <c r="AE891" s="943"/>
      <c r="AF891" s="944"/>
      <c r="AG891" s="954"/>
      <c r="AH891" s="954"/>
      <c r="AI891" s="955"/>
      <c r="AJ891" s="976"/>
      <c r="AK891" s="979"/>
      <c r="AL891" s="1285"/>
      <c r="AM891" s="151"/>
      <c r="AN891" s="90"/>
      <c r="AO891" s="128"/>
      <c r="AP891" s="106"/>
    </row>
    <row r="892" spans="1:42" s="69" customFormat="1" ht="15" customHeight="1">
      <c r="A892" s="1212"/>
      <c r="B892" s="530"/>
      <c r="C892" s="525"/>
      <c r="D892" s="518" t="s">
        <v>856</v>
      </c>
      <c r="E892" s="225" t="s">
        <v>64</v>
      </c>
      <c r="F892" s="534" t="s">
        <v>151</v>
      </c>
      <c r="G892" s="120">
        <v>72.096845194424063</v>
      </c>
      <c r="H892" s="225" t="s">
        <v>64</v>
      </c>
      <c r="I892" s="227" t="s">
        <v>50</v>
      </c>
      <c r="J892" s="1024"/>
      <c r="K892" s="1048"/>
      <c r="L892" s="209">
        <v>28.816936170212763</v>
      </c>
      <c r="M892" s="225" t="s">
        <v>64</v>
      </c>
      <c r="N892" s="255"/>
      <c r="O892" s="255"/>
      <c r="P892" s="255"/>
      <c r="Q892" s="255"/>
      <c r="R892" s="258"/>
      <c r="S892" s="120">
        <v>28.816936170212763</v>
      </c>
      <c r="T892" s="117">
        <v>11073.184528661801</v>
      </c>
      <c r="U892" s="256"/>
      <c r="V892" s="256"/>
      <c r="W892" s="120">
        <v>0.93725898752751291</v>
      </c>
      <c r="X892" s="117">
        <v>917.93784004400368</v>
      </c>
      <c r="Y892" s="120">
        <v>2.3888481291269259</v>
      </c>
      <c r="Z892" s="117">
        <v>917.93784004400368</v>
      </c>
      <c r="AA892" s="252"/>
      <c r="AB892" s="252"/>
      <c r="AC892" s="120">
        <v>7.9236977256052823</v>
      </c>
      <c r="AD892" s="177">
        <v>3044.7569632909176</v>
      </c>
      <c r="AE892" s="943"/>
      <c r="AF892" s="944"/>
      <c r="AG892" s="198">
        <v>28.816936170212763</v>
      </c>
      <c r="AH892" s="117">
        <v>22146.369057323602</v>
      </c>
      <c r="AI892" s="176">
        <f t="shared" ref="AI892:AI917" si="30">AH892</f>
        <v>22146.369057323602</v>
      </c>
      <c r="AJ892" s="976"/>
      <c r="AK892" s="979"/>
      <c r="AL892" s="1285"/>
      <c r="AM892" s="151"/>
      <c r="AN892" s="90"/>
      <c r="AO892" s="128"/>
      <c r="AP892" s="106"/>
    </row>
    <row r="893" spans="1:42" s="69" customFormat="1" ht="15" customHeight="1">
      <c r="A893" s="1212"/>
      <c r="B893" s="530"/>
      <c r="C893" s="525"/>
      <c r="D893" s="833" t="s">
        <v>871</v>
      </c>
      <c r="E893" s="225" t="s">
        <v>64</v>
      </c>
      <c r="F893" s="534" t="s">
        <v>151</v>
      </c>
      <c r="G893" s="120">
        <v>72.096845194424063</v>
      </c>
      <c r="H893" s="225" t="s">
        <v>64</v>
      </c>
      <c r="I893" s="227" t="s">
        <v>50</v>
      </c>
      <c r="J893" s="671" t="s">
        <v>450</v>
      </c>
      <c r="K893" s="1048"/>
      <c r="L893" s="939" t="s">
        <v>453</v>
      </c>
      <c r="M893" s="939"/>
      <c r="N893" s="956"/>
      <c r="O893" s="729"/>
      <c r="P893" s="729"/>
      <c r="Q893" s="729"/>
      <c r="R893" s="965" t="s">
        <v>453</v>
      </c>
      <c r="S893" s="939"/>
      <c r="T893" s="956"/>
      <c r="U893" s="965" t="s">
        <v>453</v>
      </c>
      <c r="V893" s="939"/>
      <c r="W893" s="956"/>
      <c r="X893" s="965" t="s">
        <v>453</v>
      </c>
      <c r="Y893" s="939"/>
      <c r="Z893" s="956"/>
      <c r="AA893" s="965" t="s">
        <v>453</v>
      </c>
      <c r="AB893" s="939"/>
      <c r="AC893" s="956"/>
      <c r="AD893" s="177">
        <v>1657.7010133472777</v>
      </c>
      <c r="AE893" s="943"/>
      <c r="AF893" s="944"/>
      <c r="AG893" s="939" t="s">
        <v>453</v>
      </c>
      <c r="AH893" s="939"/>
      <c r="AI893" s="956"/>
      <c r="AJ893" s="976"/>
      <c r="AK893" s="979"/>
      <c r="AL893" s="1285"/>
      <c r="AM893" s="151"/>
      <c r="AN893" s="90"/>
      <c r="AO893" s="128"/>
      <c r="AP893" s="106"/>
    </row>
    <row r="894" spans="1:42" s="69" customFormat="1" ht="15" customHeight="1">
      <c r="A894" s="1212"/>
      <c r="B894" s="530"/>
      <c r="C894" s="525"/>
      <c r="D894" s="223" t="s">
        <v>810</v>
      </c>
      <c r="E894" s="225" t="s">
        <v>64</v>
      </c>
      <c r="F894" s="534" t="s">
        <v>151</v>
      </c>
      <c r="G894" s="39">
        <v>52.173147468818783</v>
      </c>
      <c r="H894" s="225" t="s">
        <v>64</v>
      </c>
      <c r="I894" s="227" t="s">
        <v>50</v>
      </c>
      <c r="J894" s="1025" t="s">
        <v>451</v>
      </c>
      <c r="K894" s="1048"/>
      <c r="L894" s="939" t="s">
        <v>454</v>
      </c>
      <c r="M894" s="939"/>
      <c r="N894" s="939"/>
      <c r="O894" s="939"/>
      <c r="P894" s="939"/>
      <c r="Q894" s="939"/>
      <c r="R894" s="939"/>
      <c r="S894" s="939"/>
      <c r="T894" s="956"/>
      <c r="U894" s="965" t="s">
        <v>454</v>
      </c>
      <c r="V894" s="939"/>
      <c r="W894" s="939"/>
      <c r="X894" s="939"/>
      <c r="Y894" s="939"/>
      <c r="Z894" s="939"/>
      <c r="AA894" s="939"/>
      <c r="AB894" s="939"/>
      <c r="AC894" s="939"/>
      <c r="AD894" s="939"/>
      <c r="AE894" s="943"/>
      <c r="AF894" s="944"/>
      <c r="AG894" s="939" t="s">
        <v>454</v>
      </c>
      <c r="AH894" s="939"/>
      <c r="AI894" s="940"/>
      <c r="AJ894" s="976"/>
      <c r="AK894" s="979"/>
      <c r="AL894" s="1285"/>
      <c r="AM894" s="151"/>
      <c r="AN894" s="90"/>
      <c r="AO894" s="128"/>
      <c r="AP894" s="106"/>
    </row>
    <row r="895" spans="1:42" s="69" customFormat="1" ht="15" customHeight="1">
      <c r="A895" s="1212"/>
      <c r="B895" s="530"/>
      <c r="C895" s="525"/>
      <c r="D895" s="518" t="s">
        <v>857</v>
      </c>
      <c r="E895" s="225" t="s">
        <v>64</v>
      </c>
      <c r="F895" s="534" t="s">
        <v>151</v>
      </c>
      <c r="G895" s="39">
        <v>52.173147468818783</v>
      </c>
      <c r="H895" s="225" t="s">
        <v>64</v>
      </c>
      <c r="I895" s="227" t="s">
        <v>50</v>
      </c>
      <c r="J895" s="1023"/>
      <c r="K895" s="1048"/>
      <c r="L895" s="209">
        <v>19.753819515774026</v>
      </c>
      <c r="M895" s="225" t="s">
        <v>64</v>
      </c>
      <c r="N895" s="255"/>
      <c r="O895" s="255"/>
      <c r="P895" s="255"/>
      <c r="Q895" s="255"/>
      <c r="R895" s="258"/>
      <c r="S895" s="120">
        <v>19.753819515774026</v>
      </c>
      <c r="T895" s="117">
        <v>7590.5948971129674</v>
      </c>
      <c r="U895" s="256"/>
      <c r="V895" s="256"/>
      <c r="W895" s="120">
        <v>0.67825091709464425</v>
      </c>
      <c r="X895" s="117">
        <v>917.93784004400368</v>
      </c>
      <c r="Y895" s="120">
        <v>2.3888481291269259</v>
      </c>
      <c r="Z895" s="117">
        <v>917.93784004400368</v>
      </c>
      <c r="AA895" s="252"/>
      <c r="AB895" s="252"/>
      <c r="AC895" s="120">
        <v>5.2824651504035218</v>
      </c>
      <c r="AD895" s="177">
        <v>2029.8379755272813</v>
      </c>
      <c r="AE895" s="943"/>
      <c r="AF895" s="944"/>
      <c r="AG895" s="198">
        <v>19.753819515774026</v>
      </c>
      <c r="AH895" s="117">
        <v>15181.189794225935</v>
      </c>
      <c r="AI895" s="176">
        <f t="shared" si="30"/>
        <v>15181.189794225935</v>
      </c>
      <c r="AJ895" s="976"/>
      <c r="AK895" s="979"/>
      <c r="AL895" s="1285"/>
      <c r="AM895" s="151"/>
      <c r="AN895" s="90"/>
      <c r="AO895" s="128"/>
      <c r="AP895" s="106"/>
    </row>
    <row r="896" spans="1:42" s="69" customFormat="1" ht="15" customHeight="1">
      <c r="A896" s="1212"/>
      <c r="B896" s="530"/>
      <c r="C896" s="525"/>
      <c r="D896" s="518" t="s">
        <v>872</v>
      </c>
      <c r="E896" s="225" t="s">
        <v>64</v>
      </c>
      <c r="F896" s="534" t="s">
        <v>151</v>
      </c>
      <c r="G896" s="39">
        <v>5.2120322817314744</v>
      </c>
      <c r="H896" s="225" t="s">
        <v>64</v>
      </c>
      <c r="I896" s="227" t="s">
        <v>50</v>
      </c>
      <c r="J896" s="1024"/>
      <c r="K896" s="1048"/>
      <c r="L896" s="209">
        <v>15.847395451210565</v>
      </c>
      <c r="M896" s="225" t="s">
        <v>64</v>
      </c>
      <c r="N896" s="255"/>
      <c r="O896" s="255"/>
      <c r="P896" s="255"/>
      <c r="Q896" s="255"/>
      <c r="R896" s="258"/>
      <c r="S896" s="120">
        <v>15.847395451210565</v>
      </c>
      <c r="T896" s="117">
        <v>6089.5139265818352</v>
      </c>
      <c r="U896" s="256"/>
      <c r="V896" s="256"/>
      <c r="W896" s="120">
        <v>0</v>
      </c>
      <c r="X896" s="117">
        <v>917.93784004400368</v>
      </c>
      <c r="Y896" s="120">
        <v>2.3888481291269259</v>
      </c>
      <c r="Z896" s="117">
        <v>917.93784004400368</v>
      </c>
      <c r="AA896" s="252"/>
      <c r="AB896" s="252"/>
      <c r="AC896" s="120">
        <v>4.3140132061628762</v>
      </c>
      <c r="AD896" s="177">
        <v>1657.7010133472777</v>
      </c>
      <c r="AE896" s="943"/>
      <c r="AF896" s="944"/>
      <c r="AG896" s="198">
        <v>15.847395451210565</v>
      </c>
      <c r="AH896" s="117">
        <v>12179.02785316367</v>
      </c>
      <c r="AI896" s="176">
        <f t="shared" si="30"/>
        <v>12179.02785316367</v>
      </c>
      <c r="AJ896" s="976"/>
      <c r="AK896" s="979"/>
      <c r="AL896" s="1285"/>
      <c r="AM896" s="151"/>
      <c r="AN896" s="90"/>
      <c r="AO896" s="128"/>
      <c r="AP896" s="106"/>
    </row>
    <row r="897" spans="1:42" s="69" customFormat="1" ht="15" customHeight="1" thickBot="1">
      <c r="A897" s="1212"/>
      <c r="B897" s="530"/>
      <c r="C897" s="525"/>
      <c r="D897" s="833" t="s">
        <v>862</v>
      </c>
      <c r="E897" s="225" t="s">
        <v>64</v>
      </c>
      <c r="F897" s="534" t="s">
        <v>151</v>
      </c>
      <c r="G897" s="39">
        <v>5.2120322817314744</v>
      </c>
      <c r="H897" s="225" t="s">
        <v>64</v>
      </c>
      <c r="I897" s="227" t="s">
        <v>50</v>
      </c>
      <c r="J897" s="671" t="s">
        <v>450</v>
      </c>
      <c r="K897" s="1048"/>
      <c r="L897" s="939" t="s">
        <v>453</v>
      </c>
      <c r="M897" s="939"/>
      <c r="N897" s="956"/>
      <c r="O897" s="729"/>
      <c r="P897" s="729"/>
      <c r="Q897" s="729"/>
      <c r="R897" s="965" t="s">
        <v>453</v>
      </c>
      <c r="S897" s="939"/>
      <c r="T897" s="956"/>
      <c r="U897" s="965" t="s">
        <v>453</v>
      </c>
      <c r="V897" s="939"/>
      <c r="W897" s="956"/>
      <c r="X897" s="965" t="s">
        <v>453</v>
      </c>
      <c r="Y897" s="939"/>
      <c r="Z897" s="956"/>
      <c r="AA897" s="965" t="s">
        <v>453</v>
      </c>
      <c r="AB897" s="939"/>
      <c r="AC897" s="956"/>
      <c r="AD897" s="187">
        <v>1657.7010133472777</v>
      </c>
      <c r="AE897" s="943"/>
      <c r="AF897" s="944"/>
      <c r="AG897" s="939" t="s">
        <v>453</v>
      </c>
      <c r="AH897" s="939"/>
      <c r="AI897" s="956"/>
      <c r="AJ897" s="976"/>
      <c r="AK897" s="979"/>
      <c r="AL897" s="1285"/>
      <c r="AM897" s="151"/>
      <c r="AN897" s="90"/>
      <c r="AO897" s="128"/>
      <c r="AP897" s="106"/>
    </row>
    <row r="898" spans="1:42" s="69" customFormat="1" ht="15" customHeight="1">
      <c r="A898" s="1212"/>
      <c r="B898" s="530"/>
      <c r="C898" s="525"/>
      <c r="D898" s="223" t="s">
        <v>811</v>
      </c>
      <c r="E898" s="320" t="s">
        <v>64</v>
      </c>
      <c r="F898" s="534" t="s">
        <v>151</v>
      </c>
      <c r="G898" s="19">
        <v>1630.3888481291269</v>
      </c>
      <c r="H898" s="320" t="s">
        <v>64</v>
      </c>
      <c r="I898" s="72" t="s">
        <v>50</v>
      </c>
      <c r="J898" s="1025" t="s">
        <v>451</v>
      </c>
      <c r="K898" s="1048"/>
      <c r="L898" s="958" t="s">
        <v>454</v>
      </c>
      <c r="M898" s="958"/>
      <c r="N898" s="959"/>
      <c r="O898" s="730"/>
      <c r="P898" s="730"/>
      <c r="Q898" s="730"/>
      <c r="R898" s="957" t="s">
        <v>454</v>
      </c>
      <c r="S898" s="958"/>
      <c r="T898" s="959"/>
      <c r="U898" s="957" t="s">
        <v>454</v>
      </c>
      <c r="V898" s="958"/>
      <c r="W898" s="959"/>
      <c r="X898" s="957" t="s">
        <v>454</v>
      </c>
      <c r="Y898" s="958"/>
      <c r="Z898" s="959"/>
      <c r="AA898" s="960" t="s">
        <v>454</v>
      </c>
      <c r="AB898" s="951"/>
      <c r="AC898" s="951"/>
      <c r="AD898" s="951"/>
      <c r="AE898" s="943"/>
      <c r="AF898" s="944"/>
      <c r="AG898" s="958" t="s">
        <v>454</v>
      </c>
      <c r="AH898" s="958"/>
      <c r="AI898" s="959"/>
      <c r="AJ898" s="976"/>
      <c r="AK898" s="979"/>
      <c r="AL898" s="1285"/>
      <c r="AM898" s="151"/>
      <c r="AN898" s="90"/>
      <c r="AO898" s="128"/>
      <c r="AP898" s="106"/>
    </row>
    <row r="899" spans="1:42" s="69" customFormat="1" ht="15" customHeight="1">
      <c r="A899" s="1212"/>
      <c r="B899" s="530"/>
      <c r="C899" s="525"/>
      <c r="D899" s="223" t="s">
        <v>812</v>
      </c>
      <c r="E899" s="320" t="s">
        <v>64</v>
      </c>
      <c r="F899" s="534" t="s">
        <v>151</v>
      </c>
      <c r="G899" s="7">
        <v>9782.3418928833453</v>
      </c>
      <c r="H899" s="320" t="s">
        <v>64</v>
      </c>
      <c r="I899" s="72" t="s">
        <v>50</v>
      </c>
      <c r="J899" s="1023"/>
      <c r="K899" s="1048"/>
      <c r="L899" s="954"/>
      <c r="M899" s="954"/>
      <c r="N899" s="955"/>
      <c r="O899" s="731"/>
      <c r="P899" s="731"/>
      <c r="Q899" s="731"/>
      <c r="R899" s="961"/>
      <c r="S899" s="954"/>
      <c r="T899" s="955"/>
      <c r="U899" s="961"/>
      <c r="V899" s="954"/>
      <c r="W899" s="955"/>
      <c r="X899" s="961"/>
      <c r="Y899" s="954"/>
      <c r="Z899" s="955"/>
      <c r="AA899" s="961"/>
      <c r="AB899" s="954"/>
      <c r="AC899" s="954"/>
      <c r="AD899" s="954"/>
      <c r="AE899" s="943"/>
      <c r="AF899" s="944"/>
      <c r="AG899" s="954"/>
      <c r="AH899" s="954"/>
      <c r="AI899" s="955"/>
      <c r="AJ899" s="976"/>
      <c r="AK899" s="979"/>
      <c r="AL899" s="1285"/>
      <c r="AM899" s="151"/>
      <c r="AN899" s="90"/>
      <c r="AO899" s="128"/>
      <c r="AP899" s="106"/>
    </row>
    <row r="900" spans="1:42" s="69" customFormat="1" ht="15" customHeight="1">
      <c r="A900" s="1212"/>
      <c r="B900" s="530"/>
      <c r="C900" s="525"/>
      <c r="D900" s="518" t="s">
        <v>873</v>
      </c>
      <c r="E900" s="320" t="s">
        <v>64</v>
      </c>
      <c r="F900" s="534" t="s">
        <v>151</v>
      </c>
      <c r="G900" s="7">
        <v>3912.9361702127658</v>
      </c>
      <c r="H900" s="320" t="s">
        <v>64</v>
      </c>
      <c r="I900" s="72" t="s">
        <v>50</v>
      </c>
      <c r="J900" s="1024"/>
      <c r="K900" s="1048"/>
      <c r="L900" s="211">
        <v>58.821216434336023</v>
      </c>
      <c r="M900" s="320" t="s">
        <v>64</v>
      </c>
      <c r="N900" s="256"/>
      <c r="O900" s="256"/>
      <c r="P900" s="256"/>
      <c r="Q900" s="256"/>
      <c r="R900" s="537"/>
      <c r="S900" s="7">
        <v>58.821216434336023</v>
      </c>
      <c r="T900" s="157">
        <v>22602.617430614577</v>
      </c>
      <c r="U900" s="256"/>
      <c r="V900" s="256"/>
      <c r="W900" s="7">
        <v>0</v>
      </c>
      <c r="X900" s="157">
        <v>27099.013326579508</v>
      </c>
      <c r="Y900" s="7">
        <v>70.522669904622148</v>
      </c>
      <c r="Z900" s="157">
        <v>27099.013326579508</v>
      </c>
      <c r="AA900" s="253"/>
      <c r="AB900" s="253"/>
      <c r="AC900" s="7">
        <v>17.206159501100512</v>
      </c>
      <c r="AD900" s="176">
        <v>6611.6320645570877</v>
      </c>
      <c r="AE900" s="943"/>
      <c r="AF900" s="944"/>
      <c r="AG900" s="192">
        <v>58.821216434336023</v>
      </c>
      <c r="AH900" s="157">
        <v>45205.234861229153</v>
      </c>
      <c r="AI900" s="176">
        <f t="shared" si="30"/>
        <v>45205.234861229153</v>
      </c>
      <c r="AJ900" s="976"/>
      <c r="AK900" s="979"/>
      <c r="AL900" s="1285"/>
      <c r="AM900" s="151"/>
      <c r="AN900" s="90"/>
      <c r="AO900" s="128"/>
      <c r="AP900" s="106"/>
    </row>
    <row r="901" spans="1:42" s="69" customFormat="1" ht="15" customHeight="1">
      <c r="A901" s="1212"/>
      <c r="B901" s="530"/>
      <c r="C901" s="525"/>
      <c r="D901" s="833" t="s">
        <v>863</v>
      </c>
      <c r="E901" s="320" t="s">
        <v>64</v>
      </c>
      <c r="F901" s="534" t="s">
        <v>151</v>
      </c>
      <c r="G901" s="7">
        <v>3912.9361702127658</v>
      </c>
      <c r="H901" s="320" t="s">
        <v>64</v>
      </c>
      <c r="I901" s="72" t="s">
        <v>50</v>
      </c>
      <c r="J901" s="671" t="s">
        <v>450</v>
      </c>
      <c r="K901" s="1048"/>
      <c r="L901" s="939" t="s">
        <v>453</v>
      </c>
      <c r="M901" s="939"/>
      <c r="N901" s="956"/>
      <c r="O901" s="729"/>
      <c r="P901" s="729"/>
      <c r="Q901" s="729"/>
      <c r="R901" s="965" t="s">
        <v>453</v>
      </c>
      <c r="S901" s="939"/>
      <c r="T901" s="956"/>
      <c r="U901" s="965" t="s">
        <v>453</v>
      </c>
      <c r="V901" s="939"/>
      <c r="W901" s="956"/>
      <c r="X901" s="965" t="s">
        <v>453</v>
      </c>
      <c r="Y901" s="939"/>
      <c r="Z901" s="956"/>
      <c r="AA901" s="965" t="s">
        <v>453</v>
      </c>
      <c r="AB901" s="939"/>
      <c r="AC901" s="956"/>
      <c r="AD901" s="176">
        <v>6611.6320645570877</v>
      </c>
      <c r="AE901" s="943"/>
      <c r="AF901" s="944"/>
      <c r="AG901" s="939" t="s">
        <v>453</v>
      </c>
      <c r="AH901" s="939"/>
      <c r="AI901" s="956"/>
      <c r="AJ901" s="976"/>
      <c r="AK901" s="979"/>
      <c r="AL901" s="1285"/>
      <c r="AM901" s="151"/>
      <c r="AN901" s="90"/>
      <c r="AO901" s="128"/>
      <c r="AP901" s="106"/>
    </row>
    <row r="902" spans="1:42" s="69" customFormat="1" ht="15" customHeight="1">
      <c r="A902" s="1212"/>
      <c r="B902" s="530"/>
      <c r="C902" s="529"/>
      <c r="D902" s="223" t="s">
        <v>813</v>
      </c>
      <c r="E902" s="320" t="s">
        <v>64</v>
      </c>
      <c r="F902" s="534" t="s">
        <v>151</v>
      </c>
      <c r="G902" s="7">
        <v>58694.057226705794</v>
      </c>
      <c r="H902" s="320" t="s">
        <v>64</v>
      </c>
      <c r="I902" s="72" t="s">
        <v>50</v>
      </c>
      <c r="J902" s="1025" t="s">
        <v>451</v>
      </c>
      <c r="K902" s="1048"/>
      <c r="L902" s="939" t="s">
        <v>454</v>
      </c>
      <c r="M902" s="939"/>
      <c r="N902" s="939"/>
      <c r="O902" s="939"/>
      <c r="P902" s="939"/>
      <c r="Q902" s="939"/>
      <c r="R902" s="939"/>
      <c r="S902" s="939"/>
      <c r="T902" s="956"/>
      <c r="U902" s="965" t="s">
        <v>454</v>
      </c>
      <c r="V902" s="939"/>
      <c r="W902" s="939"/>
      <c r="X902" s="939"/>
      <c r="Y902" s="939"/>
      <c r="Z902" s="939"/>
      <c r="AA902" s="939"/>
      <c r="AB902" s="939"/>
      <c r="AC902" s="939"/>
      <c r="AD902" s="939"/>
      <c r="AE902" s="943"/>
      <c r="AF902" s="944"/>
      <c r="AG902" s="939" t="s">
        <v>454</v>
      </c>
      <c r="AH902" s="939"/>
      <c r="AI902" s="940"/>
      <c r="AJ902" s="976"/>
      <c r="AK902" s="979"/>
      <c r="AL902" s="1285"/>
      <c r="AM902" s="151"/>
      <c r="AN902" s="90"/>
      <c r="AO902" s="128"/>
      <c r="AP902" s="106"/>
    </row>
    <row r="903" spans="1:42" s="69" customFormat="1" ht="15" customHeight="1">
      <c r="A903" s="1212"/>
      <c r="B903" s="530"/>
      <c r="C903" s="529"/>
      <c r="D903" s="518" t="s">
        <v>874</v>
      </c>
      <c r="E903" s="225" t="s">
        <v>64</v>
      </c>
      <c r="F903" s="534" t="s">
        <v>151</v>
      </c>
      <c r="G903" s="7">
        <v>5869.40572267058</v>
      </c>
      <c r="H903" s="225" t="s">
        <v>64</v>
      </c>
      <c r="I903" s="72" t="s">
        <v>50</v>
      </c>
      <c r="J903" s="1024"/>
      <c r="K903" s="1048"/>
      <c r="L903" s="211">
        <v>81.320616287600885</v>
      </c>
      <c r="M903" s="320" t="s">
        <v>64</v>
      </c>
      <c r="N903" s="256"/>
      <c r="O903" s="256"/>
      <c r="P903" s="256"/>
      <c r="Q903" s="256"/>
      <c r="R903" s="537"/>
      <c r="S903" s="7">
        <v>81.320616287600885</v>
      </c>
      <c r="T903" s="157">
        <v>31248.227945478258</v>
      </c>
      <c r="U903" s="256"/>
      <c r="V903" s="256"/>
      <c r="W903" s="7">
        <v>0</v>
      </c>
      <c r="X903" s="157">
        <v>4691.7449428784766</v>
      </c>
      <c r="Y903" s="7">
        <v>12.209831254585474</v>
      </c>
      <c r="Z903" s="157">
        <v>4691.7449428784766</v>
      </c>
      <c r="AA903" s="253"/>
      <c r="AB903" s="253"/>
      <c r="AC903" s="7">
        <v>23.95597945707997</v>
      </c>
      <c r="AD903" s="176">
        <v>9205.3152190162109</v>
      </c>
      <c r="AE903" s="943"/>
      <c r="AF903" s="944"/>
      <c r="AG903" s="192">
        <v>81.320616287600885</v>
      </c>
      <c r="AH903" s="157">
        <v>62496.455890956517</v>
      </c>
      <c r="AI903" s="176">
        <f t="shared" si="30"/>
        <v>62496.455890956517</v>
      </c>
      <c r="AJ903" s="976"/>
      <c r="AK903" s="979"/>
      <c r="AL903" s="1285"/>
      <c r="AM903" s="151"/>
      <c r="AN903" s="90"/>
      <c r="AO903" s="128"/>
      <c r="AP903" s="106"/>
    </row>
    <row r="904" spans="1:42" s="69" customFormat="1" ht="15" customHeight="1" thickBot="1">
      <c r="A904" s="1212"/>
      <c r="B904" s="530"/>
      <c r="C904" s="529"/>
      <c r="D904" s="833" t="s">
        <v>864</v>
      </c>
      <c r="E904" s="225" t="s">
        <v>64</v>
      </c>
      <c r="F904" s="534" t="s">
        <v>151</v>
      </c>
      <c r="G904" s="19">
        <v>5869.40572267058</v>
      </c>
      <c r="H904" s="225" t="s">
        <v>64</v>
      </c>
      <c r="I904" s="72" t="s">
        <v>50</v>
      </c>
      <c r="J904" s="724" t="s">
        <v>450</v>
      </c>
      <c r="K904" s="1048"/>
      <c r="L904" s="939" t="s">
        <v>453</v>
      </c>
      <c r="M904" s="939"/>
      <c r="N904" s="956"/>
      <c r="O904" s="729"/>
      <c r="P904" s="729"/>
      <c r="Q904" s="729"/>
      <c r="R904" s="965" t="s">
        <v>453</v>
      </c>
      <c r="S904" s="939"/>
      <c r="T904" s="956"/>
      <c r="U904" s="965" t="s">
        <v>453</v>
      </c>
      <c r="V904" s="939"/>
      <c r="W904" s="956"/>
      <c r="X904" s="965" t="s">
        <v>453</v>
      </c>
      <c r="Y904" s="939"/>
      <c r="Z904" s="956"/>
      <c r="AA904" s="965" t="s">
        <v>453</v>
      </c>
      <c r="AB904" s="939"/>
      <c r="AC904" s="956"/>
      <c r="AD904" s="176">
        <v>9205.3152190162109</v>
      </c>
      <c r="AE904" s="943"/>
      <c r="AF904" s="944"/>
      <c r="AG904" s="939" t="s">
        <v>453</v>
      </c>
      <c r="AH904" s="939"/>
      <c r="AI904" s="956"/>
      <c r="AJ904" s="976"/>
      <c r="AK904" s="979"/>
      <c r="AL904" s="1285"/>
      <c r="AM904" s="151"/>
      <c r="AN904" s="90"/>
      <c r="AO904" s="128"/>
      <c r="AP904" s="106"/>
    </row>
    <row r="905" spans="1:42" s="69" customFormat="1" ht="15" customHeight="1">
      <c r="A905" s="1212"/>
      <c r="B905" s="530"/>
      <c r="C905" s="525"/>
      <c r="D905" s="223" t="s">
        <v>814</v>
      </c>
      <c r="E905" s="225" t="s">
        <v>64</v>
      </c>
      <c r="F905" s="534" t="s">
        <v>151</v>
      </c>
      <c r="G905" s="19">
        <v>9.7813646368305207</v>
      </c>
      <c r="H905" s="225" t="s">
        <v>64</v>
      </c>
      <c r="I905" s="659" t="s">
        <v>50</v>
      </c>
      <c r="J905" s="1082" t="s">
        <v>451</v>
      </c>
      <c r="K905" s="1048"/>
      <c r="L905" s="948" t="s">
        <v>454</v>
      </c>
      <c r="M905" s="948"/>
      <c r="N905" s="948"/>
      <c r="O905" s="739"/>
      <c r="P905" s="739"/>
      <c r="Q905" s="739"/>
      <c r="R905" s="948" t="s">
        <v>454</v>
      </c>
      <c r="S905" s="948"/>
      <c r="T905" s="949"/>
      <c r="U905" s="966" t="s">
        <v>454</v>
      </c>
      <c r="V905" s="948"/>
      <c r="W905" s="948"/>
      <c r="X905" s="948" t="s">
        <v>454</v>
      </c>
      <c r="Y905" s="948"/>
      <c r="Z905" s="948"/>
      <c r="AA905" s="948" t="s">
        <v>454</v>
      </c>
      <c r="AB905" s="948"/>
      <c r="AC905" s="948"/>
      <c r="AD905" s="948"/>
      <c r="AE905" s="943"/>
      <c r="AF905" s="944"/>
      <c r="AG905" s="948" t="s">
        <v>454</v>
      </c>
      <c r="AH905" s="948"/>
      <c r="AI905" s="967"/>
      <c r="AJ905" s="976"/>
      <c r="AK905" s="979"/>
      <c r="AL905" s="1285"/>
      <c r="AM905" s="151"/>
      <c r="AN905" s="90"/>
      <c r="AO905" s="128"/>
      <c r="AP905" s="106"/>
    </row>
    <row r="906" spans="1:42" s="69" customFormat="1" ht="15" customHeight="1">
      <c r="A906" s="1212"/>
      <c r="B906" s="530"/>
      <c r="C906" s="525"/>
      <c r="D906" s="223" t="s">
        <v>815</v>
      </c>
      <c r="E906" s="225" t="s">
        <v>64</v>
      </c>
      <c r="F906" s="534" t="s">
        <v>151</v>
      </c>
      <c r="G906" s="19">
        <v>97.822450476889216</v>
      </c>
      <c r="H906" s="225" t="s">
        <v>64</v>
      </c>
      <c r="I906" s="659" t="s">
        <v>50</v>
      </c>
      <c r="J906" s="1081"/>
      <c r="K906" s="1048"/>
      <c r="L906" s="951"/>
      <c r="M906" s="951"/>
      <c r="N906" s="951"/>
      <c r="O906" s="737"/>
      <c r="P906" s="737"/>
      <c r="Q906" s="737"/>
      <c r="R906" s="951"/>
      <c r="S906" s="951"/>
      <c r="T906" s="952"/>
      <c r="U906" s="960"/>
      <c r="V906" s="951"/>
      <c r="W906" s="951"/>
      <c r="X906" s="951"/>
      <c r="Y906" s="951"/>
      <c r="Z906" s="951"/>
      <c r="AA906" s="951"/>
      <c r="AB906" s="951"/>
      <c r="AC906" s="951"/>
      <c r="AD906" s="951"/>
      <c r="AE906" s="943"/>
      <c r="AF906" s="944"/>
      <c r="AG906" s="951"/>
      <c r="AH906" s="951"/>
      <c r="AI906" s="963"/>
      <c r="AJ906" s="976"/>
      <c r="AK906" s="979"/>
      <c r="AL906" s="1285"/>
      <c r="AM906" s="151"/>
      <c r="AN906" s="90"/>
      <c r="AO906" s="128"/>
      <c r="AP906" s="106"/>
    </row>
    <row r="907" spans="1:42" s="69" customFormat="1" ht="15" customHeight="1">
      <c r="A907" s="1212"/>
      <c r="B907" s="530"/>
      <c r="C907" s="525"/>
      <c r="D907" s="223" t="s">
        <v>816</v>
      </c>
      <c r="E907" s="225" t="s">
        <v>64</v>
      </c>
      <c r="F907" s="534" t="s">
        <v>151</v>
      </c>
      <c r="G907" s="19">
        <v>9.7813646368305207</v>
      </c>
      <c r="H907" s="225" t="s">
        <v>64</v>
      </c>
      <c r="I907" s="659" t="s">
        <v>50</v>
      </c>
      <c r="J907" s="1081"/>
      <c r="K907" s="1048"/>
      <c r="L907" s="951"/>
      <c r="M907" s="951"/>
      <c r="N907" s="951"/>
      <c r="O907" s="737"/>
      <c r="P907" s="737"/>
      <c r="Q907" s="737"/>
      <c r="R907" s="951"/>
      <c r="S907" s="951"/>
      <c r="T907" s="952"/>
      <c r="U907" s="960"/>
      <c r="V907" s="951"/>
      <c r="W907" s="951"/>
      <c r="X907" s="951"/>
      <c r="Y907" s="951"/>
      <c r="Z907" s="951"/>
      <c r="AA907" s="951"/>
      <c r="AB907" s="951"/>
      <c r="AC907" s="951"/>
      <c r="AD907" s="951"/>
      <c r="AE907" s="943"/>
      <c r="AF907" s="944"/>
      <c r="AG907" s="951"/>
      <c r="AH907" s="951"/>
      <c r="AI907" s="963"/>
      <c r="AJ907" s="976"/>
      <c r="AK907" s="979"/>
      <c r="AL907" s="1285"/>
      <c r="AM907" s="151"/>
      <c r="AN907" s="90"/>
      <c r="AO907" s="128"/>
      <c r="AP907" s="106"/>
    </row>
    <row r="908" spans="1:42" s="69" customFormat="1" ht="15" customHeight="1">
      <c r="A908" s="1212"/>
      <c r="B908" s="530"/>
      <c r="C908" s="529"/>
      <c r="D908" s="654" t="s">
        <v>443</v>
      </c>
      <c r="E908" s="320" t="s">
        <v>64</v>
      </c>
      <c r="F908" s="534" t="s">
        <v>151</v>
      </c>
      <c r="G908" s="19">
        <v>117.38517975055025</v>
      </c>
      <c r="H908" s="320" t="s">
        <v>64</v>
      </c>
      <c r="I908" s="659" t="s">
        <v>50</v>
      </c>
      <c r="J908" s="1081"/>
      <c r="K908" s="1048"/>
      <c r="L908" s="951"/>
      <c r="M908" s="951"/>
      <c r="N908" s="951"/>
      <c r="O908" s="737"/>
      <c r="P908" s="737"/>
      <c r="Q908" s="737"/>
      <c r="R908" s="951"/>
      <c r="S908" s="951"/>
      <c r="T908" s="952"/>
      <c r="U908" s="960"/>
      <c r="V908" s="951"/>
      <c r="W908" s="951"/>
      <c r="X908" s="951"/>
      <c r="Y908" s="951"/>
      <c r="Z908" s="951"/>
      <c r="AA908" s="951"/>
      <c r="AB908" s="951"/>
      <c r="AC908" s="951"/>
      <c r="AD908" s="951"/>
      <c r="AE908" s="943"/>
      <c r="AF908" s="944"/>
      <c r="AG908" s="951"/>
      <c r="AH908" s="951"/>
      <c r="AI908" s="963"/>
      <c r="AJ908" s="976"/>
      <c r="AK908" s="979"/>
      <c r="AL908" s="1285"/>
      <c r="AM908" s="151"/>
      <c r="AN908" s="90"/>
      <c r="AO908" s="128"/>
      <c r="AP908" s="106"/>
    </row>
    <row r="909" spans="1:42" s="69" customFormat="1" ht="15" customHeight="1" thickBot="1">
      <c r="A909" s="1212"/>
      <c r="B909" s="531"/>
      <c r="C909" s="527"/>
      <c r="D909" s="223" t="s">
        <v>820</v>
      </c>
      <c r="E909" s="226" t="s">
        <v>64</v>
      </c>
      <c r="F909" s="536" t="s">
        <v>151</v>
      </c>
      <c r="G909" s="28">
        <v>0</v>
      </c>
      <c r="H909" s="226" t="s">
        <v>64</v>
      </c>
      <c r="I909" s="660" t="s">
        <v>50</v>
      </c>
      <c r="J909" s="1081"/>
      <c r="K909" s="1048"/>
      <c r="L909" s="973"/>
      <c r="M909" s="973"/>
      <c r="N909" s="973"/>
      <c r="O909" s="738"/>
      <c r="P909" s="738"/>
      <c r="Q909" s="738"/>
      <c r="R909" s="973"/>
      <c r="S909" s="973"/>
      <c r="T909" s="1087"/>
      <c r="U909" s="1086"/>
      <c r="V909" s="973"/>
      <c r="W909" s="973"/>
      <c r="X909" s="973"/>
      <c r="Y909" s="973"/>
      <c r="Z909" s="973"/>
      <c r="AA909" s="973"/>
      <c r="AB909" s="973"/>
      <c r="AC909" s="973"/>
      <c r="AD909" s="973"/>
      <c r="AE909" s="943"/>
      <c r="AF909" s="944"/>
      <c r="AG909" s="973"/>
      <c r="AH909" s="973"/>
      <c r="AI909" s="974"/>
      <c r="AJ909" s="976"/>
      <c r="AK909" s="979"/>
      <c r="AL909" s="1285"/>
      <c r="AM909" s="151"/>
      <c r="AN909" s="90"/>
      <c r="AO909" s="128"/>
      <c r="AP909" s="106"/>
    </row>
    <row r="910" spans="1:42" s="69" customFormat="1" ht="15" customHeight="1" thickBot="1">
      <c r="A910" s="1212"/>
      <c r="B910" s="653">
        <v>9884</v>
      </c>
      <c r="C910" s="527">
        <v>33324</v>
      </c>
      <c r="D910" s="312" t="s">
        <v>444</v>
      </c>
      <c r="E910" s="657" t="s">
        <v>449</v>
      </c>
      <c r="F910" s="658" t="s">
        <v>151</v>
      </c>
      <c r="G910" s="92">
        <v>0</v>
      </c>
      <c r="H910" s="91">
        <v>216.29</v>
      </c>
      <c r="I910" s="661" t="s">
        <v>50</v>
      </c>
      <c r="J910" s="1081"/>
      <c r="K910" s="1048"/>
      <c r="L910" s="674">
        <v>103.03741746148202</v>
      </c>
      <c r="M910" s="92">
        <v>72.319999999999993</v>
      </c>
      <c r="N910" s="663"/>
      <c r="O910" s="663"/>
      <c r="P910" s="663"/>
      <c r="Q910" s="663"/>
      <c r="R910" s="664"/>
      <c r="S910" s="92">
        <v>29.713866471019809</v>
      </c>
      <c r="T910" s="126">
        <v>8855.0862527396494</v>
      </c>
      <c r="U910" s="663"/>
      <c r="V910" s="663"/>
      <c r="W910" s="910">
        <v>-22.890682318415262</v>
      </c>
      <c r="X910" s="911">
        <v>-3507</v>
      </c>
      <c r="Y910" s="92">
        <v>0.61922230374174614</v>
      </c>
      <c r="Z910" s="126">
        <v>184.53562462499431</v>
      </c>
      <c r="AA910" s="665"/>
      <c r="AB910" s="665"/>
      <c r="AC910" s="92">
        <v>7.0151137197358766</v>
      </c>
      <c r="AD910" s="202">
        <v>2090.5874744245766</v>
      </c>
      <c r="AE910" s="943"/>
      <c r="AF910" s="944"/>
      <c r="AG910" s="675">
        <v>29.713866471019809</v>
      </c>
      <c r="AH910" s="126">
        <v>20272.924865080597</v>
      </c>
      <c r="AI910" s="202">
        <f t="shared" si="30"/>
        <v>20272.924865080597</v>
      </c>
      <c r="AJ910" s="976"/>
      <c r="AK910" s="666">
        <f>AI910</f>
        <v>20272.924865080597</v>
      </c>
      <c r="AL910" s="1285"/>
      <c r="AM910" s="151"/>
      <c r="AN910" s="90"/>
      <c r="AO910" s="128"/>
      <c r="AP910" s="106"/>
    </row>
    <row r="911" spans="1:42" s="69" customFormat="1" ht="15" customHeight="1">
      <c r="A911" s="1212"/>
      <c r="B911" s="528">
        <v>10884</v>
      </c>
      <c r="C911" s="655">
        <v>34043</v>
      </c>
      <c r="D911" s="223" t="s">
        <v>445</v>
      </c>
      <c r="E911" s="656" t="s">
        <v>1</v>
      </c>
      <c r="F911" s="535" t="s">
        <v>151</v>
      </c>
      <c r="G911" s="120">
        <v>973.30741012472492</v>
      </c>
      <c r="H911" s="225" t="s">
        <v>221</v>
      </c>
      <c r="I911" s="662" t="s">
        <v>221</v>
      </c>
      <c r="J911" s="1081"/>
      <c r="K911" s="1048"/>
      <c r="L911" s="209">
        <v>96.450580337490834</v>
      </c>
      <c r="M911" s="120">
        <v>5.88</v>
      </c>
      <c r="N911" s="255"/>
      <c r="O911" s="255"/>
      <c r="P911" s="255"/>
      <c r="Q911" s="255"/>
      <c r="R911" s="258"/>
      <c r="S911" s="120">
        <v>90.575305209097579</v>
      </c>
      <c r="T911" s="117">
        <v>26746.041747147945</v>
      </c>
      <c r="U911" s="255"/>
      <c r="V911" s="255"/>
      <c r="W911" s="120">
        <v>12.652996331621425</v>
      </c>
      <c r="X911" s="117">
        <v>1868.1558253146536</v>
      </c>
      <c r="Y911" s="120">
        <v>5.131633198826119</v>
      </c>
      <c r="Z911" s="117">
        <v>757.66167969295429</v>
      </c>
      <c r="AA911" s="252"/>
      <c r="AB911" s="252"/>
      <c r="AC911" s="120">
        <v>22.161725678650036</v>
      </c>
      <c r="AD911" s="177">
        <v>3272.0753124797538</v>
      </c>
      <c r="AE911" s="943"/>
      <c r="AF911" s="944"/>
      <c r="AG911" s="198">
        <v>90.575305209097579</v>
      </c>
      <c r="AH911" s="117">
        <v>26746.041747147945</v>
      </c>
      <c r="AI911" s="177">
        <f t="shared" si="30"/>
        <v>26746.041747147945</v>
      </c>
      <c r="AJ911" s="976"/>
      <c r="AK911" s="978">
        <f>SUM(AI911:AI924)</f>
        <v>191415.62080238046</v>
      </c>
      <c r="AL911" s="1285"/>
      <c r="AM911" s="151"/>
      <c r="AN911" s="90"/>
      <c r="AO911" s="128"/>
      <c r="AP911" s="106"/>
    </row>
    <row r="912" spans="1:42" s="69" customFormat="1" ht="15" customHeight="1">
      <c r="A912" s="1212"/>
      <c r="B912" s="530"/>
      <c r="C912" s="525"/>
      <c r="D912" s="223" t="s">
        <v>809</v>
      </c>
      <c r="E912" s="320" t="s">
        <v>64</v>
      </c>
      <c r="F912" s="534" t="s">
        <v>151</v>
      </c>
      <c r="G912" s="7">
        <v>324.43580337490829</v>
      </c>
      <c r="H912" s="320" t="s">
        <v>64</v>
      </c>
      <c r="I912" s="659" t="s">
        <v>50</v>
      </c>
      <c r="J912" s="1081"/>
      <c r="K912" s="1048"/>
      <c r="L912" s="211">
        <v>11.977526779163609</v>
      </c>
      <c r="M912" s="320" t="s">
        <v>64</v>
      </c>
      <c r="N912" s="256"/>
      <c r="O912" s="256"/>
      <c r="P912" s="256"/>
      <c r="Q912" s="256"/>
      <c r="R912" s="537"/>
      <c r="S912" s="7">
        <v>11.977526779163609</v>
      </c>
      <c r="T912" s="157">
        <v>3536.8517999861592</v>
      </c>
      <c r="U912" s="256"/>
      <c r="V912" s="256"/>
      <c r="W912" s="7">
        <v>0</v>
      </c>
      <c r="X912" s="157">
        <v>0</v>
      </c>
      <c r="Y912" s="7">
        <v>4.1121095744680858</v>
      </c>
      <c r="Z912" s="157">
        <v>607.13377721261702</v>
      </c>
      <c r="AA912" s="253"/>
      <c r="AB912" s="253"/>
      <c r="AC912" s="7">
        <v>2.7128471753484962</v>
      </c>
      <c r="AD912" s="176">
        <v>400.5392178254308</v>
      </c>
      <c r="AE912" s="943"/>
      <c r="AF912" s="944"/>
      <c r="AG912" s="192">
        <v>11.977526779163609</v>
      </c>
      <c r="AH912" s="157">
        <v>3536.8517999861592</v>
      </c>
      <c r="AI912" s="176">
        <f t="shared" si="30"/>
        <v>3536.8517999861592</v>
      </c>
      <c r="AJ912" s="976"/>
      <c r="AK912" s="979"/>
      <c r="AL912" s="1285"/>
      <c r="AM912" s="151"/>
      <c r="AN912" s="90"/>
      <c r="AO912" s="128"/>
      <c r="AP912" s="106"/>
    </row>
    <row r="913" spans="1:42" s="69" customFormat="1" ht="15" customHeight="1">
      <c r="A913" s="1212"/>
      <c r="B913" s="530"/>
      <c r="C913" s="525"/>
      <c r="D913" s="223" t="s">
        <v>810</v>
      </c>
      <c r="E913" s="320" t="s">
        <v>64</v>
      </c>
      <c r="F913" s="534" t="s">
        <v>151</v>
      </c>
      <c r="G913" s="19">
        <v>216.2905355832722</v>
      </c>
      <c r="H913" s="320" t="s">
        <v>64</v>
      </c>
      <c r="I913" s="659" t="s">
        <v>50</v>
      </c>
      <c r="J913" s="1081"/>
      <c r="K913" s="1048"/>
      <c r="L913" s="211">
        <v>10.733856199559794</v>
      </c>
      <c r="M913" s="320" t="s">
        <v>64</v>
      </c>
      <c r="N913" s="256"/>
      <c r="O913" s="256"/>
      <c r="P913" s="256"/>
      <c r="Q913" s="256"/>
      <c r="R913" s="537"/>
      <c r="S913" s="7">
        <v>10.733856199559794</v>
      </c>
      <c r="T913" s="157">
        <v>3169.6074924456698</v>
      </c>
      <c r="U913" s="256"/>
      <c r="V913" s="256"/>
      <c r="W913" s="7">
        <v>0</v>
      </c>
      <c r="X913" s="157">
        <v>0</v>
      </c>
      <c r="Y913" s="7">
        <v>3.9255589875275128</v>
      </c>
      <c r="Z913" s="157">
        <v>579.59045414708169</v>
      </c>
      <c r="AA913" s="253"/>
      <c r="AB913" s="253"/>
      <c r="AC913" s="7">
        <v>2.339746001467351</v>
      </c>
      <c r="AD913" s="176">
        <v>345.45257169435797</v>
      </c>
      <c r="AE913" s="943"/>
      <c r="AF913" s="944"/>
      <c r="AG913" s="192">
        <v>10.733856199559794</v>
      </c>
      <c r="AH913" s="157">
        <v>3169.6074924456698</v>
      </c>
      <c r="AI913" s="176">
        <f t="shared" si="30"/>
        <v>3169.6074924456698</v>
      </c>
      <c r="AJ913" s="976"/>
      <c r="AK913" s="979"/>
      <c r="AL913" s="1285"/>
      <c r="AM913" s="151"/>
      <c r="AN913" s="90"/>
      <c r="AO913" s="128"/>
      <c r="AP913" s="106"/>
    </row>
    <row r="914" spans="1:42" s="69" customFormat="1" ht="15" customHeight="1">
      <c r="A914" s="1212"/>
      <c r="B914" s="530"/>
      <c r="C914" s="525"/>
      <c r="D914" s="223" t="s">
        <v>811</v>
      </c>
      <c r="E914" s="320" t="s">
        <v>64</v>
      </c>
      <c r="F914" s="534" t="s">
        <v>151</v>
      </c>
      <c r="G914" s="19">
        <v>288.38738077769625</v>
      </c>
      <c r="H914" s="320" t="s">
        <v>64</v>
      </c>
      <c r="I914" s="659" t="s">
        <v>50</v>
      </c>
      <c r="J914" s="1081"/>
      <c r="K914" s="1048"/>
      <c r="L914" s="211">
        <v>11.562969919295671</v>
      </c>
      <c r="M914" s="320" t="s">
        <v>64</v>
      </c>
      <c r="N914" s="256"/>
      <c r="O914" s="256"/>
      <c r="P914" s="256"/>
      <c r="Q914" s="256"/>
      <c r="R914" s="537"/>
      <c r="S914" s="7">
        <v>11.562969919295671</v>
      </c>
      <c r="T914" s="157">
        <v>3414.437030805997</v>
      </c>
      <c r="U914" s="256"/>
      <c r="V914" s="256"/>
      <c r="W914" s="7">
        <v>0</v>
      </c>
      <c r="X914" s="157">
        <v>0</v>
      </c>
      <c r="Y914" s="7">
        <v>4.0499260454878936</v>
      </c>
      <c r="Z914" s="157">
        <v>597.95266952410611</v>
      </c>
      <c r="AA914" s="253"/>
      <c r="AB914" s="253"/>
      <c r="AC914" s="7">
        <v>2.5884801173881145</v>
      </c>
      <c r="AD914" s="176">
        <v>382.17700244840717</v>
      </c>
      <c r="AE914" s="943"/>
      <c r="AF914" s="944"/>
      <c r="AG914" s="192">
        <v>11.562969919295671</v>
      </c>
      <c r="AH914" s="157">
        <v>3414.437030805997</v>
      </c>
      <c r="AI914" s="176">
        <f t="shared" si="30"/>
        <v>3414.437030805997</v>
      </c>
      <c r="AJ914" s="976"/>
      <c r="AK914" s="979"/>
      <c r="AL914" s="1285"/>
      <c r="AM914" s="151"/>
      <c r="AN914" s="90"/>
      <c r="AO914" s="128"/>
      <c r="AP914" s="106"/>
    </row>
    <row r="915" spans="1:42" s="69" customFormat="1" ht="15" customHeight="1">
      <c r="A915" s="1212"/>
      <c r="B915" s="530"/>
      <c r="C915" s="525"/>
      <c r="D915" s="223" t="s">
        <v>812</v>
      </c>
      <c r="E915" s="320" t="s">
        <v>64</v>
      </c>
      <c r="F915" s="534" t="s">
        <v>151</v>
      </c>
      <c r="G915" s="19">
        <v>52.172490095377846</v>
      </c>
      <c r="H915" s="320" t="s">
        <v>64</v>
      </c>
      <c r="I915" s="659" t="s">
        <v>50</v>
      </c>
      <c r="J915" s="1081"/>
      <c r="K915" s="1048"/>
      <c r="L915" s="211">
        <v>14.177875533382243</v>
      </c>
      <c r="M915" s="320" t="s">
        <v>64</v>
      </c>
      <c r="N915" s="256"/>
      <c r="O915" s="256"/>
      <c r="P915" s="256"/>
      <c r="Q915" s="256"/>
      <c r="R915" s="537"/>
      <c r="S915" s="7">
        <v>14.177875533382243</v>
      </c>
      <c r="T915" s="157">
        <v>4186.5942380906408</v>
      </c>
      <c r="U915" s="256"/>
      <c r="V915" s="256"/>
      <c r="W915" s="7">
        <v>0.67824237123991216</v>
      </c>
      <c r="X915" s="157">
        <v>100.13931906709834</v>
      </c>
      <c r="Y915" s="7">
        <v>3.8561995597945709</v>
      </c>
      <c r="Z915" s="157">
        <v>569.34985851551824</v>
      </c>
      <c r="AA915" s="253"/>
      <c r="AB915" s="253"/>
      <c r="AC915" s="7">
        <v>3.1694790902421128</v>
      </c>
      <c r="AD915" s="176">
        <v>467.95878782097378</v>
      </c>
      <c r="AE915" s="943"/>
      <c r="AF915" s="944"/>
      <c r="AG915" s="192">
        <v>14.177875533382243</v>
      </c>
      <c r="AH915" s="157">
        <v>4186.5942380906408</v>
      </c>
      <c r="AI915" s="176">
        <f t="shared" si="30"/>
        <v>4186.5942380906408</v>
      </c>
      <c r="AJ915" s="976"/>
      <c r="AK915" s="979"/>
      <c r="AL915" s="1285"/>
      <c r="AM915" s="151"/>
      <c r="AN915" s="90"/>
      <c r="AO915" s="128"/>
      <c r="AP915" s="106"/>
    </row>
    <row r="916" spans="1:42" s="69" customFormat="1" ht="15" customHeight="1">
      <c r="A916" s="1212"/>
      <c r="B916" s="530"/>
      <c r="C916" s="525"/>
      <c r="D916" s="223" t="s">
        <v>813</v>
      </c>
      <c r="E916" s="320" t="s">
        <v>64</v>
      </c>
      <c r="F916" s="534" t="s">
        <v>151</v>
      </c>
      <c r="G916" s="19">
        <v>156.51944240645633</v>
      </c>
      <c r="H916" s="320" t="s">
        <v>64</v>
      </c>
      <c r="I916" s="659" t="s">
        <v>50</v>
      </c>
      <c r="J916" s="1081"/>
      <c r="K916" s="1048"/>
      <c r="L916" s="211">
        <v>15.534385913426267</v>
      </c>
      <c r="M916" s="320" t="s">
        <v>64</v>
      </c>
      <c r="N916" s="256"/>
      <c r="O916" s="256"/>
      <c r="P916" s="256"/>
      <c r="Q916" s="256"/>
      <c r="R916" s="537"/>
      <c r="S916" s="7">
        <v>15.534385913426267</v>
      </c>
      <c r="T916" s="157">
        <v>4587.1590848923115</v>
      </c>
      <c r="U916" s="256"/>
      <c r="V916" s="256"/>
      <c r="W916" s="7">
        <v>2.034752751283933</v>
      </c>
      <c r="X916" s="157">
        <v>300.42174246793485</v>
      </c>
      <c r="Y916" s="7">
        <v>3.8561995597945709</v>
      </c>
      <c r="Z916" s="157">
        <v>569.34985851551824</v>
      </c>
      <c r="AA916" s="253"/>
      <c r="AB916" s="253"/>
      <c r="AC916" s="7">
        <v>3.1694790902421128</v>
      </c>
      <c r="AD916" s="176">
        <v>467.95878782097378</v>
      </c>
      <c r="AE916" s="943"/>
      <c r="AF916" s="944"/>
      <c r="AG916" s="192">
        <v>15.534385913426267</v>
      </c>
      <c r="AH916" s="157">
        <v>4587.1590848923115</v>
      </c>
      <c r="AI916" s="176">
        <f t="shared" si="30"/>
        <v>4587.1590848923115</v>
      </c>
      <c r="AJ916" s="976"/>
      <c r="AK916" s="979"/>
      <c r="AL916" s="1285"/>
      <c r="AM916" s="151"/>
      <c r="AN916" s="90"/>
      <c r="AO916" s="128"/>
      <c r="AP916" s="106"/>
    </row>
    <row r="917" spans="1:42" s="69" customFormat="1" ht="15" customHeight="1">
      <c r="A917" s="1212"/>
      <c r="B917" s="530"/>
      <c r="C917" s="525"/>
      <c r="D917" s="223" t="s">
        <v>814</v>
      </c>
      <c r="E917" s="320" t="s">
        <v>64</v>
      </c>
      <c r="F917" s="534" t="s">
        <v>151</v>
      </c>
      <c r="G917" s="19">
        <v>5.2172490095377855</v>
      </c>
      <c r="H917" s="320" t="s">
        <v>64</v>
      </c>
      <c r="I917" s="659" t="s">
        <v>50</v>
      </c>
      <c r="J917" s="1081"/>
      <c r="K917" s="1048"/>
      <c r="L917" s="211">
        <v>10.271460014673515</v>
      </c>
      <c r="M917" s="320" t="s">
        <v>64</v>
      </c>
      <c r="N917" s="256"/>
      <c r="O917" s="256"/>
      <c r="P917" s="256"/>
      <c r="Q917" s="256"/>
      <c r="R917" s="537"/>
      <c r="S917" s="7">
        <v>10.271460014673515</v>
      </c>
      <c r="T917" s="157">
        <v>3033.0662173581604</v>
      </c>
      <c r="U917" s="256"/>
      <c r="V917" s="256"/>
      <c r="W917" s="7">
        <v>0</v>
      </c>
      <c r="X917" s="157">
        <v>0</v>
      </c>
      <c r="Y917" s="7">
        <v>3.8561995597945709</v>
      </c>
      <c r="Z917" s="157">
        <v>569.34985851551824</v>
      </c>
      <c r="AA917" s="253"/>
      <c r="AB917" s="253"/>
      <c r="AC917" s="7">
        <v>2.2010271460014672</v>
      </c>
      <c r="AD917" s="176">
        <v>324.97138043123124</v>
      </c>
      <c r="AE917" s="943"/>
      <c r="AF917" s="944"/>
      <c r="AG917" s="192">
        <v>10.271460014673515</v>
      </c>
      <c r="AH917" s="157">
        <v>3033.0662173581604</v>
      </c>
      <c r="AI917" s="176">
        <f t="shared" si="30"/>
        <v>3033.0662173581604</v>
      </c>
      <c r="AJ917" s="976"/>
      <c r="AK917" s="979"/>
      <c r="AL917" s="1285"/>
      <c r="AM917" s="151"/>
      <c r="AN917" s="90"/>
      <c r="AO917" s="128"/>
      <c r="AP917" s="106"/>
    </row>
    <row r="918" spans="1:42" s="69" customFormat="1" ht="15" customHeight="1">
      <c r="A918" s="1212"/>
      <c r="B918" s="530"/>
      <c r="C918" s="525"/>
      <c r="D918" s="223" t="s">
        <v>815</v>
      </c>
      <c r="E918" s="320" t="s">
        <v>64</v>
      </c>
      <c r="F918" s="534" t="s">
        <v>151</v>
      </c>
      <c r="G918" s="6">
        <v>15.651747028613356</v>
      </c>
      <c r="H918" s="320" t="s">
        <v>64</v>
      </c>
      <c r="I918" s="659" t="s">
        <v>50</v>
      </c>
      <c r="J918" s="1081"/>
      <c r="K918" s="1048"/>
      <c r="L918" s="211">
        <v>10.271460014673515</v>
      </c>
      <c r="M918" s="320" t="s">
        <v>64</v>
      </c>
      <c r="N918" s="256"/>
      <c r="O918" s="256"/>
      <c r="P918" s="256"/>
      <c r="Q918" s="256"/>
      <c r="R918" s="537"/>
      <c r="S918" s="7">
        <v>10.271460014673515</v>
      </c>
      <c r="T918" s="157">
        <v>3033.0662173581604</v>
      </c>
      <c r="U918" s="256"/>
      <c r="V918" s="256"/>
      <c r="W918" s="7">
        <v>0</v>
      </c>
      <c r="X918" s="157">
        <v>0</v>
      </c>
      <c r="Y918" s="7">
        <v>3.8561995597945709</v>
      </c>
      <c r="Z918" s="157">
        <v>569.34985851551824</v>
      </c>
      <c r="AA918" s="253"/>
      <c r="AB918" s="253"/>
      <c r="AC918" s="7">
        <v>2.2010271460014672</v>
      </c>
      <c r="AD918" s="176">
        <v>324.97138043123124</v>
      </c>
      <c r="AE918" s="943"/>
      <c r="AF918" s="944"/>
      <c r="AG918" s="192">
        <v>10.271460014673515</v>
      </c>
      <c r="AH918" s="157">
        <v>3033.0662173581604</v>
      </c>
      <c r="AI918" s="176">
        <f t="shared" ref="AI918:AI944" si="31">AH918</f>
        <v>3033.0662173581604</v>
      </c>
      <c r="AJ918" s="976"/>
      <c r="AK918" s="979"/>
      <c r="AL918" s="1285"/>
      <c r="AM918" s="151"/>
      <c r="AN918" s="90"/>
      <c r="AO918" s="128"/>
      <c r="AP918" s="106"/>
    </row>
    <row r="919" spans="1:42" s="69" customFormat="1" ht="15" customHeight="1">
      <c r="A919" s="1212"/>
      <c r="B919" s="530"/>
      <c r="C919" s="525"/>
      <c r="D919" s="223" t="s">
        <v>816</v>
      </c>
      <c r="E919" s="320" t="s">
        <v>64</v>
      </c>
      <c r="F919" s="534" t="s">
        <v>151</v>
      </c>
      <c r="G919" s="6">
        <v>20.868996038151142</v>
      </c>
      <c r="H919" s="320" t="s">
        <v>64</v>
      </c>
      <c r="I919" s="659" t="s">
        <v>50</v>
      </c>
      <c r="J919" s="1081"/>
      <c r="K919" s="1048"/>
      <c r="L919" s="211">
        <v>10.271460014673515</v>
      </c>
      <c r="M919" s="320" t="s">
        <v>64</v>
      </c>
      <c r="N919" s="256"/>
      <c r="O919" s="256"/>
      <c r="P919" s="256"/>
      <c r="Q919" s="256"/>
      <c r="R919" s="537"/>
      <c r="S919" s="7">
        <v>10.271460014673515</v>
      </c>
      <c r="T919" s="157">
        <v>3033.0662173581604</v>
      </c>
      <c r="U919" s="256"/>
      <c r="V919" s="256"/>
      <c r="W919" s="7">
        <v>0</v>
      </c>
      <c r="X919" s="157">
        <v>0</v>
      </c>
      <c r="Y919" s="7">
        <v>3.8561995597945709</v>
      </c>
      <c r="Z919" s="157">
        <v>569.34985851551824</v>
      </c>
      <c r="AA919" s="253"/>
      <c r="AB919" s="253"/>
      <c r="AC919" s="7">
        <v>2.2010271460014672</v>
      </c>
      <c r="AD919" s="176">
        <v>324.97138043123124</v>
      </c>
      <c r="AE919" s="943"/>
      <c r="AF919" s="944"/>
      <c r="AG919" s="192">
        <v>10.271460014673515</v>
      </c>
      <c r="AH919" s="157">
        <v>3033.0662173581604</v>
      </c>
      <c r="AI919" s="176">
        <f t="shared" si="31"/>
        <v>3033.0662173581604</v>
      </c>
      <c r="AJ919" s="976"/>
      <c r="AK919" s="979"/>
      <c r="AL919" s="1285"/>
      <c r="AM919" s="151"/>
      <c r="AN919" s="90"/>
      <c r="AO919" s="128"/>
      <c r="AP919" s="106"/>
    </row>
    <row r="920" spans="1:42" s="69" customFormat="1" ht="15" customHeight="1">
      <c r="A920" s="1212"/>
      <c r="B920" s="530"/>
      <c r="C920" s="525"/>
      <c r="D920" s="223" t="s">
        <v>820</v>
      </c>
      <c r="E920" s="320" t="s">
        <v>64</v>
      </c>
      <c r="F920" s="534" t="s">
        <v>151</v>
      </c>
      <c r="G920" s="73">
        <v>5869.40572267058</v>
      </c>
      <c r="H920" s="320" t="s">
        <v>64</v>
      </c>
      <c r="I920" s="659" t="s">
        <v>50</v>
      </c>
      <c r="J920" s="1081"/>
      <c r="K920" s="1048"/>
      <c r="L920" s="211">
        <v>75.744680851063833</v>
      </c>
      <c r="M920" s="320" t="s">
        <v>64</v>
      </c>
      <c r="N920" s="256"/>
      <c r="O920" s="256"/>
      <c r="P920" s="256"/>
      <c r="Q920" s="256"/>
      <c r="R920" s="537"/>
      <c r="S920" s="7">
        <v>75.744680851063833</v>
      </c>
      <c r="T920" s="157">
        <v>22366.696877146926</v>
      </c>
      <c r="U920" s="256"/>
      <c r="V920" s="256"/>
      <c r="W920" s="7">
        <v>0</v>
      </c>
      <c r="X920" s="157">
        <v>0</v>
      </c>
      <c r="Y920" s="7">
        <v>13.677182685253118</v>
      </c>
      <c r="Z920" s="157">
        <v>2019.3721579996752</v>
      </c>
      <c r="AA920" s="253"/>
      <c r="AB920" s="253"/>
      <c r="AC920" s="7">
        <v>21.842993396918562</v>
      </c>
      <c r="AD920" s="176">
        <v>3225.0159793995458</v>
      </c>
      <c r="AE920" s="943"/>
      <c r="AF920" s="944"/>
      <c r="AG920" s="192">
        <v>75.744680851063833</v>
      </c>
      <c r="AH920" s="157">
        <v>22366.696877146926</v>
      </c>
      <c r="AI920" s="176">
        <f t="shared" si="31"/>
        <v>22366.696877146926</v>
      </c>
      <c r="AJ920" s="976"/>
      <c r="AK920" s="979"/>
      <c r="AL920" s="1285"/>
      <c r="AM920" s="151"/>
      <c r="AN920" s="90"/>
      <c r="AO920" s="128"/>
      <c r="AP920" s="106"/>
    </row>
    <row r="921" spans="1:42" s="69" customFormat="1" ht="15" customHeight="1">
      <c r="A921" s="1212"/>
      <c r="B921" s="530"/>
      <c r="C921" s="525"/>
      <c r="D921" s="223" t="s">
        <v>821</v>
      </c>
      <c r="E921" s="320" t="s">
        <v>64</v>
      </c>
      <c r="F921" s="534" t="s">
        <v>151</v>
      </c>
      <c r="G921" s="73">
        <v>3912.9367571533389</v>
      </c>
      <c r="H921" s="320" t="s">
        <v>64</v>
      </c>
      <c r="I921" s="659" t="s">
        <v>50</v>
      </c>
      <c r="J921" s="1081"/>
      <c r="K921" s="1048"/>
      <c r="L921" s="211">
        <v>53.245287747615556</v>
      </c>
      <c r="M921" s="320" t="s">
        <v>64</v>
      </c>
      <c r="N921" s="256"/>
      <c r="O921" s="256"/>
      <c r="P921" s="256"/>
      <c r="Q921" s="256"/>
      <c r="R921" s="537"/>
      <c r="S921" s="7">
        <v>53.245287747615556</v>
      </c>
      <c r="T921" s="157">
        <v>15722.836215114297</v>
      </c>
      <c r="U921" s="256"/>
      <c r="V921" s="256"/>
      <c r="W921" s="7">
        <v>0</v>
      </c>
      <c r="X921" s="157">
        <v>0</v>
      </c>
      <c r="Y921" s="7">
        <v>10.302273719735876</v>
      </c>
      <c r="Z921" s="157">
        <v>1521.0826083472296</v>
      </c>
      <c r="AA921" s="253"/>
      <c r="AB921" s="253"/>
      <c r="AC921" s="7">
        <v>15.093175465884078</v>
      </c>
      <c r="AD921" s="176">
        <v>2228.4368800946527</v>
      </c>
      <c r="AE921" s="943"/>
      <c r="AF921" s="944"/>
      <c r="AG921" s="192">
        <v>53.245287747615556</v>
      </c>
      <c r="AH921" s="157">
        <v>15722.836215114297</v>
      </c>
      <c r="AI921" s="176">
        <f t="shared" si="31"/>
        <v>15722.836215114297</v>
      </c>
      <c r="AJ921" s="976"/>
      <c r="AK921" s="979"/>
      <c r="AL921" s="1285"/>
      <c r="AM921" s="151"/>
      <c r="AN921" s="90"/>
      <c r="AO921" s="128"/>
      <c r="AP921" s="106"/>
    </row>
    <row r="922" spans="1:42" s="69" customFormat="1" ht="15" customHeight="1">
      <c r="A922" s="1212"/>
      <c r="B922" s="530"/>
      <c r="C922" s="525"/>
      <c r="D922" s="223" t="s">
        <v>822</v>
      </c>
      <c r="E922" s="320" t="s">
        <v>64</v>
      </c>
      <c r="F922" s="534" t="s">
        <v>151</v>
      </c>
      <c r="G922" s="6">
        <v>5478.1114600146748</v>
      </c>
      <c r="H922" s="320" t="s">
        <v>64</v>
      </c>
      <c r="I922" s="659" t="s">
        <v>50</v>
      </c>
      <c r="J922" s="1081"/>
      <c r="K922" s="1048"/>
      <c r="L922" s="211">
        <v>71.244796830520926</v>
      </c>
      <c r="M922" s="320" t="s">
        <v>64</v>
      </c>
      <c r="N922" s="256"/>
      <c r="O922" s="256"/>
      <c r="P922" s="256"/>
      <c r="Q922" s="256"/>
      <c r="R922" s="537"/>
      <c r="S922" s="7">
        <v>71.244796830520926</v>
      </c>
      <c r="T922" s="157">
        <v>21037.923150214167</v>
      </c>
      <c r="U922" s="256"/>
      <c r="V922" s="256"/>
      <c r="W922" s="7">
        <v>0</v>
      </c>
      <c r="X922" s="157">
        <v>0</v>
      </c>
      <c r="Y922" s="7">
        <v>13.002200082171681</v>
      </c>
      <c r="Z922" s="157">
        <v>1919.7141284797162</v>
      </c>
      <c r="AA922" s="253"/>
      <c r="AB922" s="253"/>
      <c r="AC922" s="7">
        <v>20.493028190755691</v>
      </c>
      <c r="AD922" s="176">
        <v>3025.699920359627</v>
      </c>
      <c r="AE922" s="943"/>
      <c r="AF922" s="944"/>
      <c r="AG922" s="192">
        <v>71.244796830520926</v>
      </c>
      <c r="AH922" s="157">
        <v>21037.923150214167</v>
      </c>
      <c r="AI922" s="176">
        <f t="shared" si="31"/>
        <v>21037.923150214167</v>
      </c>
      <c r="AJ922" s="976"/>
      <c r="AK922" s="979"/>
      <c r="AL922" s="1285"/>
      <c r="AM922" s="151"/>
      <c r="AN922" s="90"/>
      <c r="AO922" s="128"/>
      <c r="AP922" s="106"/>
    </row>
    <row r="923" spans="1:42" s="69" customFormat="1" ht="15" customHeight="1">
      <c r="A923" s="1212"/>
      <c r="B923" s="530"/>
      <c r="C923" s="525"/>
      <c r="D923" s="223" t="s">
        <v>823</v>
      </c>
      <c r="E923" s="225" t="s">
        <v>64</v>
      </c>
      <c r="F923" s="534" t="s">
        <v>151</v>
      </c>
      <c r="G923" s="6">
        <v>6521.5612619222302</v>
      </c>
      <c r="H923" s="320" t="s">
        <v>64</v>
      </c>
      <c r="I923" s="659" t="s">
        <v>50</v>
      </c>
      <c r="J923" s="1081"/>
      <c r="K923" s="1048"/>
      <c r="L923" s="211">
        <v>171.25293910491561</v>
      </c>
      <c r="M923" s="320" t="s">
        <v>64</v>
      </c>
      <c r="N923" s="256"/>
      <c r="O923" s="256"/>
      <c r="P923" s="256"/>
      <c r="Q923" s="256"/>
      <c r="R923" s="537"/>
      <c r="S923" s="7">
        <v>171.25293910491561</v>
      </c>
      <c r="T923" s="157">
        <v>50569.393589653584</v>
      </c>
      <c r="U923" s="256"/>
      <c r="V923" s="256"/>
      <c r="W923" s="7">
        <v>84.780296404989002</v>
      </c>
      <c r="X923" s="157">
        <v>12517.414883387321</v>
      </c>
      <c r="Y923" s="7">
        <v>14.802150990462216</v>
      </c>
      <c r="Z923" s="157">
        <v>2185.4684752347098</v>
      </c>
      <c r="AA923" s="253"/>
      <c r="AB923" s="253"/>
      <c r="AC923" s="7">
        <v>25.061381951577403</v>
      </c>
      <c r="AD923" s="176">
        <v>3700.196021259359</v>
      </c>
      <c r="AE923" s="943"/>
      <c r="AF923" s="944"/>
      <c r="AG923" s="192">
        <v>171.25293910491561</v>
      </c>
      <c r="AH923" s="157">
        <v>50569.393589653584</v>
      </c>
      <c r="AI923" s="176">
        <f t="shared" si="31"/>
        <v>50569.393589653584</v>
      </c>
      <c r="AJ923" s="976"/>
      <c r="AK923" s="979"/>
      <c r="AL923" s="1285"/>
      <c r="AM923" s="151"/>
      <c r="AN923" s="90"/>
      <c r="AO923" s="128"/>
      <c r="AP923" s="106"/>
    </row>
    <row r="924" spans="1:42" s="69" customFormat="1" ht="15.75" customHeight="1" thickBot="1">
      <c r="A924" s="1212"/>
      <c r="B924" s="531"/>
      <c r="C924" s="527"/>
      <c r="D924" s="224" t="s">
        <v>825</v>
      </c>
      <c r="E924" s="226" t="s">
        <v>64</v>
      </c>
      <c r="F924" s="536" t="s">
        <v>151</v>
      </c>
      <c r="G924" s="94">
        <v>3260.7806309611151</v>
      </c>
      <c r="H924" s="226" t="s">
        <v>64</v>
      </c>
      <c r="I924" s="660" t="s">
        <v>50</v>
      </c>
      <c r="J924" s="1081"/>
      <c r="K924" s="1048"/>
      <c r="L924" s="199">
        <v>91.3638136463683</v>
      </c>
      <c r="M924" s="226" t="s">
        <v>64</v>
      </c>
      <c r="N924" s="257"/>
      <c r="O924" s="257"/>
      <c r="P924" s="257"/>
      <c r="Q924" s="257"/>
      <c r="R924" s="259"/>
      <c r="S924" s="28">
        <v>91.3638136463683</v>
      </c>
      <c r="T924" s="118">
        <v>26978.880924808302</v>
      </c>
      <c r="U924" s="257"/>
      <c r="V924" s="257"/>
      <c r="W924" s="28">
        <v>42.390148202494501</v>
      </c>
      <c r="X924" s="118">
        <v>6258.7074416936603</v>
      </c>
      <c r="Y924" s="28">
        <v>9.1773044020542915</v>
      </c>
      <c r="Z924" s="118">
        <v>1354.9861416253589</v>
      </c>
      <c r="AA924" s="254"/>
      <c r="AB924" s="254"/>
      <c r="AC924" s="28">
        <v>13.811688774761555</v>
      </c>
      <c r="AD924" s="180">
        <v>2039.2313540406537</v>
      </c>
      <c r="AE924" s="943"/>
      <c r="AF924" s="944"/>
      <c r="AG924" s="193">
        <v>91.3638136463683</v>
      </c>
      <c r="AH924" s="118">
        <v>26978.880924808302</v>
      </c>
      <c r="AI924" s="178">
        <f t="shared" si="31"/>
        <v>26978.880924808302</v>
      </c>
      <c r="AJ924" s="976"/>
      <c r="AK924" s="980"/>
      <c r="AL924" s="1285"/>
      <c r="AM924" s="151"/>
      <c r="AN924" s="90"/>
      <c r="AO924" s="128"/>
      <c r="AP924" s="106"/>
    </row>
    <row r="925" spans="1:42" s="69" customFormat="1" ht="15" customHeight="1">
      <c r="A925" s="1212"/>
      <c r="B925" s="532">
        <v>12173</v>
      </c>
      <c r="C925" s="609">
        <v>34835</v>
      </c>
      <c r="D925" s="222" t="s">
        <v>446</v>
      </c>
      <c r="E925" s="656" t="s">
        <v>1</v>
      </c>
      <c r="F925" s="250" t="s">
        <v>1</v>
      </c>
      <c r="G925" s="127">
        <v>1297.7432134996332</v>
      </c>
      <c r="H925" s="225" t="s">
        <v>221</v>
      </c>
      <c r="I925" s="662" t="s">
        <v>221</v>
      </c>
      <c r="J925" s="1081"/>
      <c r="K925" s="1048"/>
      <c r="L925" s="209">
        <v>108.59911958914158</v>
      </c>
      <c r="M925" s="120">
        <v>11.83</v>
      </c>
      <c r="N925" s="255"/>
      <c r="O925" s="255"/>
      <c r="P925" s="255"/>
      <c r="Q925" s="255"/>
      <c r="R925" s="258"/>
      <c r="S925" s="120">
        <v>96.772267057960363</v>
      </c>
      <c r="T925" s="117">
        <v>13761.917735655392</v>
      </c>
      <c r="U925" s="255"/>
      <c r="V925" s="255"/>
      <c r="W925" s="120">
        <v>16.870661775495233</v>
      </c>
      <c r="X925" s="117">
        <v>1199.5826209247275</v>
      </c>
      <c r="Y925" s="120">
        <v>6.0454022010271462</v>
      </c>
      <c r="Z925" s="117">
        <v>429.85625065317754</v>
      </c>
      <c r="AA925" s="252"/>
      <c r="AB925" s="252"/>
      <c r="AC925" s="120">
        <v>22.773122817314743</v>
      </c>
      <c r="AD925" s="177">
        <v>1619.2750894641906</v>
      </c>
      <c r="AE925" s="943"/>
      <c r="AF925" s="944"/>
      <c r="AG925" s="198">
        <v>96.772267057960363</v>
      </c>
      <c r="AH925" s="117">
        <v>13761.917735655392</v>
      </c>
      <c r="AI925" s="177">
        <f t="shared" si="31"/>
        <v>13761.917735655392</v>
      </c>
      <c r="AJ925" s="976"/>
      <c r="AK925" s="1019">
        <f>SUM(AI925:AI933)</f>
        <v>37279.553545610077</v>
      </c>
      <c r="AL925" s="1285"/>
      <c r="AM925" s="151"/>
      <c r="AN925" s="90"/>
      <c r="AO925" s="128"/>
      <c r="AP925" s="106"/>
    </row>
    <row r="926" spans="1:42" s="69" customFormat="1" ht="15" customHeight="1">
      <c r="A926" s="1212"/>
      <c r="B926" s="524"/>
      <c r="C926" s="525"/>
      <c r="D926" s="223" t="s">
        <v>809</v>
      </c>
      <c r="E926" s="225" t="s">
        <v>64</v>
      </c>
      <c r="F926" s="607" t="s">
        <v>64</v>
      </c>
      <c r="G926" s="73">
        <v>432.5810711665444</v>
      </c>
      <c r="H926" s="225" t="s">
        <v>64</v>
      </c>
      <c r="I926" s="639" t="s">
        <v>64</v>
      </c>
      <c r="J926" s="1081"/>
      <c r="K926" s="1048"/>
      <c r="L926" s="211">
        <v>25.616504768892153</v>
      </c>
      <c r="M926" s="320" t="s">
        <v>64</v>
      </c>
      <c r="N926" s="256"/>
      <c r="O926" s="256"/>
      <c r="P926" s="256"/>
      <c r="Q926" s="256"/>
      <c r="R926" s="537"/>
      <c r="S926" s="7">
        <v>25.616504768892153</v>
      </c>
      <c r="T926" s="157">
        <v>3642.9055763814495</v>
      </c>
      <c r="U926" s="256"/>
      <c r="V926" s="256"/>
      <c r="W926" s="7">
        <v>0</v>
      </c>
      <c r="X926" s="157">
        <v>0</v>
      </c>
      <c r="Y926" s="7">
        <v>4.9224463683052093</v>
      </c>
      <c r="Z926" s="157">
        <v>350.00886120720224</v>
      </c>
      <c r="AA926" s="253"/>
      <c r="AB926" s="253"/>
      <c r="AC926" s="7">
        <v>6.804540572267058</v>
      </c>
      <c r="AD926" s="176">
        <v>483.83452424640518</v>
      </c>
      <c r="AE926" s="943"/>
      <c r="AF926" s="944"/>
      <c r="AG926" s="192">
        <v>25.616504768892153</v>
      </c>
      <c r="AH926" s="157">
        <v>3642.9055763814495</v>
      </c>
      <c r="AI926" s="176">
        <f t="shared" si="31"/>
        <v>3642.9055763814495</v>
      </c>
      <c r="AJ926" s="976"/>
      <c r="AK926" s="1020"/>
      <c r="AL926" s="1285"/>
      <c r="AM926" s="151"/>
      <c r="AN926" s="90"/>
      <c r="AO926" s="128"/>
      <c r="AP926" s="106"/>
    </row>
    <row r="927" spans="1:42" s="69" customFormat="1" ht="15" customHeight="1">
      <c r="A927" s="1212"/>
      <c r="B927" s="524"/>
      <c r="C927" s="525"/>
      <c r="D927" s="223" t="s">
        <v>810</v>
      </c>
      <c r="E927" s="225" t="s">
        <v>64</v>
      </c>
      <c r="F927" s="607" t="s">
        <v>64</v>
      </c>
      <c r="G927" s="6">
        <v>216.2905355832722</v>
      </c>
      <c r="H927" s="225" t="s">
        <v>64</v>
      </c>
      <c r="I927" s="639" t="s">
        <v>64</v>
      </c>
      <c r="J927" s="1081"/>
      <c r="K927" s="1048"/>
      <c r="L927" s="211">
        <v>24.651504035216433</v>
      </c>
      <c r="M927" s="320" t="s">
        <v>64</v>
      </c>
      <c r="N927" s="256"/>
      <c r="O927" s="256"/>
      <c r="P927" s="256"/>
      <c r="Q927" s="256"/>
      <c r="R927" s="537"/>
      <c r="S927" s="7">
        <v>24.651504035216433</v>
      </c>
      <c r="T927" s="157">
        <v>3505.6734838053922</v>
      </c>
      <c r="U927" s="256"/>
      <c r="V927" s="256"/>
      <c r="W927" s="7">
        <v>0</v>
      </c>
      <c r="X927" s="157">
        <v>0</v>
      </c>
      <c r="Y927" s="7">
        <v>4.7776962582538518</v>
      </c>
      <c r="Z927" s="157">
        <v>339.71645426399851</v>
      </c>
      <c r="AA927" s="253"/>
      <c r="AB927" s="253"/>
      <c r="AC927" s="7">
        <v>6.515040352164343</v>
      </c>
      <c r="AD927" s="176">
        <v>463.24971035999801</v>
      </c>
      <c r="AE927" s="943"/>
      <c r="AF927" s="944"/>
      <c r="AG927" s="192">
        <v>24.651504035216433</v>
      </c>
      <c r="AH927" s="157">
        <v>3505.6734838053922</v>
      </c>
      <c r="AI927" s="176">
        <f t="shared" si="31"/>
        <v>3505.6734838053922</v>
      </c>
      <c r="AJ927" s="976"/>
      <c r="AK927" s="1020"/>
      <c r="AL927" s="1285"/>
      <c r="AM927" s="151"/>
      <c r="AN927" s="90"/>
      <c r="AO927" s="128"/>
      <c r="AP927" s="106"/>
    </row>
    <row r="928" spans="1:42" s="69" customFormat="1" ht="15" customHeight="1">
      <c r="A928" s="1212"/>
      <c r="B928" s="524"/>
      <c r="C928" s="525"/>
      <c r="D928" s="223" t="s">
        <v>811</v>
      </c>
      <c r="E928" s="225" t="s">
        <v>64</v>
      </c>
      <c r="F928" s="607" t="s">
        <v>64</v>
      </c>
      <c r="G928" s="6">
        <v>432.5810711665444</v>
      </c>
      <c r="H928" s="225" t="s">
        <v>64</v>
      </c>
      <c r="I928" s="639" t="s">
        <v>64</v>
      </c>
      <c r="J928" s="1081"/>
      <c r="K928" s="1048"/>
      <c r="L928" s="211">
        <v>18.573217901687453</v>
      </c>
      <c r="M928" s="320" t="s">
        <v>64</v>
      </c>
      <c r="N928" s="256"/>
      <c r="O928" s="256"/>
      <c r="P928" s="256"/>
      <c r="Q928" s="256"/>
      <c r="R928" s="537"/>
      <c r="S928" s="7">
        <v>18.573217901687453</v>
      </c>
      <c r="T928" s="157">
        <v>2641.284581008475</v>
      </c>
      <c r="U928" s="256"/>
      <c r="V928" s="256"/>
      <c r="W928" s="7">
        <v>0</v>
      </c>
      <c r="X928" s="157">
        <v>0</v>
      </c>
      <c r="Y928" s="7">
        <v>4.9224463683052093</v>
      </c>
      <c r="Z928" s="157">
        <v>350.00886120720224</v>
      </c>
      <c r="AA928" s="253"/>
      <c r="AB928" s="253"/>
      <c r="AC928" s="7">
        <v>4.6915545121056486</v>
      </c>
      <c r="AD928" s="176">
        <v>333.59137494046053</v>
      </c>
      <c r="AE928" s="943"/>
      <c r="AF928" s="944"/>
      <c r="AG928" s="192">
        <v>18.573217901687453</v>
      </c>
      <c r="AH928" s="157">
        <v>2641.284581008475</v>
      </c>
      <c r="AI928" s="176">
        <f t="shared" si="31"/>
        <v>2641.284581008475</v>
      </c>
      <c r="AJ928" s="976"/>
      <c r="AK928" s="1020"/>
      <c r="AL928" s="1285"/>
      <c r="AM928" s="151"/>
      <c r="AN928" s="90"/>
      <c r="AO928" s="128"/>
      <c r="AP928" s="106"/>
    </row>
    <row r="929" spans="1:42" s="69" customFormat="1" ht="15" customHeight="1">
      <c r="A929" s="1212"/>
      <c r="B929" s="524"/>
      <c r="C929" s="525"/>
      <c r="D929" s="223" t="s">
        <v>812</v>
      </c>
      <c r="E929" s="225" t="s">
        <v>64</v>
      </c>
      <c r="F929" s="607" t="s">
        <v>64</v>
      </c>
      <c r="G929" s="6">
        <v>52.172490095377846</v>
      </c>
      <c r="H929" s="320" t="s">
        <v>64</v>
      </c>
      <c r="I929" s="639" t="s">
        <v>64</v>
      </c>
      <c r="J929" s="1081"/>
      <c r="K929" s="1048"/>
      <c r="L929" s="211">
        <v>21.514632686720468</v>
      </c>
      <c r="M929" s="320" t="s">
        <v>64</v>
      </c>
      <c r="N929" s="256"/>
      <c r="O929" s="256"/>
      <c r="P929" s="256"/>
      <c r="Q929" s="256"/>
      <c r="R929" s="537"/>
      <c r="S929" s="7">
        <v>21.514632686720468</v>
      </c>
      <c r="T929" s="157">
        <v>3059.5811604801524</v>
      </c>
      <c r="U929" s="256"/>
      <c r="V929" s="256"/>
      <c r="W929" s="7">
        <v>0.67824237123991216</v>
      </c>
      <c r="X929" s="157">
        <v>48.226191250893748</v>
      </c>
      <c r="Y929" s="7">
        <v>4.7776962582538518</v>
      </c>
      <c r="Z929" s="157">
        <v>339.71645426399851</v>
      </c>
      <c r="AA929" s="253"/>
      <c r="AB929" s="253"/>
      <c r="AC929" s="7">
        <v>5.37050623624358</v>
      </c>
      <c r="AD929" s="176">
        <v>381.86800448594465</v>
      </c>
      <c r="AE929" s="943"/>
      <c r="AF929" s="944"/>
      <c r="AG929" s="192">
        <v>21.514632686720468</v>
      </c>
      <c r="AH929" s="157">
        <v>3059.5811604801524</v>
      </c>
      <c r="AI929" s="176">
        <f t="shared" si="31"/>
        <v>3059.5811604801524</v>
      </c>
      <c r="AJ929" s="976"/>
      <c r="AK929" s="1020"/>
      <c r="AL929" s="1285"/>
      <c r="AM929" s="151"/>
      <c r="AN929" s="90"/>
      <c r="AO929" s="128"/>
      <c r="AP929" s="106"/>
    </row>
    <row r="930" spans="1:42" s="69" customFormat="1" ht="15" customHeight="1">
      <c r="A930" s="1212"/>
      <c r="B930" s="524"/>
      <c r="C930" s="525"/>
      <c r="D930" s="223" t="s">
        <v>813</v>
      </c>
      <c r="E930" s="225" t="s">
        <v>64</v>
      </c>
      <c r="F930" s="607" t="s">
        <v>64</v>
      </c>
      <c r="G930" s="6">
        <v>104.34498019075569</v>
      </c>
      <c r="H930" s="320" t="s">
        <v>64</v>
      </c>
      <c r="I930" s="639" t="s">
        <v>64</v>
      </c>
      <c r="J930" s="1081"/>
      <c r="K930" s="1048"/>
      <c r="L930" s="211">
        <v>22.192875057960382</v>
      </c>
      <c r="M930" s="320" t="s">
        <v>64</v>
      </c>
      <c r="N930" s="256"/>
      <c r="O930" s="256"/>
      <c r="P930" s="256"/>
      <c r="Q930" s="256"/>
      <c r="R930" s="537"/>
      <c r="S930" s="7">
        <v>22.192875057960382</v>
      </c>
      <c r="T930" s="157">
        <v>3156.0335429819384</v>
      </c>
      <c r="U930" s="256"/>
      <c r="V930" s="256"/>
      <c r="W930" s="7">
        <v>1.3564847424798243</v>
      </c>
      <c r="X930" s="157">
        <v>96.452382501787497</v>
      </c>
      <c r="Y930" s="7">
        <v>4.7776962582538518</v>
      </c>
      <c r="Z930" s="157">
        <v>339.71645426399851</v>
      </c>
      <c r="AA930" s="253"/>
      <c r="AB930" s="253"/>
      <c r="AC930" s="7">
        <v>5.37050623624358</v>
      </c>
      <c r="AD930" s="176">
        <v>381.86800448594465</v>
      </c>
      <c r="AE930" s="943"/>
      <c r="AF930" s="944"/>
      <c r="AG930" s="192">
        <v>22.192875057960382</v>
      </c>
      <c r="AH930" s="157">
        <v>3156.0335429819384</v>
      </c>
      <c r="AI930" s="176">
        <f t="shared" si="31"/>
        <v>3156.0335429819384</v>
      </c>
      <c r="AJ930" s="976"/>
      <c r="AK930" s="1020"/>
      <c r="AL930" s="1285"/>
      <c r="AM930" s="151">
        <v>436972</v>
      </c>
      <c r="AN930" s="107" t="s">
        <v>77</v>
      </c>
      <c r="AO930" s="128"/>
      <c r="AP930" s="106"/>
    </row>
    <row r="931" spans="1:42" s="69" customFormat="1" ht="15" customHeight="1">
      <c r="A931" s="1212"/>
      <c r="B931" s="524"/>
      <c r="C931" s="525"/>
      <c r="D931" s="223" t="s">
        <v>814</v>
      </c>
      <c r="E931" s="225" t="s">
        <v>64</v>
      </c>
      <c r="F931" s="607" t="s">
        <v>64</v>
      </c>
      <c r="G931" s="7">
        <v>5.2172490095377855</v>
      </c>
      <c r="H931" s="320" t="s">
        <v>64</v>
      </c>
      <c r="I931" s="639" t="s">
        <v>64</v>
      </c>
      <c r="J931" s="1081"/>
      <c r="K931" s="1048"/>
      <c r="L931" s="211">
        <v>17.608217168011738</v>
      </c>
      <c r="M931" s="320" t="s">
        <v>64</v>
      </c>
      <c r="N931" s="256"/>
      <c r="O931" s="256"/>
      <c r="P931" s="256"/>
      <c r="Q931" s="256"/>
      <c r="R931" s="537"/>
      <c r="S931" s="7">
        <v>17.608217168011738</v>
      </c>
      <c r="T931" s="157">
        <v>2504.0524884324259</v>
      </c>
      <c r="U931" s="256"/>
      <c r="V931" s="256"/>
      <c r="W931" s="7">
        <v>0</v>
      </c>
      <c r="X931" s="157">
        <v>0</v>
      </c>
      <c r="Y931" s="7">
        <v>4.7776962582538518</v>
      </c>
      <c r="Z931" s="157">
        <v>339.71645426399851</v>
      </c>
      <c r="AA931" s="253"/>
      <c r="AB931" s="253"/>
      <c r="AC931" s="7">
        <v>4.4020542920029344</v>
      </c>
      <c r="AD931" s="176">
        <v>313.00656105405324</v>
      </c>
      <c r="AE931" s="943"/>
      <c r="AF931" s="944"/>
      <c r="AG931" s="192">
        <v>17.608217168011738</v>
      </c>
      <c r="AH931" s="157">
        <v>2504.0524884324259</v>
      </c>
      <c r="AI931" s="176">
        <f t="shared" si="31"/>
        <v>2504.0524884324259</v>
      </c>
      <c r="AJ931" s="976"/>
      <c r="AK931" s="1020"/>
      <c r="AL931" s="1285"/>
      <c r="AM931" s="151"/>
      <c r="AN931" s="90"/>
      <c r="AO931" s="128"/>
      <c r="AP931" s="106"/>
    </row>
    <row r="932" spans="1:42" s="69" customFormat="1" ht="15" customHeight="1">
      <c r="A932" s="1212"/>
      <c r="B932" s="524"/>
      <c r="C932" s="525"/>
      <c r="D932" s="223" t="s">
        <v>815</v>
      </c>
      <c r="E932" s="320" t="s">
        <v>64</v>
      </c>
      <c r="F932" s="607" t="s">
        <v>64</v>
      </c>
      <c r="G932" s="7">
        <v>5.2172490095377855</v>
      </c>
      <c r="H932" s="320" t="s">
        <v>64</v>
      </c>
      <c r="I932" s="639" t="s">
        <v>64</v>
      </c>
      <c r="J932" s="1081"/>
      <c r="K932" s="1048"/>
      <c r="L932" s="211">
        <v>17.608217168011738</v>
      </c>
      <c r="M932" s="320" t="s">
        <v>64</v>
      </c>
      <c r="N932" s="256"/>
      <c r="O932" s="256"/>
      <c r="P932" s="256"/>
      <c r="Q932" s="256"/>
      <c r="R932" s="537"/>
      <c r="S932" s="7">
        <v>17.608217168011738</v>
      </c>
      <c r="T932" s="157">
        <v>2504.0524884324259</v>
      </c>
      <c r="U932" s="256"/>
      <c r="V932" s="256"/>
      <c r="W932" s="7">
        <v>0</v>
      </c>
      <c r="X932" s="157">
        <v>0</v>
      </c>
      <c r="Y932" s="7">
        <v>4.7776962582538518</v>
      </c>
      <c r="Z932" s="157">
        <v>339.71645426399851</v>
      </c>
      <c r="AA932" s="253"/>
      <c r="AB932" s="253"/>
      <c r="AC932" s="7">
        <v>4.4020542920029344</v>
      </c>
      <c r="AD932" s="176">
        <v>313.00656105405324</v>
      </c>
      <c r="AE932" s="943"/>
      <c r="AF932" s="944"/>
      <c r="AG932" s="192">
        <v>17.608217168011738</v>
      </c>
      <c r="AH932" s="157">
        <v>2504.0524884324259</v>
      </c>
      <c r="AI932" s="176">
        <f t="shared" si="31"/>
        <v>2504.0524884324259</v>
      </c>
      <c r="AJ932" s="976"/>
      <c r="AK932" s="1020"/>
      <c r="AL932" s="1285"/>
      <c r="AM932" s="151"/>
      <c r="AN932" s="90"/>
      <c r="AO932" s="128"/>
      <c r="AP932" s="106"/>
    </row>
    <row r="933" spans="1:42" s="69" customFormat="1" ht="15.75" customHeight="1" thickBot="1">
      <c r="A933" s="1212"/>
      <c r="B933" s="526"/>
      <c r="C933" s="527"/>
      <c r="D933" s="224" t="s">
        <v>816</v>
      </c>
      <c r="E933" s="226" t="s">
        <v>64</v>
      </c>
      <c r="F933" s="229" t="s">
        <v>64</v>
      </c>
      <c r="G933" s="28">
        <v>10.434498019075571</v>
      </c>
      <c r="H933" s="226" t="s">
        <v>64</v>
      </c>
      <c r="I933" s="641" t="s">
        <v>64</v>
      </c>
      <c r="J933" s="1102"/>
      <c r="K933" s="1048"/>
      <c r="L933" s="199">
        <v>17.608217168011738</v>
      </c>
      <c r="M933" s="226" t="s">
        <v>64</v>
      </c>
      <c r="N933" s="257"/>
      <c r="O933" s="257"/>
      <c r="P933" s="257"/>
      <c r="Q933" s="257"/>
      <c r="R933" s="259"/>
      <c r="S933" s="28">
        <v>17.608217168011738</v>
      </c>
      <c r="T933" s="118">
        <v>2504.0524884324259</v>
      </c>
      <c r="U933" s="257"/>
      <c r="V933" s="257"/>
      <c r="W933" s="28">
        <v>0</v>
      </c>
      <c r="X933" s="118">
        <v>0</v>
      </c>
      <c r="Y933" s="28">
        <v>4.7776962582538518</v>
      </c>
      <c r="Z933" s="118">
        <v>339.71645426399851</v>
      </c>
      <c r="AA933" s="254"/>
      <c r="AB933" s="254"/>
      <c r="AC933" s="28">
        <v>4.4020542920029344</v>
      </c>
      <c r="AD933" s="180">
        <v>313.00656105405324</v>
      </c>
      <c r="AE933" s="943"/>
      <c r="AF933" s="944"/>
      <c r="AG933" s="193">
        <v>17.608217168011738</v>
      </c>
      <c r="AH933" s="118">
        <v>2504.0524884324259</v>
      </c>
      <c r="AI933" s="178">
        <f t="shared" si="31"/>
        <v>2504.0524884324259</v>
      </c>
      <c r="AJ933" s="976"/>
      <c r="AK933" s="1020"/>
      <c r="AL933" s="1285"/>
      <c r="AM933" s="151"/>
      <c r="AN933" s="90"/>
      <c r="AO933" s="128"/>
      <c r="AP933" s="106"/>
    </row>
    <row r="934" spans="1:42" s="69" customFormat="1" ht="15" customHeight="1">
      <c r="A934" s="1212"/>
      <c r="B934" s="528">
        <v>14092</v>
      </c>
      <c r="C934" s="609">
        <v>35933</v>
      </c>
      <c r="D934" s="222" t="s">
        <v>447</v>
      </c>
      <c r="E934" s="250" t="s">
        <v>1</v>
      </c>
      <c r="F934" s="250" t="s">
        <v>1</v>
      </c>
      <c r="G934" s="120">
        <v>3893.23</v>
      </c>
      <c r="H934" s="225" t="s">
        <v>221</v>
      </c>
      <c r="I934" s="662" t="s">
        <v>221</v>
      </c>
      <c r="J934" s="1082" t="s">
        <v>462</v>
      </c>
      <c r="K934" s="1048"/>
      <c r="L934" s="209">
        <v>183.62</v>
      </c>
      <c r="M934" s="120">
        <v>18.93</v>
      </c>
      <c r="N934" s="255"/>
      <c r="O934" s="255"/>
      <c r="P934" s="255"/>
      <c r="Q934" s="255"/>
      <c r="R934" s="258"/>
      <c r="S934" s="120">
        <v>164.68</v>
      </c>
      <c r="T934" s="117">
        <v>5434</v>
      </c>
      <c r="U934" s="255"/>
      <c r="V934" s="255"/>
      <c r="W934" s="120">
        <v>50.61</v>
      </c>
      <c r="X934" s="117">
        <v>2031</v>
      </c>
      <c r="Y934" s="120">
        <v>11.04</v>
      </c>
      <c r="Z934" s="117">
        <v>364</v>
      </c>
      <c r="AA934" s="252"/>
      <c r="AB934" s="252"/>
      <c r="AC934" s="120">
        <v>33.020000000000003</v>
      </c>
      <c r="AD934" s="177">
        <v>1089</v>
      </c>
      <c r="AE934" s="943"/>
      <c r="AF934" s="944"/>
      <c r="AG934" s="198">
        <v>164.68</v>
      </c>
      <c r="AH934" s="117">
        <v>10864</v>
      </c>
      <c r="AI934" s="177">
        <f t="shared" si="31"/>
        <v>10864</v>
      </c>
      <c r="AJ934" s="976"/>
      <c r="AK934" s="978">
        <f>SUM(AI934:AI944)</f>
        <v>30795.253108125875</v>
      </c>
      <c r="AL934" s="1285"/>
      <c r="AM934" s="151"/>
      <c r="AN934" s="90"/>
      <c r="AO934" s="128"/>
      <c r="AP934" s="106"/>
    </row>
    <row r="935" spans="1:42" s="69" customFormat="1" ht="15" customHeight="1">
      <c r="A935" s="1212"/>
      <c r="B935" s="530"/>
      <c r="C935" s="525"/>
      <c r="D935" s="223" t="s">
        <v>809</v>
      </c>
      <c r="E935" s="320" t="s">
        <v>64</v>
      </c>
      <c r="F935" s="607" t="s">
        <v>64</v>
      </c>
      <c r="G935" s="7">
        <v>1297.74</v>
      </c>
      <c r="H935" s="320" t="s">
        <v>64</v>
      </c>
      <c r="I935" s="639" t="s">
        <v>64</v>
      </c>
      <c r="J935" s="1081"/>
      <c r="K935" s="1048"/>
      <c r="L935" s="211">
        <v>36.590000000000003</v>
      </c>
      <c r="M935" s="320" t="s">
        <v>64</v>
      </c>
      <c r="N935" s="256"/>
      <c r="O935" s="256"/>
      <c r="P935" s="256"/>
      <c r="Q935" s="256"/>
      <c r="R935" s="537"/>
      <c r="S935" s="7">
        <v>36.590000000000003</v>
      </c>
      <c r="T935" s="157">
        <v>1206</v>
      </c>
      <c r="U935" s="256"/>
      <c r="V935" s="256"/>
      <c r="W935" s="7">
        <v>0</v>
      </c>
      <c r="X935" s="157">
        <v>0</v>
      </c>
      <c r="Y935" s="7">
        <v>6.48</v>
      </c>
      <c r="Z935" s="157">
        <v>214</v>
      </c>
      <c r="AA935" s="253"/>
      <c r="AB935" s="253"/>
      <c r="AC935" s="7">
        <v>10.1</v>
      </c>
      <c r="AD935" s="176">
        <v>333</v>
      </c>
      <c r="AE935" s="943"/>
      <c r="AF935" s="944"/>
      <c r="AG935" s="192">
        <v>36.590000000000003</v>
      </c>
      <c r="AH935" s="157">
        <v>2413</v>
      </c>
      <c r="AI935" s="176">
        <f t="shared" si="31"/>
        <v>2413</v>
      </c>
      <c r="AJ935" s="976"/>
      <c r="AK935" s="979"/>
      <c r="AL935" s="1285"/>
      <c r="AM935" s="151"/>
      <c r="AN935" s="90"/>
      <c r="AO935" s="128"/>
      <c r="AP935" s="106"/>
    </row>
    <row r="936" spans="1:42" s="69" customFormat="1" ht="15" customHeight="1">
      <c r="A936" s="1212"/>
      <c r="B936" s="530"/>
      <c r="C936" s="525"/>
      <c r="D936" s="223" t="s">
        <v>810</v>
      </c>
      <c r="E936" s="320" t="s">
        <v>64</v>
      </c>
      <c r="F936" s="607" t="s">
        <v>64</v>
      </c>
      <c r="G936" s="7">
        <v>865.16</v>
      </c>
      <c r="H936" s="320" t="s">
        <v>64</v>
      </c>
      <c r="I936" s="639" t="s">
        <v>64</v>
      </c>
      <c r="J936" s="1081"/>
      <c r="K936" s="1048"/>
      <c r="L936" s="211">
        <v>31.394418195157744</v>
      </c>
      <c r="M936" s="320" t="s">
        <v>64</v>
      </c>
      <c r="N936" s="256"/>
      <c r="O936" s="256"/>
      <c r="P936" s="256"/>
      <c r="Q936" s="256"/>
      <c r="R936" s="537"/>
      <c r="S936" s="7">
        <v>31.394418195157744</v>
      </c>
      <c r="T936" s="157">
        <v>2070.3643721386529</v>
      </c>
      <c r="U936" s="256"/>
      <c r="V936" s="256"/>
      <c r="W936" s="7">
        <v>0</v>
      </c>
      <c r="X936" s="157">
        <v>0</v>
      </c>
      <c r="Y936" s="7">
        <v>5.7010922964049895</v>
      </c>
      <c r="Z936" s="157">
        <v>187.98466497097797</v>
      </c>
      <c r="AA936" s="253"/>
      <c r="AB936" s="253"/>
      <c r="AC936" s="7">
        <v>8.5379146001467365</v>
      </c>
      <c r="AD936" s="176">
        <v>281.52447499779822</v>
      </c>
      <c r="AE936" s="943"/>
      <c r="AF936" s="944"/>
      <c r="AG936" s="192">
        <v>31.394418195157744</v>
      </c>
      <c r="AH936" s="157">
        <v>2070.3643721386529</v>
      </c>
      <c r="AI936" s="176">
        <f t="shared" si="31"/>
        <v>2070.3643721386529</v>
      </c>
      <c r="AJ936" s="976"/>
      <c r="AK936" s="979"/>
      <c r="AL936" s="1285"/>
      <c r="AM936" s="151"/>
      <c r="AN936" s="90"/>
      <c r="AO936" s="128"/>
      <c r="AP936" s="106"/>
    </row>
    <row r="937" spans="1:42" s="69" customFormat="1" ht="15" customHeight="1">
      <c r="A937" s="1212"/>
      <c r="B937" s="530"/>
      <c r="C937" s="525"/>
      <c r="D937" s="223" t="s">
        <v>811</v>
      </c>
      <c r="E937" s="320" t="s">
        <v>64</v>
      </c>
      <c r="F937" s="607" t="s">
        <v>64</v>
      </c>
      <c r="G937" s="7">
        <v>1297.7432134996332</v>
      </c>
      <c r="H937" s="320" t="s">
        <v>64</v>
      </c>
      <c r="I937" s="639" t="s">
        <v>64</v>
      </c>
      <c r="J937" s="1081"/>
      <c r="K937" s="1048"/>
      <c r="L937" s="211">
        <v>30.129044754218636</v>
      </c>
      <c r="M937" s="320" t="s">
        <v>64</v>
      </c>
      <c r="N937" s="256"/>
      <c r="O937" s="256"/>
      <c r="P937" s="256"/>
      <c r="Q937" s="256"/>
      <c r="R937" s="537"/>
      <c r="S937" s="7">
        <v>30.129044754218636</v>
      </c>
      <c r="T937" s="157">
        <v>1986.9169238283987</v>
      </c>
      <c r="U937" s="256"/>
      <c r="V937" s="256"/>
      <c r="W937" s="7">
        <v>0</v>
      </c>
      <c r="X937" s="157">
        <v>0</v>
      </c>
      <c r="Y937" s="7">
        <v>6.4797382245047688</v>
      </c>
      <c r="Z937" s="157">
        <v>213.6593052530088</v>
      </c>
      <c r="AA937" s="253"/>
      <c r="AB937" s="253"/>
      <c r="AC937" s="7">
        <v>8.1583025678650021</v>
      </c>
      <c r="AD937" s="176">
        <v>269.0073577512606</v>
      </c>
      <c r="AE937" s="943"/>
      <c r="AF937" s="944"/>
      <c r="AG937" s="192">
        <v>30.129044754218636</v>
      </c>
      <c r="AH937" s="157">
        <v>1986.9169238283987</v>
      </c>
      <c r="AI937" s="176">
        <f t="shared" si="31"/>
        <v>1986.9169238283987</v>
      </c>
      <c r="AJ937" s="976"/>
      <c r="AK937" s="979"/>
      <c r="AL937" s="1285"/>
      <c r="AM937" s="151"/>
      <c r="AN937" s="90"/>
      <c r="AO937" s="128"/>
      <c r="AP937" s="106"/>
    </row>
    <row r="938" spans="1:42" s="69" customFormat="1" ht="15" customHeight="1">
      <c r="A938" s="1212"/>
      <c r="B938" s="530"/>
      <c r="C938" s="525"/>
      <c r="D938" s="223" t="s">
        <v>812</v>
      </c>
      <c r="E938" s="320" t="s">
        <v>64</v>
      </c>
      <c r="F938" s="607" t="s">
        <v>64</v>
      </c>
      <c r="G938" s="19">
        <v>52.172490095377846</v>
      </c>
      <c r="H938" s="320" t="s">
        <v>64</v>
      </c>
      <c r="I938" s="639" t="s">
        <v>64</v>
      </c>
      <c r="J938" s="1081"/>
      <c r="K938" s="1048"/>
      <c r="L938" s="211">
        <v>22.688513831254586</v>
      </c>
      <c r="M938" s="320" t="s">
        <v>64</v>
      </c>
      <c r="N938" s="256"/>
      <c r="O938" s="256"/>
      <c r="P938" s="256"/>
      <c r="Q938" s="256"/>
      <c r="R938" s="537"/>
      <c r="S938" s="7">
        <v>22.688513831254586</v>
      </c>
      <c r="T938" s="157">
        <v>1496.2370189822357</v>
      </c>
      <c r="U938" s="256"/>
      <c r="V938" s="256"/>
      <c r="W938" s="7">
        <v>0.67824237123991216</v>
      </c>
      <c r="X938" s="157">
        <v>27.221317215755338</v>
      </c>
      <c r="Y938" s="7">
        <v>4.7776962582538518</v>
      </c>
      <c r="Z938" s="157">
        <v>157.53711459947644</v>
      </c>
      <c r="AA938" s="253"/>
      <c r="AB938" s="253"/>
      <c r="AC938" s="7">
        <v>5.7226705796038155</v>
      </c>
      <c r="AD938" s="176">
        <v>188.69617534949583</v>
      </c>
      <c r="AE938" s="943"/>
      <c r="AF938" s="944"/>
      <c r="AG938" s="192">
        <v>22.688513831254586</v>
      </c>
      <c r="AH938" s="157">
        <v>1496.2370189822357</v>
      </c>
      <c r="AI938" s="176">
        <f t="shared" si="31"/>
        <v>1496.2370189822357</v>
      </c>
      <c r="AJ938" s="976"/>
      <c r="AK938" s="979"/>
      <c r="AL938" s="1285"/>
      <c r="AM938" s="151"/>
      <c r="AN938" s="90"/>
      <c r="AO938" s="128"/>
      <c r="AP938" s="106"/>
    </row>
    <row r="939" spans="1:42" s="69" customFormat="1" ht="15" customHeight="1">
      <c r="A939" s="1212"/>
      <c r="B939" s="530"/>
      <c r="C939" s="525"/>
      <c r="D939" s="223" t="s">
        <v>813</v>
      </c>
      <c r="E939" s="320" t="s">
        <v>64</v>
      </c>
      <c r="F939" s="607" t="s">
        <v>64</v>
      </c>
      <c r="G939" s="19">
        <v>104.34498019075569</v>
      </c>
      <c r="H939" s="320" t="s">
        <v>64</v>
      </c>
      <c r="I939" s="639" t="s">
        <v>64</v>
      </c>
      <c r="J939" s="1081"/>
      <c r="K939" s="1048"/>
      <c r="L939" s="211">
        <v>23.366756202494496</v>
      </c>
      <c r="M939" s="320" t="s">
        <v>64</v>
      </c>
      <c r="N939" s="256"/>
      <c r="O939" s="256"/>
      <c r="P939" s="256"/>
      <c r="Q939" s="256"/>
      <c r="R939" s="537"/>
      <c r="S939" s="7">
        <v>23.366756202494496</v>
      </c>
      <c r="T939" s="157">
        <v>1540.9649968145056</v>
      </c>
      <c r="U939" s="256"/>
      <c r="V939" s="256"/>
      <c r="W939" s="7">
        <v>1.3564847424798243</v>
      </c>
      <c r="X939" s="157">
        <v>54.442634431510676</v>
      </c>
      <c r="Y939" s="7">
        <v>4.7776962582538518</v>
      </c>
      <c r="Z939" s="157">
        <v>157.53711459947644</v>
      </c>
      <c r="AA939" s="253"/>
      <c r="AB939" s="253"/>
      <c r="AC939" s="7">
        <v>5.7226705796038155</v>
      </c>
      <c r="AD939" s="176">
        <v>188.69617534949583</v>
      </c>
      <c r="AE939" s="943"/>
      <c r="AF939" s="944"/>
      <c r="AG939" s="192">
        <v>23.366756202494496</v>
      </c>
      <c r="AH939" s="157">
        <v>1540.9649968145056</v>
      </c>
      <c r="AI939" s="176">
        <f t="shared" si="31"/>
        <v>1540.9649968145056</v>
      </c>
      <c r="AJ939" s="976"/>
      <c r="AK939" s="979"/>
      <c r="AL939" s="1285"/>
      <c r="AM939" s="151"/>
      <c r="AN939" s="90"/>
      <c r="AO939" s="128"/>
      <c r="AP939" s="106"/>
    </row>
    <row r="940" spans="1:42" s="69" customFormat="1" ht="15" customHeight="1">
      <c r="A940" s="1212"/>
      <c r="B940" s="530"/>
      <c r="C940" s="525"/>
      <c r="D940" s="223" t="s">
        <v>814</v>
      </c>
      <c r="E940" s="320" t="s">
        <v>64</v>
      </c>
      <c r="F940" s="607" t="s">
        <v>64</v>
      </c>
      <c r="G940" s="7">
        <v>5.2172490095377855</v>
      </c>
      <c r="H940" s="320" t="s">
        <v>64</v>
      </c>
      <c r="I940" s="639" t="s">
        <v>64</v>
      </c>
      <c r="J940" s="1081"/>
      <c r="K940" s="1048"/>
      <c r="L940" s="211">
        <v>18.782098312545855</v>
      </c>
      <c r="M940" s="320" t="s">
        <v>64</v>
      </c>
      <c r="N940" s="256"/>
      <c r="O940" s="256"/>
      <c r="P940" s="256"/>
      <c r="Q940" s="256"/>
      <c r="R940" s="537"/>
      <c r="S940" s="7">
        <v>18.782098312545855</v>
      </c>
      <c r="T940" s="157">
        <v>1238.6210484479727</v>
      </c>
      <c r="U940" s="256"/>
      <c r="V940" s="256"/>
      <c r="W940" s="7">
        <v>0</v>
      </c>
      <c r="X940" s="157">
        <v>0</v>
      </c>
      <c r="Y940" s="7">
        <v>4.7776962582538518</v>
      </c>
      <c r="Z940" s="157">
        <v>157.53711459947644</v>
      </c>
      <c r="AA940" s="253"/>
      <c r="AB940" s="253"/>
      <c r="AC940" s="7">
        <v>4.7542186353631699</v>
      </c>
      <c r="AD940" s="176">
        <v>156.76297644419662</v>
      </c>
      <c r="AE940" s="943"/>
      <c r="AF940" s="944"/>
      <c r="AG940" s="192">
        <v>18.782098312545855</v>
      </c>
      <c r="AH940" s="157">
        <v>1238.6210484479727</v>
      </c>
      <c r="AI940" s="176">
        <f t="shared" si="31"/>
        <v>1238.6210484479727</v>
      </c>
      <c r="AJ940" s="976"/>
      <c r="AK940" s="979"/>
      <c r="AL940" s="1285"/>
      <c r="AM940" s="151"/>
      <c r="AN940" s="90"/>
      <c r="AO940" s="128"/>
      <c r="AP940" s="106"/>
    </row>
    <row r="941" spans="1:42" s="69" customFormat="1" ht="15" customHeight="1">
      <c r="A941" s="1212"/>
      <c r="B941" s="530"/>
      <c r="C941" s="525"/>
      <c r="D941" s="223" t="s">
        <v>815</v>
      </c>
      <c r="E941" s="320" t="s">
        <v>64</v>
      </c>
      <c r="F941" s="607" t="s">
        <v>64</v>
      </c>
      <c r="G941" s="7">
        <v>10.434498019075571</v>
      </c>
      <c r="H941" s="320" t="s">
        <v>64</v>
      </c>
      <c r="I941" s="639" t="s">
        <v>64</v>
      </c>
      <c r="J941" s="1081"/>
      <c r="K941" s="1048"/>
      <c r="L941" s="211">
        <v>18.782098312545855</v>
      </c>
      <c r="M941" s="320" t="s">
        <v>64</v>
      </c>
      <c r="N941" s="256"/>
      <c r="O941" s="256"/>
      <c r="P941" s="256"/>
      <c r="Q941" s="256"/>
      <c r="R941" s="537"/>
      <c r="S941" s="7">
        <v>18.782098312545855</v>
      </c>
      <c r="T941" s="157">
        <v>1238.6210484479727</v>
      </c>
      <c r="U941" s="256"/>
      <c r="V941" s="256"/>
      <c r="W941" s="7">
        <v>0</v>
      </c>
      <c r="X941" s="157">
        <v>0</v>
      </c>
      <c r="Y941" s="7">
        <v>4.7776962582538518</v>
      </c>
      <c r="Z941" s="157">
        <v>157.53711459947644</v>
      </c>
      <c r="AA941" s="253"/>
      <c r="AB941" s="253"/>
      <c r="AC941" s="7">
        <v>4.7542186353631699</v>
      </c>
      <c r="AD941" s="176">
        <v>156.76297644419662</v>
      </c>
      <c r="AE941" s="943"/>
      <c r="AF941" s="944"/>
      <c r="AG941" s="192">
        <v>18.782098312545855</v>
      </c>
      <c r="AH941" s="157">
        <v>1238.6210484479727</v>
      </c>
      <c r="AI941" s="176">
        <f t="shared" si="31"/>
        <v>1238.6210484479727</v>
      </c>
      <c r="AJ941" s="976"/>
      <c r="AK941" s="979"/>
      <c r="AL941" s="1285"/>
      <c r="AM941" s="151"/>
      <c r="AN941" s="90"/>
      <c r="AO941" s="128"/>
      <c r="AP941" s="106"/>
    </row>
    <row r="942" spans="1:42" s="69" customFormat="1" ht="15" customHeight="1">
      <c r="A942" s="1212"/>
      <c r="B942" s="530"/>
      <c r="C942" s="525"/>
      <c r="D942" s="223" t="s">
        <v>816</v>
      </c>
      <c r="E942" s="225" t="s">
        <v>64</v>
      </c>
      <c r="F942" s="607" t="s">
        <v>64</v>
      </c>
      <c r="G942" s="7">
        <v>15.651747028613356</v>
      </c>
      <c r="H942" s="320" t="s">
        <v>64</v>
      </c>
      <c r="I942" s="639" t="s">
        <v>64</v>
      </c>
      <c r="J942" s="1081"/>
      <c r="K942" s="1048"/>
      <c r="L942" s="211">
        <v>18.782098312545855</v>
      </c>
      <c r="M942" s="320" t="s">
        <v>64</v>
      </c>
      <c r="N942" s="256"/>
      <c r="O942" s="256"/>
      <c r="P942" s="256"/>
      <c r="Q942" s="256"/>
      <c r="R942" s="537"/>
      <c r="S942" s="7">
        <v>18.782098312545855</v>
      </c>
      <c r="T942" s="157">
        <v>1238.6210484479727</v>
      </c>
      <c r="U942" s="256"/>
      <c r="V942" s="256"/>
      <c r="W942" s="7">
        <v>0</v>
      </c>
      <c r="X942" s="157">
        <v>0</v>
      </c>
      <c r="Y942" s="7">
        <v>4.7776962582538518</v>
      </c>
      <c r="Z942" s="157">
        <v>157.53711459947644</v>
      </c>
      <c r="AA942" s="253"/>
      <c r="AB942" s="253"/>
      <c r="AC942" s="7">
        <v>4.7542186353631699</v>
      </c>
      <c r="AD942" s="176">
        <v>156.76297644419662</v>
      </c>
      <c r="AE942" s="943"/>
      <c r="AF942" s="944"/>
      <c r="AG942" s="192">
        <v>18.782098312545855</v>
      </c>
      <c r="AH942" s="157">
        <v>1238.6210484479727</v>
      </c>
      <c r="AI942" s="176">
        <f t="shared" si="31"/>
        <v>1238.6210484479727</v>
      </c>
      <c r="AJ942" s="976"/>
      <c r="AK942" s="979"/>
      <c r="AL942" s="1285"/>
      <c r="AM942" s="151"/>
      <c r="AN942" s="90"/>
      <c r="AO942" s="128"/>
      <c r="AP942" s="106"/>
    </row>
    <row r="943" spans="1:42" s="69" customFormat="1" ht="15" customHeight="1">
      <c r="A943" s="1212"/>
      <c r="B943" s="530"/>
      <c r="C943" s="525"/>
      <c r="D943" s="223" t="s">
        <v>820</v>
      </c>
      <c r="E943" s="225" t="s">
        <v>64</v>
      </c>
      <c r="F943" s="228" t="s">
        <v>64</v>
      </c>
      <c r="G943" s="7">
        <v>5478.1114600146748</v>
      </c>
      <c r="H943" s="225" t="s">
        <v>64</v>
      </c>
      <c r="I943" s="638" t="s">
        <v>64</v>
      </c>
      <c r="J943" s="1081"/>
      <c r="K943" s="1048"/>
      <c r="L943" s="209">
        <v>80.293463712399131</v>
      </c>
      <c r="M943" s="225" t="s">
        <v>64</v>
      </c>
      <c r="N943" s="255"/>
      <c r="O943" s="255"/>
      <c r="P943" s="255"/>
      <c r="Q943" s="255"/>
      <c r="R943" s="258"/>
      <c r="S943" s="120">
        <v>80.293463712399131</v>
      </c>
      <c r="T943" s="117">
        <v>5295.1045485977183</v>
      </c>
      <c r="U943" s="255"/>
      <c r="V943" s="255"/>
      <c r="W943" s="120">
        <v>0</v>
      </c>
      <c r="X943" s="117">
        <v>0</v>
      </c>
      <c r="Y943" s="120">
        <v>14.004401068231845</v>
      </c>
      <c r="Z943" s="117">
        <v>461.77337711070686</v>
      </c>
      <c r="AA943" s="252"/>
      <c r="AB943" s="538"/>
      <c r="AC943" s="120">
        <v>23.207628255319154</v>
      </c>
      <c r="AD943" s="177">
        <v>765.235501466659</v>
      </c>
      <c r="AE943" s="943"/>
      <c r="AF943" s="944"/>
      <c r="AG943" s="198">
        <v>80.293463712399131</v>
      </c>
      <c r="AH943" s="117">
        <v>5295.1045485977183</v>
      </c>
      <c r="AI943" s="177">
        <f t="shared" si="31"/>
        <v>5295.1045485977183</v>
      </c>
      <c r="AJ943" s="976"/>
      <c r="AK943" s="979"/>
      <c r="AL943" s="1285"/>
      <c r="AM943" s="151"/>
      <c r="AN943" s="90"/>
      <c r="AO943" s="128"/>
      <c r="AP943" s="106"/>
    </row>
    <row r="944" spans="1:42" s="69" customFormat="1" ht="15.75" customHeight="1" thickBot="1">
      <c r="A944" s="1213"/>
      <c r="B944" s="531"/>
      <c r="C944" s="527"/>
      <c r="D944" s="224" t="s">
        <v>821</v>
      </c>
      <c r="E944" s="226" t="s">
        <v>64</v>
      </c>
      <c r="F944" s="228" t="s">
        <v>64</v>
      </c>
      <c r="G944" s="7">
        <v>391.29367571533197</v>
      </c>
      <c r="H944" s="225" t="s">
        <v>64</v>
      </c>
      <c r="I944" s="638" t="s">
        <v>64</v>
      </c>
      <c r="J944" s="1081"/>
      <c r="K944" s="1048"/>
      <c r="L944" s="199">
        <v>21.423330418195139</v>
      </c>
      <c r="M944" s="226" t="s">
        <v>64</v>
      </c>
      <c r="N944" s="257"/>
      <c r="O944" s="257"/>
      <c r="P944" s="257"/>
      <c r="Q944" s="257"/>
      <c r="R944" s="259"/>
      <c r="S944" s="28">
        <v>21.423330418195139</v>
      </c>
      <c r="T944" s="118">
        <v>1412.8021024204406</v>
      </c>
      <c r="U944" s="257"/>
      <c r="V944" s="257"/>
      <c r="W944" s="28">
        <v>0</v>
      </c>
      <c r="X944" s="118">
        <v>0</v>
      </c>
      <c r="Y944" s="28">
        <v>7.019809173881141</v>
      </c>
      <c r="Z944" s="118">
        <v>231.46730610630041</v>
      </c>
      <c r="AA944" s="254"/>
      <c r="AB944" s="254"/>
      <c r="AC944" s="28">
        <v>4.89508423184152</v>
      </c>
      <c r="AD944" s="180">
        <v>161.40780073104708</v>
      </c>
      <c r="AE944" s="943"/>
      <c r="AF944" s="944"/>
      <c r="AG944" s="193">
        <v>21.423330418195139</v>
      </c>
      <c r="AH944" s="118">
        <v>1412.8021024204406</v>
      </c>
      <c r="AI944" s="180">
        <f t="shared" si="31"/>
        <v>1412.8021024204406</v>
      </c>
      <c r="AJ944" s="977"/>
      <c r="AK944" s="980"/>
      <c r="AL944" s="1286"/>
      <c r="AM944" s="151"/>
      <c r="AN944" s="90"/>
      <c r="AO944" s="128"/>
      <c r="AP944" s="106"/>
    </row>
    <row r="945" spans="1:41" s="69" customFormat="1" ht="12.75" customHeight="1">
      <c r="A945" s="1014" t="s">
        <v>41</v>
      </c>
      <c r="B945" s="465" t="s">
        <v>151</v>
      </c>
      <c r="C945" s="386" t="s">
        <v>151</v>
      </c>
      <c r="D945" s="222" t="s">
        <v>457</v>
      </c>
      <c r="E945" s="240" t="s">
        <v>1</v>
      </c>
      <c r="F945" s="240" t="s">
        <v>0</v>
      </c>
      <c r="G945" s="433">
        <v>3893.2296404988997</v>
      </c>
      <c r="H945" s="225" t="s">
        <v>221</v>
      </c>
      <c r="I945" s="673">
        <v>234.78</v>
      </c>
      <c r="J945" s="1081"/>
      <c r="K945" s="1048"/>
      <c r="L945" s="209">
        <v>265.13118121790171</v>
      </c>
      <c r="M945" s="120">
        <v>19.57</v>
      </c>
      <c r="N945" s="115"/>
      <c r="O945" s="115"/>
      <c r="P945" s="115"/>
      <c r="Q945" s="115"/>
      <c r="R945" s="174"/>
      <c r="S945" s="676">
        <v>245.562582538518</v>
      </c>
      <c r="T945" s="117">
        <v>4650.0679914919901</v>
      </c>
      <c r="U945" s="676">
        <v>3.05</v>
      </c>
      <c r="V945" s="120"/>
      <c r="W945" s="676">
        <v>50.611985326485701</v>
      </c>
      <c r="X945" s="117">
        <v>958.40811950915781</v>
      </c>
      <c r="Y945" s="120">
        <v>11.421606456346295</v>
      </c>
      <c r="Z945" s="117">
        <v>216.28395517359948</v>
      </c>
      <c r="AA945" s="115"/>
      <c r="AB945" s="174"/>
      <c r="AC945" s="120">
        <v>76.219417168011745</v>
      </c>
      <c r="AD945" s="177">
        <v>1443.3203480727875</v>
      </c>
      <c r="AE945" s="943"/>
      <c r="AF945" s="944"/>
      <c r="AG945" s="209">
        <v>245.562582538518</v>
      </c>
      <c r="AH945" s="117">
        <v>9300.1359829839803</v>
      </c>
      <c r="AI945" s="177">
        <f t="shared" ref="AI945:AI954" si="32">AH945</f>
        <v>9300.1359829839803</v>
      </c>
      <c r="AJ945" s="975">
        <v>46183</v>
      </c>
      <c r="AK945" s="981">
        <f>SUM(AI945:AI954)</f>
        <v>17655.172055523646</v>
      </c>
      <c r="AL945" s="1005">
        <f>AK945+AK955+AK966</f>
        <v>95400.049646816711</v>
      </c>
      <c r="AM945" s="440"/>
      <c r="AN945" s="89"/>
      <c r="AO945" s="89"/>
    </row>
    <row r="946" spans="1:41" s="69" customFormat="1" ht="15" customHeight="1">
      <c r="A946" s="1015"/>
      <c r="B946" s="610"/>
      <c r="C946" s="525"/>
      <c r="D946" s="223" t="s">
        <v>809</v>
      </c>
      <c r="E946" s="225" t="s">
        <v>64</v>
      </c>
      <c r="F946" s="607" t="s">
        <v>64</v>
      </c>
      <c r="G946" s="431">
        <v>1297.7432134996332</v>
      </c>
      <c r="H946" s="320" t="s">
        <v>64</v>
      </c>
      <c r="I946" s="639" t="s">
        <v>64</v>
      </c>
      <c r="J946" s="1081"/>
      <c r="K946" s="1048"/>
      <c r="L946" s="211">
        <v>32.770277329420395</v>
      </c>
      <c r="M946" s="320" t="s">
        <v>64</v>
      </c>
      <c r="N946" s="188"/>
      <c r="O946" s="188"/>
      <c r="P946" s="188"/>
      <c r="Q946" s="188"/>
      <c r="R946" s="214"/>
      <c r="S946" s="633">
        <v>32.770277329420395</v>
      </c>
      <c r="T946" s="157">
        <v>620.55063970485401</v>
      </c>
      <c r="U946" s="607" t="s">
        <v>64</v>
      </c>
      <c r="V946" s="7"/>
      <c r="W946" s="633">
        <v>0</v>
      </c>
      <c r="X946" s="157">
        <v>0</v>
      </c>
      <c r="Y946" s="7">
        <v>8.0116531181217905</v>
      </c>
      <c r="Z946" s="157">
        <v>151.71176055566815</v>
      </c>
      <c r="AA946" s="188"/>
      <c r="AB946" s="214"/>
      <c r="AC946" s="7">
        <v>11.347289214966985</v>
      </c>
      <c r="AD946" s="176">
        <v>214.87665516159672</v>
      </c>
      <c r="AE946" s="943"/>
      <c r="AF946" s="944"/>
      <c r="AG946" s="211">
        <v>32.770277329420395</v>
      </c>
      <c r="AH946" s="157">
        <v>1241.101279409708</v>
      </c>
      <c r="AI946" s="176">
        <f t="shared" si="32"/>
        <v>1241.101279409708</v>
      </c>
      <c r="AJ946" s="1003"/>
      <c r="AK946" s="982"/>
      <c r="AL946" s="1006"/>
      <c r="AM946" s="440"/>
      <c r="AN946" s="89"/>
      <c r="AO946" s="89"/>
    </row>
    <row r="947" spans="1:41" s="69" customFormat="1" ht="15" customHeight="1">
      <c r="A947" s="1015"/>
      <c r="B947" s="610"/>
      <c r="C947" s="525"/>
      <c r="D947" s="223" t="s">
        <v>810</v>
      </c>
      <c r="E947" s="225" t="s">
        <v>64</v>
      </c>
      <c r="F947" s="607" t="s">
        <v>64</v>
      </c>
      <c r="G947" s="431">
        <v>2595.4864269992663</v>
      </c>
      <c r="H947" s="320" t="s">
        <v>64</v>
      </c>
      <c r="I947" s="639" t="s">
        <v>64</v>
      </c>
      <c r="J947" s="1081"/>
      <c r="K947" s="1048"/>
      <c r="L947" s="211">
        <v>48.343195891415995</v>
      </c>
      <c r="M947" s="320" t="s">
        <v>64</v>
      </c>
      <c r="N947" s="188"/>
      <c r="O947" s="188"/>
      <c r="P947" s="188"/>
      <c r="Q947" s="188"/>
      <c r="R947" s="214"/>
      <c r="S947" s="633">
        <v>48.343195891415995</v>
      </c>
      <c r="T947" s="157">
        <v>915.44544570767232</v>
      </c>
      <c r="U947" s="607" t="s">
        <v>64</v>
      </c>
      <c r="V947" s="7"/>
      <c r="W947" s="633">
        <v>0</v>
      </c>
      <c r="X947" s="157">
        <v>0</v>
      </c>
      <c r="Y947" s="7">
        <v>10.34759090242113</v>
      </c>
      <c r="Z947" s="157">
        <v>195.94598145609078</v>
      </c>
      <c r="AA947" s="188"/>
      <c r="AB947" s="214"/>
      <c r="AC947" s="7">
        <v>17.576456639765222</v>
      </c>
      <c r="AD947" s="176">
        <v>332.83457756272384</v>
      </c>
      <c r="AE947" s="943"/>
      <c r="AF947" s="944"/>
      <c r="AG947" s="211">
        <v>48.343195891415995</v>
      </c>
      <c r="AH947" s="157">
        <v>1830.8908914153446</v>
      </c>
      <c r="AI947" s="176">
        <f t="shared" si="32"/>
        <v>1830.8908914153446</v>
      </c>
      <c r="AJ947" s="1003"/>
      <c r="AK947" s="982"/>
      <c r="AL947" s="1006"/>
      <c r="AM947" s="440"/>
      <c r="AN947" s="89"/>
      <c r="AO947" s="89"/>
    </row>
    <row r="948" spans="1:41" s="69" customFormat="1" ht="15" customHeight="1">
      <c r="A948" s="1015"/>
      <c r="B948" s="610"/>
      <c r="C948" s="525"/>
      <c r="D948" s="223" t="s">
        <v>811</v>
      </c>
      <c r="E948" s="225" t="s">
        <v>64</v>
      </c>
      <c r="F948" s="607" t="s">
        <v>64</v>
      </c>
      <c r="G948" s="431">
        <v>3893.2296404988997</v>
      </c>
      <c r="H948" s="225" t="s">
        <v>64</v>
      </c>
      <c r="I948" s="639" t="s">
        <v>64</v>
      </c>
      <c r="J948" s="1081"/>
      <c r="K948" s="1048"/>
      <c r="L948" s="211">
        <v>55.992416727806315</v>
      </c>
      <c r="M948" s="320" t="s">
        <v>64</v>
      </c>
      <c r="N948" s="188"/>
      <c r="O948" s="188"/>
      <c r="P948" s="188"/>
      <c r="Q948" s="188"/>
      <c r="R948" s="214"/>
      <c r="S948" s="633">
        <v>55.992416727806315</v>
      </c>
      <c r="T948" s="157">
        <v>1060.2940484689375</v>
      </c>
      <c r="U948" s="607" t="s">
        <v>64</v>
      </c>
      <c r="V948" s="7"/>
      <c r="W948" s="633">
        <v>0</v>
      </c>
      <c r="X948" s="157">
        <v>0</v>
      </c>
      <c r="Y948" s="7">
        <v>11.216177256052823</v>
      </c>
      <c r="Z948" s="157">
        <v>212.39386842289267</v>
      </c>
      <c r="AA948" s="188"/>
      <c r="AB948" s="214"/>
      <c r="AC948" s="7">
        <v>21.223085546588408</v>
      </c>
      <c r="AD948" s="176">
        <v>401.88855224067805</v>
      </c>
      <c r="AE948" s="943"/>
      <c r="AF948" s="944"/>
      <c r="AG948" s="211">
        <v>55.992416727806315</v>
      </c>
      <c r="AH948" s="157">
        <v>2120.588096937875</v>
      </c>
      <c r="AI948" s="176">
        <f t="shared" si="32"/>
        <v>2120.588096937875</v>
      </c>
      <c r="AJ948" s="1003"/>
      <c r="AK948" s="982"/>
      <c r="AL948" s="1006"/>
      <c r="AM948" s="440"/>
      <c r="AN948" s="89"/>
      <c r="AO948" s="89"/>
    </row>
    <row r="949" spans="1:41" s="69" customFormat="1" ht="15" customHeight="1">
      <c r="A949" s="1015"/>
      <c r="B949" s="610"/>
      <c r="C949" s="525"/>
      <c r="D949" s="223" t="s">
        <v>812</v>
      </c>
      <c r="E949" s="225" t="s">
        <v>64</v>
      </c>
      <c r="F949" s="607" t="s">
        <v>64</v>
      </c>
      <c r="G949" s="479">
        <v>52.173147468818783</v>
      </c>
      <c r="H949" s="225" t="s">
        <v>64</v>
      </c>
      <c r="I949" s="639" t="s">
        <v>64</v>
      </c>
      <c r="J949" s="1081"/>
      <c r="K949" s="1048"/>
      <c r="L949" s="211">
        <v>14.177884079236977</v>
      </c>
      <c r="M949" s="320" t="s">
        <v>64</v>
      </c>
      <c r="N949" s="188"/>
      <c r="O949" s="188"/>
      <c r="P949" s="188"/>
      <c r="Q949" s="188"/>
      <c r="R949" s="214"/>
      <c r="S949" s="633">
        <v>14.177884079236977</v>
      </c>
      <c r="T949" s="157">
        <v>268.4778937507815</v>
      </c>
      <c r="U949" s="607" t="s">
        <v>64</v>
      </c>
      <c r="V949" s="7"/>
      <c r="W949" s="633">
        <v>0.67825091709464425</v>
      </c>
      <c r="X949" s="157">
        <v>12.843621561469716</v>
      </c>
      <c r="Y949" s="7">
        <v>4.8422597212032281</v>
      </c>
      <c r="Z949" s="157">
        <v>91.694901980948586</v>
      </c>
      <c r="AA949" s="188"/>
      <c r="AB949" s="214"/>
      <c r="AC949" s="7">
        <v>4.2259721203228171</v>
      </c>
      <c r="AD949" s="176">
        <v>80.024641728828044</v>
      </c>
      <c r="AE949" s="943"/>
      <c r="AF949" s="944"/>
      <c r="AG949" s="211">
        <v>14.177884079236977</v>
      </c>
      <c r="AH949" s="157">
        <v>536.95578750156301</v>
      </c>
      <c r="AI949" s="176">
        <f t="shared" si="32"/>
        <v>536.95578750156301</v>
      </c>
      <c r="AJ949" s="1003"/>
      <c r="AK949" s="982"/>
      <c r="AL949" s="1006"/>
      <c r="AM949" s="440"/>
      <c r="AN949" s="89"/>
      <c r="AO949" s="89"/>
    </row>
    <row r="950" spans="1:41" s="69" customFormat="1" ht="15" customHeight="1">
      <c r="A950" s="1015"/>
      <c r="B950" s="610"/>
      <c r="C950" s="525"/>
      <c r="D950" s="223" t="s">
        <v>813</v>
      </c>
      <c r="E950" s="225" t="s">
        <v>64</v>
      </c>
      <c r="F950" s="607" t="s">
        <v>64</v>
      </c>
      <c r="G950" s="479">
        <v>104.34629493763757</v>
      </c>
      <c r="H950" s="225" t="s">
        <v>64</v>
      </c>
      <c r="I950" s="639" t="s">
        <v>64</v>
      </c>
      <c r="J950" s="1081"/>
      <c r="K950" s="1048"/>
      <c r="L950" s="211">
        <v>14.856134996331622</v>
      </c>
      <c r="M950" s="320" t="s">
        <v>64</v>
      </c>
      <c r="N950" s="188"/>
      <c r="O950" s="188"/>
      <c r="P950" s="188"/>
      <c r="Q950" s="188"/>
      <c r="R950" s="214"/>
      <c r="S950" s="633">
        <v>14.856134996331622</v>
      </c>
      <c r="T950" s="157">
        <v>281.32151531225122</v>
      </c>
      <c r="U950" s="607" t="s">
        <v>64</v>
      </c>
      <c r="V950" s="7"/>
      <c r="W950" s="633">
        <v>1.3565018341892885</v>
      </c>
      <c r="X950" s="157">
        <v>25.687243122939432</v>
      </c>
      <c r="Y950" s="7">
        <v>4.8422597212032281</v>
      </c>
      <c r="Z950" s="157">
        <v>91.694901980948586</v>
      </c>
      <c r="AA950" s="188"/>
      <c r="AB950" s="214"/>
      <c r="AC950" s="7">
        <v>4.2259721203228171</v>
      </c>
      <c r="AD950" s="176">
        <v>80.024641728828044</v>
      </c>
      <c r="AE950" s="943"/>
      <c r="AF950" s="944"/>
      <c r="AG950" s="211">
        <v>14.856134996331622</v>
      </c>
      <c r="AH950" s="157">
        <v>562.64303062450244</v>
      </c>
      <c r="AI950" s="176">
        <f t="shared" si="32"/>
        <v>562.64303062450244</v>
      </c>
      <c r="AJ950" s="1003"/>
      <c r="AK950" s="982"/>
      <c r="AL950" s="1006"/>
      <c r="AM950" s="440"/>
      <c r="AN950" s="89"/>
      <c r="AO950" s="89"/>
    </row>
    <row r="951" spans="1:41" s="69" customFormat="1" ht="15" customHeight="1">
      <c r="A951" s="1015"/>
      <c r="B951" s="610"/>
      <c r="C951" s="525"/>
      <c r="D951" s="223" t="s">
        <v>814</v>
      </c>
      <c r="E951" s="225" t="s">
        <v>64</v>
      </c>
      <c r="F951" s="607" t="s">
        <v>64</v>
      </c>
      <c r="G951" s="479">
        <v>5.217314746881879</v>
      </c>
      <c r="H951" s="225" t="s">
        <v>64</v>
      </c>
      <c r="I951" s="639" t="s">
        <v>64</v>
      </c>
      <c r="J951" s="1081"/>
      <c r="K951" s="1048"/>
      <c r="L951" s="211">
        <v>13.499633162142333</v>
      </c>
      <c r="M951" s="320" t="s">
        <v>64</v>
      </c>
      <c r="N951" s="188"/>
      <c r="O951" s="188"/>
      <c r="P951" s="188"/>
      <c r="Q951" s="188"/>
      <c r="R951" s="214"/>
      <c r="S951" s="633">
        <v>13.499633162142333</v>
      </c>
      <c r="T951" s="157">
        <v>255.6342721893121</v>
      </c>
      <c r="U951" s="607" t="s">
        <v>64</v>
      </c>
      <c r="V951" s="7"/>
      <c r="W951" s="633"/>
      <c r="X951" s="157"/>
      <c r="Y951" s="7">
        <v>4.8422597212032281</v>
      </c>
      <c r="Z951" s="157">
        <v>91.694901980948586</v>
      </c>
      <c r="AA951" s="188"/>
      <c r="AB951" s="214"/>
      <c r="AC951" s="7">
        <v>4.2259721203228171</v>
      </c>
      <c r="AD951" s="176">
        <v>80.024641728828044</v>
      </c>
      <c r="AE951" s="943"/>
      <c r="AF951" s="944"/>
      <c r="AG951" s="211">
        <v>13.499633162142333</v>
      </c>
      <c r="AH951" s="157">
        <v>511.2685443786242</v>
      </c>
      <c r="AI951" s="176">
        <f t="shared" si="32"/>
        <v>511.2685443786242</v>
      </c>
      <c r="AJ951" s="1003"/>
      <c r="AK951" s="982"/>
      <c r="AL951" s="1006"/>
      <c r="AM951" s="440"/>
      <c r="AN951" s="89"/>
      <c r="AO951" s="89"/>
    </row>
    <row r="952" spans="1:41" s="69" customFormat="1" ht="15" customHeight="1">
      <c r="A952" s="1015"/>
      <c r="B952" s="610"/>
      <c r="C952" s="525"/>
      <c r="D952" s="223" t="s">
        <v>815</v>
      </c>
      <c r="E952" s="225" t="s">
        <v>64</v>
      </c>
      <c r="F952" s="607" t="s">
        <v>64</v>
      </c>
      <c r="G952" s="476">
        <v>10.434629493763758</v>
      </c>
      <c r="H952" s="225" t="s">
        <v>64</v>
      </c>
      <c r="I952" s="639" t="s">
        <v>64</v>
      </c>
      <c r="J952" s="1081"/>
      <c r="K952" s="1048"/>
      <c r="L952" s="211">
        <v>13.499633162142333</v>
      </c>
      <c r="M952" s="320" t="s">
        <v>64</v>
      </c>
      <c r="N952" s="188"/>
      <c r="O952" s="188"/>
      <c r="P952" s="188"/>
      <c r="Q952" s="188"/>
      <c r="R952" s="214"/>
      <c r="S952" s="633">
        <v>13.499633162142333</v>
      </c>
      <c r="T952" s="157">
        <v>255.6342721893121</v>
      </c>
      <c r="U952" s="607" t="s">
        <v>64</v>
      </c>
      <c r="V952" s="7"/>
      <c r="W952" s="633"/>
      <c r="X952" s="157"/>
      <c r="Y952" s="7">
        <v>4.8422597212032281</v>
      </c>
      <c r="Z952" s="157">
        <v>91.694901980948586</v>
      </c>
      <c r="AA952" s="188"/>
      <c r="AB952" s="214"/>
      <c r="AC952" s="7">
        <v>4.2259721203228171</v>
      </c>
      <c r="AD952" s="176">
        <v>80.024641728828044</v>
      </c>
      <c r="AE952" s="943"/>
      <c r="AF952" s="944"/>
      <c r="AG952" s="211">
        <v>13.499633162142333</v>
      </c>
      <c r="AH952" s="157">
        <v>511.2685443786242</v>
      </c>
      <c r="AI952" s="176">
        <f t="shared" si="32"/>
        <v>511.2685443786242</v>
      </c>
      <c r="AJ952" s="1003"/>
      <c r="AK952" s="982"/>
      <c r="AL952" s="1006"/>
      <c r="AM952" s="440"/>
      <c r="AN952" s="89"/>
      <c r="AO952" s="89"/>
    </row>
    <row r="953" spans="1:41" s="69" customFormat="1" ht="15" customHeight="1">
      <c r="A953" s="1015"/>
      <c r="B953" s="610"/>
      <c r="C953" s="525"/>
      <c r="D953" s="223" t="s">
        <v>816</v>
      </c>
      <c r="E953" s="225" t="s">
        <v>64</v>
      </c>
      <c r="F953" s="607" t="s">
        <v>64</v>
      </c>
      <c r="G953" s="476">
        <v>15.651944240645637</v>
      </c>
      <c r="H953" s="225" t="s">
        <v>64</v>
      </c>
      <c r="I953" s="639" t="s">
        <v>64</v>
      </c>
      <c r="J953" s="1081"/>
      <c r="K953" s="1048"/>
      <c r="L953" s="211">
        <v>13.499633162142333</v>
      </c>
      <c r="M953" s="320" t="s">
        <v>64</v>
      </c>
      <c r="N953" s="188"/>
      <c r="O953" s="188"/>
      <c r="P953" s="188"/>
      <c r="Q953" s="188"/>
      <c r="R953" s="214"/>
      <c r="S953" s="676">
        <v>13.499633162142333</v>
      </c>
      <c r="T953" s="157">
        <v>255.6342721893121</v>
      </c>
      <c r="U953" s="607" t="s">
        <v>64</v>
      </c>
      <c r="V953" s="7"/>
      <c r="W953" s="676"/>
      <c r="X953" s="157"/>
      <c r="Y953" s="7">
        <v>4.8422597212032281</v>
      </c>
      <c r="Z953" s="157">
        <v>91.694901980948586</v>
      </c>
      <c r="AA953" s="188"/>
      <c r="AB953" s="214"/>
      <c r="AC953" s="7">
        <v>4.2259721203228171</v>
      </c>
      <c r="AD953" s="176">
        <v>80.024641728828044</v>
      </c>
      <c r="AE953" s="943"/>
      <c r="AF953" s="944"/>
      <c r="AG953" s="211">
        <v>13.499633162142333</v>
      </c>
      <c r="AH953" s="157">
        <v>511.2685443786242</v>
      </c>
      <c r="AI953" s="176">
        <f t="shared" si="32"/>
        <v>511.2685443786242</v>
      </c>
      <c r="AJ953" s="1003"/>
      <c r="AK953" s="982"/>
      <c r="AL953" s="1006"/>
      <c r="AM953" s="440"/>
      <c r="AN953" s="89"/>
      <c r="AO953" s="89"/>
    </row>
    <row r="954" spans="1:41" s="69" customFormat="1" ht="15.75" customHeight="1" thickBot="1">
      <c r="A954" s="1015"/>
      <c r="B954" s="667"/>
      <c r="C954" s="527"/>
      <c r="D954" s="224" t="s">
        <v>820</v>
      </c>
      <c r="E954" s="226" t="s">
        <v>64</v>
      </c>
      <c r="F954" s="229" t="s">
        <v>64</v>
      </c>
      <c r="G954" s="432">
        <v>391.29273661041822</v>
      </c>
      <c r="H954" s="226" t="s">
        <v>64</v>
      </c>
      <c r="I954" s="641" t="s">
        <v>64</v>
      </c>
      <c r="J954" s="1102"/>
      <c r="K954" s="1048"/>
      <c r="L954" s="199">
        <v>13.969173881144535</v>
      </c>
      <c r="M954" s="226" t="s">
        <v>64</v>
      </c>
      <c r="N954" s="116"/>
      <c r="O954" s="116"/>
      <c r="P954" s="116"/>
      <c r="Q954" s="116"/>
      <c r="R954" s="175"/>
      <c r="S954" s="677">
        <v>13.969173881144535</v>
      </c>
      <c r="T954" s="118">
        <v>264.52567675739851</v>
      </c>
      <c r="U954" s="229" t="s">
        <v>64</v>
      </c>
      <c r="V954" s="28"/>
      <c r="W954" s="677"/>
      <c r="X954" s="118"/>
      <c r="Y954" s="28">
        <v>4.9126908290535587</v>
      </c>
      <c r="Z954" s="118">
        <v>93.028612666161862</v>
      </c>
      <c r="AA954" s="116"/>
      <c r="AB954" s="175"/>
      <c r="AC954" s="28">
        <v>4.4137884079236986</v>
      </c>
      <c r="AD954" s="180">
        <v>83.581203556062974</v>
      </c>
      <c r="AE954" s="943"/>
      <c r="AF954" s="944"/>
      <c r="AG954" s="199">
        <v>13.969173881144535</v>
      </c>
      <c r="AH954" s="118">
        <v>529.05135351479703</v>
      </c>
      <c r="AI954" s="178">
        <f t="shared" si="32"/>
        <v>529.05135351479703</v>
      </c>
      <c r="AJ954" s="1004"/>
      <c r="AK954" s="983"/>
      <c r="AL954" s="1006"/>
      <c r="AM954" s="440"/>
      <c r="AN954" s="108"/>
      <c r="AO954" s="89"/>
    </row>
    <row r="955" spans="1:41" s="69" customFormat="1" ht="12.75" customHeight="1">
      <c r="A955" s="1015"/>
      <c r="B955" s="232" t="s">
        <v>151</v>
      </c>
      <c r="C955" s="912" t="s">
        <v>151</v>
      </c>
      <c r="D955" s="1377" t="s">
        <v>461</v>
      </c>
      <c r="E955" s="240" t="s">
        <v>1</v>
      </c>
      <c r="F955" s="240" t="s">
        <v>0</v>
      </c>
      <c r="G955" s="425">
        <f>15*72*24.567</f>
        <v>26532.36</v>
      </c>
      <c r="H955" s="225" t="s">
        <v>221</v>
      </c>
      <c r="I955" s="673">
        <v>3000</v>
      </c>
      <c r="J955" s="1082" t="s">
        <v>462</v>
      </c>
      <c r="K955" s="1048"/>
      <c r="L955" s="209">
        <v>885.70900000000006</v>
      </c>
      <c r="M955" s="120">
        <v>32</v>
      </c>
      <c r="N955" s="115"/>
      <c r="O955" s="115"/>
      <c r="P955" s="115"/>
      <c r="Q955" s="115"/>
      <c r="R955" s="174"/>
      <c r="S955" s="676">
        <v>853.70900000000006</v>
      </c>
      <c r="T955" s="117">
        <v>7215.1927970882562</v>
      </c>
      <c r="U955" s="676">
        <v>39</v>
      </c>
      <c r="V955" s="120">
        <v>344.92068000000006</v>
      </c>
      <c r="W955" s="120">
        <v>344.92068000000006</v>
      </c>
      <c r="X955" s="676">
        <v>2915.125887044398</v>
      </c>
      <c r="Y955" s="120">
        <v>53.258248000000002</v>
      </c>
      <c r="Z955" s="117">
        <v>450.11652372780509</v>
      </c>
      <c r="AA955" s="115"/>
      <c r="AB955" s="174"/>
      <c r="AC955" s="120">
        <v>201.51532800000001</v>
      </c>
      <c r="AD955" s="177">
        <v>1703.1235972544264</v>
      </c>
      <c r="AE955" s="943"/>
      <c r="AF955" s="944"/>
      <c r="AG955" s="209">
        <f>AM955</f>
        <v>0</v>
      </c>
      <c r="AH955" s="117">
        <v>14430.385594176512</v>
      </c>
      <c r="AI955" s="177">
        <f t="shared" ref="AI955:AI976" si="33">AH955</f>
        <v>14430.385594176512</v>
      </c>
      <c r="AJ955" s="975">
        <v>46185</v>
      </c>
      <c r="AK955" s="981">
        <f>SUM(AI955:AI965)</f>
        <v>36390.17565930869</v>
      </c>
      <c r="AL955" s="1006"/>
      <c r="AM955" s="440"/>
      <c r="AN955" s="89"/>
      <c r="AO955" s="89"/>
    </row>
    <row r="956" spans="1:41" s="69" customFormat="1" ht="15" customHeight="1">
      <c r="A956" s="1015"/>
      <c r="B956" s="669">
        <v>0</v>
      </c>
      <c r="C956" s="525"/>
      <c r="D956" s="223" t="s">
        <v>809</v>
      </c>
      <c r="E956" s="225" t="s">
        <v>64</v>
      </c>
      <c r="F956" s="607" t="s">
        <v>64</v>
      </c>
      <c r="G956" s="430">
        <f>72*24.567</f>
        <v>1768.8240000000001</v>
      </c>
      <c r="H956" s="320" t="s">
        <v>64</v>
      </c>
      <c r="I956" s="639" t="s">
        <v>64</v>
      </c>
      <c r="J956" s="1081"/>
      <c r="K956" s="1048"/>
      <c r="L956" s="211">
        <v>75.220600000000005</v>
      </c>
      <c r="M956" s="320" t="s">
        <v>64</v>
      </c>
      <c r="N956" s="188"/>
      <c r="O956" s="188"/>
      <c r="P956" s="188"/>
      <c r="Q956" s="188"/>
      <c r="R956" s="214"/>
      <c r="S956" s="633">
        <v>75.220600000000005</v>
      </c>
      <c r="T956" s="157">
        <v>635.73317291097749</v>
      </c>
      <c r="U956" s="607" t="s">
        <v>64</v>
      </c>
      <c r="V956" s="7">
        <v>22.994712000000003</v>
      </c>
      <c r="W956" s="7">
        <v>22.994712000000003</v>
      </c>
      <c r="X956" s="633">
        <v>194.34172580295993</v>
      </c>
      <c r="Y956" s="7">
        <v>10.503883200000001</v>
      </c>
      <c r="Z956" s="157">
        <v>88.774444694968011</v>
      </c>
      <c r="AA956" s="188"/>
      <c r="AB956" s="214"/>
      <c r="AC956" s="7">
        <v>18.4903552</v>
      </c>
      <c r="AD956" s="176">
        <v>156.27277872746279</v>
      </c>
      <c r="AE956" s="943"/>
      <c r="AF956" s="944"/>
      <c r="AG956" s="211">
        <f>AM956</f>
        <v>0</v>
      </c>
      <c r="AH956" s="157">
        <v>1271.466345821955</v>
      </c>
      <c r="AI956" s="176">
        <f t="shared" si="33"/>
        <v>1271.466345821955</v>
      </c>
      <c r="AJ956" s="976"/>
      <c r="AK956" s="982"/>
      <c r="AL956" s="1006"/>
      <c r="AM956" s="440"/>
      <c r="AN956" s="89"/>
      <c r="AO956" s="89"/>
    </row>
    <row r="957" spans="1:41" s="69" customFormat="1" ht="15" customHeight="1">
      <c r="A957" s="1015"/>
      <c r="B957" s="669">
        <v>0</v>
      </c>
      <c r="C957" s="525"/>
      <c r="D957" s="223" t="s">
        <v>810</v>
      </c>
      <c r="E957" s="225" t="s">
        <v>64</v>
      </c>
      <c r="F957" s="607" t="s">
        <v>64</v>
      </c>
      <c r="G957" s="426">
        <f>7*G956</f>
        <v>12381.768</v>
      </c>
      <c r="H957" s="320" t="s">
        <v>64</v>
      </c>
      <c r="I957" s="639" t="s">
        <v>64</v>
      </c>
      <c r="J957" s="1081"/>
      <c r="K957" s="1048"/>
      <c r="L957" s="211">
        <v>340.54419999999999</v>
      </c>
      <c r="M957" s="320" t="s">
        <v>64</v>
      </c>
      <c r="N957" s="188"/>
      <c r="O957" s="188"/>
      <c r="P957" s="188"/>
      <c r="Q957" s="188"/>
      <c r="R957" s="214"/>
      <c r="S957" s="633">
        <v>340.54419999999999</v>
      </c>
      <c r="T957" s="157">
        <v>2878.1377014066675</v>
      </c>
      <c r="U957" s="607" t="s">
        <v>64</v>
      </c>
      <c r="V957" s="7">
        <v>160.96298400000001</v>
      </c>
      <c r="W957" s="7">
        <v>160.96298400000001</v>
      </c>
      <c r="X957" s="633">
        <v>1360.3920806207186</v>
      </c>
      <c r="Y957" s="7">
        <v>29.607182399999999</v>
      </c>
      <c r="Z957" s="157">
        <v>250.22757074665785</v>
      </c>
      <c r="AA957" s="188"/>
      <c r="AB957" s="214"/>
      <c r="AC957" s="7">
        <v>69.432486400000002</v>
      </c>
      <c r="AD957" s="176">
        <v>586.81444819863657</v>
      </c>
      <c r="AE957" s="943"/>
      <c r="AF957" s="944"/>
      <c r="AG957" s="211">
        <f t="shared" ref="AG957:AG964" si="34">AM957</f>
        <v>0</v>
      </c>
      <c r="AH957" s="157">
        <v>5756.2754028133349</v>
      </c>
      <c r="AI957" s="176">
        <f t="shared" si="33"/>
        <v>5756.2754028133349</v>
      </c>
      <c r="AJ957" s="976"/>
      <c r="AK957" s="982"/>
      <c r="AL957" s="1006"/>
      <c r="AM957" s="440"/>
      <c r="AN957" s="89"/>
      <c r="AO957" s="89"/>
    </row>
    <row r="958" spans="1:41" s="69" customFormat="1" ht="15" customHeight="1">
      <c r="A958" s="1015"/>
      <c r="B958" s="669">
        <v>0</v>
      </c>
      <c r="C958" s="525"/>
      <c r="D958" s="223" t="s">
        <v>811</v>
      </c>
      <c r="E958" s="225" t="s">
        <v>64</v>
      </c>
      <c r="F958" s="607" t="s">
        <v>64</v>
      </c>
      <c r="G958" s="426">
        <f>52.82*24.567+G957</f>
        <v>13679.396940000001</v>
      </c>
      <c r="H958" s="225" t="s">
        <v>64</v>
      </c>
      <c r="I958" s="639" t="s">
        <v>64</v>
      </c>
      <c r="J958" s="1081"/>
      <c r="K958" s="1048"/>
      <c r="L958" s="211">
        <v>364.98492350000004</v>
      </c>
      <c r="M958" s="320" t="s">
        <v>64</v>
      </c>
      <c r="N958" s="188"/>
      <c r="O958" s="188"/>
      <c r="P958" s="188"/>
      <c r="Q958" s="188"/>
      <c r="R958" s="214"/>
      <c r="S958" s="633">
        <v>364.98492350000004</v>
      </c>
      <c r="T958" s="157">
        <v>3084.7005139725748</v>
      </c>
      <c r="U958" s="607" t="s">
        <v>64</v>
      </c>
      <c r="V958" s="7">
        <v>177.83216022000002</v>
      </c>
      <c r="W958" s="7">
        <v>177.83216022000002</v>
      </c>
      <c r="X958" s="633">
        <v>1502.9633300222811</v>
      </c>
      <c r="Y958" s="7">
        <v>28.942914492000003</v>
      </c>
      <c r="Z958" s="157">
        <v>244.61345513450138</v>
      </c>
      <c r="AA958" s="188"/>
      <c r="AB958" s="214"/>
      <c r="AC958" s="7">
        <v>73.661105312000004</v>
      </c>
      <c r="AD958" s="176">
        <v>622.55297352224511</v>
      </c>
      <c r="AE958" s="943"/>
      <c r="AF958" s="944"/>
      <c r="AG958" s="211">
        <f t="shared" si="34"/>
        <v>0</v>
      </c>
      <c r="AH958" s="157">
        <v>6169.4010279451495</v>
      </c>
      <c r="AI958" s="176">
        <f t="shared" si="33"/>
        <v>6169.4010279451495</v>
      </c>
      <c r="AJ958" s="976"/>
      <c r="AK958" s="982"/>
      <c r="AL958" s="1006"/>
      <c r="AM958" s="440"/>
      <c r="AN958" s="89"/>
      <c r="AO958" s="89"/>
    </row>
    <row r="959" spans="1:41" s="69" customFormat="1" ht="15" customHeight="1">
      <c r="A959" s="1015"/>
      <c r="B959" s="669">
        <v>0</v>
      </c>
      <c r="C959" s="525"/>
      <c r="D959" s="223" t="s">
        <v>812</v>
      </c>
      <c r="E959" s="225" t="s">
        <v>64</v>
      </c>
      <c r="F959" s="607" t="s">
        <v>64</v>
      </c>
      <c r="G959" s="427">
        <v>52.17</v>
      </c>
      <c r="H959" s="225" t="s">
        <v>64</v>
      </c>
      <c r="I959" s="639" t="s">
        <v>64</v>
      </c>
      <c r="J959" s="1081"/>
      <c r="K959" s="1048"/>
      <c r="L959" s="211">
        <v>24.30425</v>
      </c>
      <c r="M959" s="320" t="s">
        <v>64</v>
      </c>
      <c r="N959" s="188"/>
      <c r="O959" s="188"/>
      <c r="P959" s="188"/>
      <c r="Q959" s="188"/>
      <c r="R959" s="214"/>
      <c r="S959" s="633">
        <v>24.30425</v>
      </c>
      <c r="T959" s="157">
        <v>205.40939540128142</v>
      </c>
      <c r="U959" s="607" t="s">
        <v>64</v>
      </c>
      <c r="V959" s="7">
        <v>0.67821000000000009</v>
      </c>
      <c r="W959" s="7">
        <v>0.67821000000000009</v>
      </c>
      <c r="X959" s="633">
        <v>5.731948365207864</v>
      </c>
      <c r="Y959" s="7">
        <v>4.4139060000000008</v>
      </c>
      <c r="Z959" s="157">
        <v>37.304494597368262</v>
      </c>
      <c r="AA959" s="188"/>
      <c r="AB959" s="214"/>
      <c r="AC959" s="7">
        <v>8.2504159999999995</v>
      </c>
      <c r="AD959" s="176">
        <v>69.7290787565573</v>
      </c>
      <c r="AE959" s="943"/>
      <c r="AF959" s="944"/>
      <c r="AG959" s="211">
        <f t="shared" si="34"/>
        <v>0</v>
      </c>
      <c r="AH959" s="157">
        <v>410.81879080256283</v>
      </c>
      <c r="AI959" s="176">
        <f t="shared" si="33"/>
        <v>410.81879080256283</v>
      </c>
      <c r="AJ959" s="976"/>
      <c r="AK959" s="982"/>
      <c r="AL959" s="1006"/>
      <c r="AM959" s="440"/>
      <c r="AN959" s="89"/>
      <c r="AO959" s="89"/>
    </row>
    <row r="960" spans="1:41" s="69" customFormat="1" ht="15" customHeight="1">
      <c r="A960" s="1015"/>
      <c r="B960" s="669">
        <v>0</v>
      </c>
      <c r="C960" s="525"/>
      <c r="D960" s="223" t="s">
        <v>813</v>
      </c>
      <c r="E960" s="225" t="s">
        <v>64</v>
      </c>
      <c r="F960" s="607" t="s">
        <v>64</v>
      </c>
      <c r="G960" s="427">
        <f>7*G959</f>
        <v>365.19</v>
      </c>
      <c r="H960" s="225" t="s">
        <v>64</v>
      </c>
      <c r="I960" s="639" t="s">
        <v>64</v>
      </c>
      <c r="J960" s="1081"/>
      <c r="K960" s="1048"/>
      <c r="L960" s="211">
        <v>32.129750000000001</v>
      </c>
      <c r="M960" s="320" t="s">
        <v>64</v>
      </c>
      <c r="N960" s="188"/>
      <c r="O960" s="188"/>
      <c r="P960" s="188"/>
      <c r="Q960" s="188"/>
      <c r="R960" s="214"/>
      <c r="S960" s="633">
        <v>32.129750000000001</v>
      </c>
      <c r="T960" s="157">
        <v>271.54726115367987</v>
      </c>
      <c r="U960" s="607" t="s">
        <v>64</v>
      </c>
      <c r="V960" s="7">
        <v>4.7474700000000007</v>
      </c>
      <c r="W960" s="7">
        <v>4.7474700000000007</v>
      </c>
      <c r="X960" s="633">
        <v>40.123638556454956</v>
      </c>
      <c r="Y960" s="7">
        <v>4.9773420000000002</v>
      </c>
      <c r="Z960" s="157">
        <v>42.066420931540939</v>
      </c>
      <c r="AA960" s="188"/>
      <c r="AB960" s="214"/>
      <c r="AC960" s="7">
        <v>9.752912000000002</v>
      </c>
      <c r="AD960" s="176">
        <v>82.427548981017807</v>
      </c>
      <c r="AE960" s="943"/>
      <c r="AF960" s="944"/>
      <c r="AG960" s="211">
        <f t="shared" si="34"/>
        <v>0</v>
      </c>
      <c r="AH960" s="157">
        <v>543.09452230735974</v>
      </c>
      <c r="AI960" s="176">
        <f t="shared" si="33"/>
        <v>543.09452230735974</v>
      </c>
      <c r="AJ960" s="976"/>
      <c r="AK960" s="982"/>
      <c r="AL960" s="1006"/>
      <c r="AM960" s="440"/>
      <c r="AN960" s="89"/>
      <c r="AO960" s="89"/>
    </row>
    <row r="961" spans="1:41" s="69" customFormat="1" ht="15" customHeight="1">
      <c r="A961" s="1015"/>
      <c r="B961" s="669">
        <v>0</v>
      </c>
      <c r="C961" s="525"/>
      <c r="D961" s="223" t="s">
        <v>814</v>
      </c>
      <c r="E961" s="225" t="s">
        <v>64</v>
      </c>
      <c r="F961" s="607" t="s">
        <v>64</v>
      </c>
      <c r="G961" s="428">
        <f>G959*10%</f>
        <v>5.2170000000000005</v>
      </c>
      <c r="H961" s="225" t="s">
        <v>64</v>
      </c>
      <c r="I961" s="639" t="s">
        <v>64</v>
      </c>
      <c r="J961" s="1081"/>
      <c r="K961" s="1048"/>
      <c r="L961" s="211">
        <v>23.130425000000002</v>
      </c>
      <c r="M961" s="320" t="s">
        <v>64</v>
      </c>
      <c r="N961" s="188"/>
      <c r="O961" s="188"/>
      <c r="P961" s="188"/>
      <c r="Q961" s="188"/>
      <c r="R961" s="214"/>
      <c r="S961" s="633">
        <v>23.130425000000002</v>
      </c>
      <c r="T961" s="157">
        <v>195.48871553842159</v>
      </c>
      <c r="U961" s="607" t="s">
        <v>64</v>
      </c>
      <c r="V961" s="7">
        <v>6.7821000000000006E-2</v>
      </c>
      <c r="W961" s="7">
        <v>6.7821000000000006E-2</v>
      </c>
      <c r="X961" s="633">
        <v>0.57319483652078573</v>
      </c>
      <c r="Y961" s="7">
        <v>4.3293906</v>
      </c>
      <c r="Z961" s="157">
        <v>36.59020564724235</v>
      </c>
      <c r="AA961" s="188"/>
      <c r="AB961" s="214"/>
      <c r="AC961" s="7">
        <v>8.0250415999999998</v>
      </c>
      <c r="AD961" s="176">
        <v>67.824308222888249</v>
      </c>
      <c r="AE961" s="943"/>
      <c r="AF961" s="944"/>
      <c r="AG961" s="211">
        <f t="shared" si="34"/>
        <v>0</v>
      </c>
      <c r="AH961" s="157">
        <v>390.97743107684317</v>
      </c>
      <c r="AI961" s="176">
        <f t="shared" si="33"/>
        <v>390.97743107684317</v>
      </c>
      <c r="AJ961" s="976"/>
      <c r="AK961" s="982"/>
      <c r="AL961" s="1006"/>
      <c r="AM961" s="440"/>
      <c r="AN961" s="89"/>
      <c r="AO961" s="89"/>
    </row>
    <row r="962" spans="1:41" s="69" customFormat="1" ht="15" customHeight="1">
      <c r="A962" s="1015"/>
      <c r="B962" s="669">
        <v>0</v>
      </c>
      <c r="C962" s="525"/>
      <c r="D962" s="223" t="s">
        <v>815</v>
      </c>
      <c r="E962" s="225" t="s">
        <v>64</v>
      </c>
      <c r="F962" s="607" t="s">
        <v>64</v>
      </c>
      <c r="G962" s="428">
        <f>7*G961</f>
        <v>36.519000000000005</v>
      </c>
      <c r="H962" s="225" t="s">
        <v>64</v>
      </c>
      <c r="I962" s="639" t="s">
        <v>64</v>
      </c>
      <c r="J962" s="1081"/>
      <c r="K962" s="1048"/>
      <c r="L962" s="211">
        <v>23.912975000000003</v>
      </c>
      <c r="M962" s="320" t="s">
        <v>64</v>
      </c>
      <c r="N962" s="188"/>
      <c r="O962" s="188"/>
      <c r="P962" s="188"/>
      <c r="Q962" s="188"/>
      <c r="R962" s="214"/>
      <c r="S962" s="633">
        <v>23.912975000000003</v>
      </c>
      <c r="T962" s="157">
        <v>202.10250211366153</v>
      </c>
      <c r="U962" s="607" t="s">
        <v>64</v>
      </c>
      <c r="V962" s="7">
        <v>0.47474700000000009</v>
      </c>
      <c r="W962" s="7">
        <v>0.47474700000000009</v>
      </c>
      <c r="X962" s="633">
        <v>4.0123638556454946</v>
      </c>
      <c r="Y962" s="7">
        <v>4.3857341999999999</v>
      </c>
      <c r="Z962" s="157">
        <v>37.066398280659676</v>
      </c>
      <c r="AA962" s="188"/>
      <c r="AB962" s="214"/>
      <c r="AC962" s="7">
        <v>8.175291200000002</v>
      </c>
      <c r="AD962" s="176">
        <v>69.094155245334278</v>
      </c>
      <c r="AE962" s="943"/>
      <c r="AF962" s="944"/>
      <c r="AG962" s="211">
        <f t="shared" si="34"/>
        <v>0</v>
      </c>
      <c r="AH962" s="157">
        <v>404.20500422732306</v>
      </c>
      <c r="AI962" s="176">
        <f t="shared" si="33"/>
        <v>404.20500422732306</v>
      </c>
      <c r="AJ962" s="976"/>
      <c r="AK962" s="982"/>
      <c r="AL962" s="1006"/>
      <c r="AM962" s="440"/>
      <c r="AN962" s="89"/>
      <c r="AO962" s="89"/>
    </row>
    <row r="963" spans="1:41" s="69" customFormat="1" ht="15" customHeight="1">
      <c r="A963" s="1015"/>
      <c r="B963" s="669">
        <v>0</v>
      </c>
      <c r="C963" s="525"/>
      <c r="D963" s="223" t="s">
        <v>816</v>
      </c>
      <c r="E963" s="225" t="s">
        <v>64</v>
      </c>
      <c r="F963" s="607" t="s">
        <v>64</v>
      </c>
      <c r="G963" s="428">
        <f>8*G961</f>
        <v>41.736000000000004</v>
      </c>
      <c r="H963" s="225" t="s">
        <v>64</v>
      </c>
      <c r="I963" s="639" t="s">
        <v>64</v>
      </c>
      <c r="J963" s="1081"/>
      <c r="K963" s="1048"/>
      <c r="L963" s="211">
        <v>24.043400000000002</v>
      </c>
      <c r="M963" s="320" t="s">
        <v>64</v>
      </c>
      <c r="N963" s="188"/>
      <c r="O963" s="188"/>
      <c r="P963" s="188"/>
      <c r="Q963" s="188"/>
      <c r="R963" s="214"/>
      <c r="S963" s="676">
        <v>24.043400000000002</v>
      </c>
      <c r="T963" s="157">
        <v>203.20479987620135</v>
      </c>
      <c r="U963" s="607" t="s">
        <v>64</v>
      </c>
      <c r="V963" s="7">
        <v>0.54256800000000005</v>
      </c>
      <c r="W963" s="7">
        <v>0.54256800000000005</v>
      </c>
      <c r="X963" s="676">
        <v>4.5855586921662859</v>
      </c>
      <c r="Y963" s="7">
        <v>4.3951248000000005</v>
      </c>
      <c r="Z963" s="157">
        <v>37.145763719562524</v>
      </c>
      <c r="AA963" s="188"/>
      <c r="AB963" s="214"/>
      <c r="AC963" s="7">
        <v>8.2003328000000018</v>
      </c>
      <c r="AD963" s="176">
        <v>69.305796415741924</v>
      </c>
      <c r="AE963" s="943"/>
      <c r="AF963" s="944"/>
      <c r="AG963" s="211">
        <f t="shared" si="34"/>
        <v>0</v>
      </c>
      <c r="AH963" s="157">
        <v>406.4095997524027</v>
      </c>
      <c r="AI963" s="176">
        <f t="shared" si="33"/>
        <v>406.4095997524027</v>
      </c>
      <c r="AJ963" s="976"/>
      <c r="AK963" s="982"/>
      <c r="AL963" s="1006"/>
      <c r="AM963" s="440"/>
      <c r="AN963" s="89"/>
      <c r="AO963" s="89"/>
    </row>
    <row r="964" spans="1:41" s="69" customFormat="1" ht="15.75" customHeight="1">
      <c r="A964" s="1015"/>
      <c r="B964" s="669">
        <v>0</v>
      </c>
      <c r="C964" s="525"/>
      <c r="D964" s="223" t="s">
        <v>820</v>
      </c>
      <c r="E964" s="320" t="s">
        <v>64</v>
      </c>
      <c r="F964" s="607" t="s">
        <v>64</v>
      </c>
      <c r="G964" s="427">
        <v>9782.34</v>
      </c>
      <c r="H964" s="320" t="s">
        <v>64</v>
      </c>
      <c r="I964" s="639" t="s">
        <v>64</v>
      </c>
      <c r="J964" s="1081"/>
      <c r="K964" s="1048"/>
      <c r="L964" s="211">
        <v>267.55849999999998</v>
      </c>
      <c r="M964" s="320" t="s">
        <v>64</v>
      </c>
      <c r="N964" s="188"/>
      <c r="O964" s="188"/>
      <c r="P964" s="188"/>
      <c r="Q964" s="188"/>
      <c r="R964" s="214"/>
      <c r="S964" s="633">
        <v>267.55849999999998</v>
      </c>
      <c r="T964" s="157">
        <v>2261.29297219514</v>
      </c>
      <c r="U964" s="607" t="s">
        <v>64</v>
      </c>
      <c r="V964" s="7">
        <v>127.17042000000001</v>
      </c>
      <c r="W964" s="7">
        <v>127.17042000000001</v>
      </c>
      <c r="X964" s="633">
        <v>1074.7914082980128</v>
      </c>
      <c r="Y964" s="7">
        <v>21.928211999999998</v>
      </c>
      <c r="Z964" s="157">
        <v>185.32811212652612</v>
      </c>
      <c r="AA964" s="188"/>
      <c r="AB964" s="214"/>
      <c r="AC964" s="7">
        <v>54.955232000000002</v>
      </c>
      <c r="AD964" s="176">
        <v>464.45872550097778</v>
      </c>
      <c r="AE964" s="943"/>
      <c r="AF964" s="944"/>
      <c r="AG964" s="211">
        <f t="shared" si="34"/>
        <v>0</v>
      </c>
      <c r="AH964" s="157">
        <v>4522.58594439028</v>
      </c>
      <c r="AI964" s="176">
        <f t="shared" si="33"/>
        <v>4522.58594439028</v>
      </c>
      <c r="AJ964" s="976"/>
      <c r="AK964" s="982"/>
      <c r="AL964" s="1006"/>
      <c r="AM964" s="440"/>
      <c r="AN964" s="108"/>
      <c r="AO964" s="89"/>
    </row>
    <row r="965" spans="1:41" s="69" customFormat="1" ht="12.75" customHeight="1" thickBot="1">
      <c r="A965" s="1015"/>
      <c r="B965" s="670">
        <v>0</v>
      </c>
      <c r="C965" s="527"/>
      <c r="D965" s="224" t="s">
        <v>821</v>
      </c>
      <c r="E965" s="226" t="s">
        <v>64</v>
      </c>
      <c r="F965" s="229" t="s">
        <v>64</v>
      </c>
      <c r="G965" s="429">
        <f>G964*40%</f>
        <v>3912.9360000000001</v>
      </c>
      <c r="H965" s="226" t="s">
        <v>64</v>
      </c>
      <c r="I965" s="641" t="s">
        <v>64</v>
      </c>
      <c r="J965" s="1102"/>
      <c r="K965" s="1048"/>
      <c r="L965" s="199">
        <v>123.32340000000002</v>
      </c>
      <c r="M965" s="226" t="s">
        <v>64</v>
      </c>
      <c r="N965" s="116"/>
      <c r="O965" s="116"/>
      <c r="P965" s="116"/>
      <c r="Q965" s="116"/>
      <c r="R965" s="175"/>
      <c r="S965" s="677">
        <v>123.32340000000002</v>
      </c>
      <c r="T965" s="118">
        <v>1042.2779979974855</v>
      </c>
      <c r="U965" s="229" t="s">
        <v>64</v>
      </c>
      <c r="V965" s="28">
        <v>50.868168000000004</v>
      </c>
      <c r="W965" s="28">
        <v>50.868168000000004</v>
      </c>
      <c r="X965" s="677">
        <v>429.91656331920581</v>
      </c>
      <c r="Y965" s="28">
        <v>11.363284799999999</v>
      </c>
      <c r="Z965" s="118">
        <v>96.037748975614193</v>
      </c>
      <c r="AA965" s="116"/>
      <c r="AB965" s="175"/>
      <c r="AC965" s="28">
        <v>27.582092800000005</v>
      </c>
      <c r="AD965" s="180">
        <v>233.11235713712787</v>
      </c>
      <c r="AE965" s="943"/>
      <c r="AF965" s="944"/>
      <c r="AG965" s="199">
        <f>AM965</f>
        <v>0</v>
      </c>
      <c r="AH965" s="118">
        <v>2084.555995994971</v>
      </c>
      <c r="AI965" s="180">
        <f t="shared" si="33"/>
        <v>2084.555995994971</v>
      </c>
      <c r="AJ965" s="977"/>
      <c r="AK965" s="983"/>
      <c r="AL965" s="1006"/>
      <c r="AM965" s="440"/>
      <c r="AN965" s="89"/>
      <c r="AO965" s="89"/>
    </row>
    <row r="966" spans="1:41" s="69" customFormat="1" ht="15" customHeight="1">
      <c r="A966" s="1015"/>
      <c r="B966" s="465" t="s">
        <v>151</v>
      </c>
      <c r="C966" s="386" t="s">
        <v>151</v>
      </c>
      <c r="D966" s="923" t="s">
        <v>468</v>
      </c>
      <c r="E966" s="240" t="s">
        <v>1</v>
      </c>
      <c r="F966" s="687" t="s">
        <v>469</v>
      </c>
      <c r="G966" s="433">
        <f>10*150*24.567</f>
        <v>36850.5</v>
      </c>
      <c r="H966" s="225" t="s">
        <v>221</v>
      </c>
      <c r="I966" s="689" t="s">
        <v>469</v>
      </c>
      <c r="J966" s="1103" t="s">
        <v>470</v>
      </c>
      <c r="K966" s="1048"/>
      <c r="L966" s="209">
        <v>1249.1734999999999</v>
      </c>
      <c r="M966" s="472">
        <v>80.8</v>
      </c>
      <c r="N966" s="115"/>
      <c r="O966" s="115"/>
      <c r="P966" s="115"/>
      <c r="Q966" s="115"/>
      <c r="R966" s="174"/>
      <c r="S966" s="676">
        <v>1168.3734999999999</v>
      </c>
      <c r="T966" s="117">
        <v>6070.7261955869162</v>
      </c>
      <c r="U966" s="689" t="s">
        <v>469</v>
      </c>
      <c r="V966" s="120">
        <v>479.05650000000003</v>
      </c>
      <c r="W966" s="120">
        <v>479.05650000000003</v>
      </c>
      <c r="X966" s="117">
        <v>2489.1191418807261</v>
      </c>
      <c r="Y966" s="120">
        <v>57.78575</v>
      </c>
      <c r="Z966" s="117">
        <v>300.24770867931898</v>
      </c>
      <c r="AA966" s="120">
        <v>102.6728</v>
      </c>
      <c r="AB966" s="117">
        <v>533.47534545610335</v>
      </c>
      <c r="AC966" s="120">
        <v>256.91400000000004</v>
      </c>
      <c r="AD966" s="177">
        <v>1334.8938073424454</v>
      </c>
      <c r="AE966" s="943"/>
      <c r="AF966" s="944"/>
      <c r="AG966" s="209">
        <v>1168.3734999999999</v>
      </c>
      <c r="AH966" s="117">
        <v>12141.452391173832</v>
      </c>
      <c r="AI966" s="177">
        <f t="shared" si="33"/>
        <v>12141.452391173832</v>
      </c>
      <c r="AJ966" s="975">
        <v>46186</v>
      </c>
      <c r="AK966" s="981">
        <f>SUM(AI966:AI976)</f>
        <v>41354.701931984368</v>
      </c>
      <c r="AL966" s="1006"/>
      <c r="AM966" s="440"/>
      <c r="AN966" s="89"/>
      <c r="AO966" s="89"/>
    </row>
    <row r="967" spans="1:41" s="69" customFormat="1" ht="15" customHeight="1">
      <c r="A967" s="1015"/>
      <c r="B967" s="610"/>
      <c r="C967" s="525"/>
      <c r="D967" s="223" t="s">
        <v>809</v>
      </c>
      <c r="E967" s="320" t="s">
        <v>64</v>
      </c>
      <c r="F967" s="687" t="s">
        <v>469</v>
      </c>
      <c r="G967" s="431">
        <f>150*24.567</f>
        <v>3685.05</v>
      </c>
      <c r="H967" s="320" t="s">
        <v>64</v>
      </c>
      <c r="I967" s="689" t="s">
        <v>469</v>
      </c>
      <c r="J967" s="1104"/>
      <c r="K967" s="1048"/>
      <c r="L967" s="211">
        <v>81.450499999999991</v>
      </c>
      <c r="M967" s="320" t="s">
        <v>64</v>
      </c>
      <c r="N967" s="188"/>
      <c r="O967" s="188"/>
      <c r="P967" s="188"/>
      <c r="Q967" s="188"/>
      <c r="R967" s="214"/>
      <c r="S967" s="633">
        <v>81.450499999999991</v>
      </c>
      <c r="T967" s="157">
        <v>423.20686321082411</v>
      </c>
      <c r="U967" s="689" t="s">
        <v>469</v>
      </c>
      <c r="V967" s="7">
        <v>0</v>
      </c>
      <c r="W967" s="7">
        <v>0</v>
      </c>
      <c r="X967" s="157">
        <v>0</v>
      </c>
      <c r="Y967" s="7">
        <v>10.727575</v>
      </c>
      <c r="Z967" s="157">
        <v>55.739171221893805</v>
      </c>
      <c r="AA967" s="7">
        <v>12.29608</v>
      </c>
      <c r="AB967" s="157">
        <v>63.888931886106889</v>
      </c>
      <c r="AC967" s="7">
        <v>34.582724999999996</v>
      </c>
      <c r="AD967" s="176">
        <v>179.68762092967566</v>
      </c>
      <c r="AE967" s="943"/>
      <c r="AF967" s="944"/>
      <c r="AG967" s="211">
        <v>81.450499999999991</v>
      </c>
      <c r="AH967" s="157">
        <v>846.41372642164822</v>
      </c>
      <c r="AI967" s="176">
        <f t="shared" si="33"/>
        <v>846.41372642164822</v>
      </c>
      <c r="AJ967" s="976"/>
      <c r="AK967" s="982"/>
      <c r="AL967" s="1006"/>
      <c r="AM967" s="440"/>
      <c r="AN967" s="89"/>
      <c r="AO967" s="89"/>
    </row>
    <row r="968" spans="1:41" s="69" customFormat="1" ht="15" customHeight="1">
      <c r="A968" s="1015"/>
      <c r="B968" s="610"/>
      <c r="C968" s="525"/>
      <c r="D968" s="223" t="s">
        <v>810</v>
      </c>
      <c r="E968" s="225" t="s">
        <v>64</v>
      </c>
      <c r="F968" s="687" t="s">
        <v>469</v>
      </c>
      <c r="G968" s="431">
        <f>2*72*24.567+3*150*24.567</f>
        <v>14592.797999999999</v>
      </c>
      <c r="H968" s="225" t="s">
        <v>64</v>
      </c>
      <c r="I968" s="689" t="s">
        <v>469</v>
      </c>
      <c r="J968" s="1104"/>
      <c r="K968" s="1048"/>
      <c r="L968" s="211">
        <v>213.72798</v>
      </c>
      <c r="M968" s="225" t="s">
        <v>64</v>
      </c>
      <c r="N968" s="188"/>
      <c r="O968" s="188"/>
      <c r="P968" s="188"/>
      <c r="Q968" s="188"/>
      <c r="R968" s="214"/>
      <c r="S968" s="633">
        <v>213.72798</v>
      </c>
      <c r="T968" s="157">
        <v>1110.5045149653565</v>
      </c>
      <c r="U968" s="689" t="s">
        <v>469</v>
      </c>
      <c r="V968" s="7">
        <v>0</v>
      </c>
      <c r="W968" s="7">
        <v>0</v>
      </c>
      <c r="X968" s="157">
        <v>0</v>
      </c>
      <c r="Y968" s="7">
        <v>27.089196999999999</v>
      </c>
      <c r="Z968" s="157">
        <v>140.75216345228182</v>
      </c>
      <c r="AA968" s="7">
        <v>32.948476799999995</v>
      </c>
      <c r="AB968" s="157">
        <v>171.19626661717976</v>
      </c>
      <c r="AC968" s="7">
        <v>53.541274799999997</v>
      </c>
      <c r="AD968" s="176">
        <v>278.1939332529173</v>
      </c>
      <c r="AE968" s="943"/>
      <c r="AF968" s="944"/>
      <c r="AG968" s="211">
        <v>213.72798</v>
      </c>
      <c r="AH968" s="157">
        <v>2221.009029930713</v>
      </c>
      <c r="AI968" s="176">
        <f t="shared" si="33"/>
        <v>2221.009029930713</v>
      </c>
      <c r="AJ968" s="976"/>
      <c r="AK968" s="982"/>
      <c r="AL968" s="1006"/>
      <c r="AM968" s="440"/>
      <c r="AN968" s="89"/>
      <c r="AO968" s="89"/>
    </row>
    <row r="969" spans="1:41" s="69" customFormat="1" ht="15" customHeight="1">
      <c r="A969" s="1015"/>
      <c r="B969" s="610"/>
      <c r="C969" s="525"/>
      <c r="D969" s="223" t="s">
        <v>811</v>
      </c>
      <c r="E969" s="225" t="s">
        <v>64</v>
      </c>
      <c r="F969" s="687" t="s">
        <v>469</v>
      </c>
      <c r="G969" s="431">
        <f>3*72*24.567+3*150*24.567</f>
        <v>16361.621999999999</v>
      </c>
      <c r="H969" s="225" t="s">
        <v>64</v>
      </c>
      <c r="I969" s="689" t="s">
        <v>469</v>
      </c>
      <c r="J969" s="1104"/>
      <c r="K969" s="1048"/>
      <c r="L969" s="211">
        <v>208.21621999999999</v>
      </c>
      <c r="M969" s="225" t="s">
        <v>64</v>
      </c>
      <c r="N969" s="188"/>
      <c r="O969" s="188"/>
      <c r="P969" s="188"/>
      <c r="Q969" s="188"/>
      <c r="R969" s="214"/>
      <c r="S969" s="633">
        <v>208.21621999999999</v>
      </c>
      <c r="T969" s="157">
        <v>1081.8660822931101</v>
      </c>
      <c r="U969" s="689" t="s">
        <v>469</v>
      </c>
      <c r="V969" s="7">
        <v>0</v>
      </c>
      <c r="W969" s="7">
        <v>0</v>
      </c>
      <c r="X969" s="157">
        <v>0</v>
      </c>
      <c r="Y969" s="7">
        <v>29.742433000000002</v>
      </c>
      <c r="Z969" s="157">
        <v>154.53805408423634</v>
      </c>
      <c r="AA969" s="7">
        <v>32.578595200000002</v>
      </c>
      <c r="AB969" s="157">
        <v>169.27440693927241</v>
      </c>
      <c r="AC969" s="7">
        <v>52.940217199999999</v>
      </c>
      <c r="AD969" s="176">
        <v>275.07091127631787</v>
      </c>
      <c r="AE969" s="943"/>
      <c r="AF969" s="944"/>
      <c r="AG969" s="211">
        <v>208.21621999999999</v>
      </c>
      <c r="AH969" s="157">
        <v>2163.7321645862203</v>
      </c>
      <c r="AI969" s="176">
        <f t="shared" si="33"/>
        <v>2163.7321645862203</v>
      </c>
      <c r="AJ969" s="976"/>
      <c r="AK969" s="982"/>
      <c r="AL969" s="1006"/>
      <c r="AM969" s="440"/>
      <c r="AN969" s="89"/>
      <c r="AO969" s="89"/>
    </row>
    <row r="970" spans="1:41" s="69" customFormat="1" ht="15" customHeight="1">
      <c r="A970" s="1015"/>
      <c r="B970" s="610"/>
      <c r="C970" s="525"/>
      <c r="D970" s="223" t="s">
        <v>812</v>
      </c>
      <c r="E970" s="225" t="s">
        <v>64</v>
      </c>
      <c r="F970" s="687" t="s">
        <v>469</v>
      </c>
      <c r="G970" s="431">
        <f>G975/10</f>
        <v>4560</v>
      </c>
      <c r="H970" s="225" t="s">
        <v>64</v>
      </c>
      <c r="I970" s="689" t="s">
        <v>469</v>
      </c>
      <c r="J970" s="1104"/>
      <c r="K970" s="1048"/>
      <c r="L970" s="211">
        <v>149.47999999999999</v>
      </c>
      <c r="M970" s="225" t="s">
        <v>64</v>
      </c>
      <c r="N970" s="188"/>
      <c r="O970" s="188"/>
      <c r="P970" s="188"/>
      <c r="Q970" s="188"/>
      <c r="R970" s="214"/>
      <c r="S970" s="633">
        <v>149.47999999999999</v>
      </c>
      <c r="T970" s="157">
        <v>776.67984742578597</v>
      </c>
      <c r="U970" s="689" t="s">
        <v>469</v>
      </c>
      <c r="V970" s="7">
        <v>59.280000000000008</v>
      </c>
      <c r="W970" s="7">
        <v>59.280000000000008</v>
      </c>
      <c r="X970" s="157">
        <v>308.01164942066271</v>
      </c>
      <c r="Y970" s="7">
        <v>12.040000000000001</v>
      </c>
      <c r="Z970" s="157">
        <v>62.558371441038751</v>
      </c>
      <c r="AA970" s="7">
        <v>13.696000000000002</v>
      </c>
      <c r="AB970" s="157">
        <v>71.162745453194816</v>
      </c>
      <c r="AC970" s="7">
        <v>22.256000000000004</v>
      </c>
      <c r="AD970" s="176">
        <v>115.63946136144166</v>
      </c>
      <c r="AE970" s="943"/>
      <c r="AF970" s="944"/>
      <c r="AG970" s="211">
        <v>149.47999999999999</v>
      </c>
      <c r="AH970" s="157">
        <v>1553.3596948515719</v>
      </c>
      <c r="AI970" s="176">
        <f t="shared" si="33"/>
        <v>1553.3596948515719</v>
      </c>
      <c r="AJ970" s="976"/>
      <c r="AK970" s="982"/>
      <c r="AL970" s="1006"/>
      <c r="AM970" s="440"/>
      <c r="AN970" s="89"/>
      <c r="AO970" s="89"/>
    </row>
    <row r="971" spans="1:41" s="69" customFormat="1" ht="15" customHeight="1">
      <c r="A971" s="1015"/>
      <c r="B971" s="610"/>
      <c r="C971" s="525"/>
      <c r="D971" s="223" t="s">
        <v>813</v>
      </c>
      <c r="E971" s="225" t="s">
        <v>64</v>
      </c>
      <c r="F971" s="687" t="s">
        <v>469</v>
      </c>
      <c r="G971" s="431">
        <f>G970*5</f>
        <v>22800</v>
      </c>
      <c r="H971" s="225" t="s">
        <v>64</v>
      </c>
      <c r="I971" s="689" t="s">
        <v>469</v>
      </c>
      <c r="J971" s="1104"/>
      <c r="K971" s="1048"/>
      <c r="L971" s="211">
        <v>603.79999999999995</v>
      </c>
      <c r="M971" s="225" t="s">
        <v>64</v>
      </c>
      <c r="N971" s="188"/>
      <c r="O971" s="188"/>
      <c r="P971" s="188"/>
      <c r="Q971" s="188"/>
      <c r="R971" s="214"/>
      <c r="S971" s="633">
        <v>603.79999999999995</v>
      </c>
      <c r="T971" s="157">
        <v>3137.2711524999313</v>
      </c>
      <c r="U971" s="689" t="s">
        <v>469</v>
      </c>
      <c r="V971" s="7">
        <v>296.40000000000003</v>
      </c>
      <c r="W971" s="7">
        <v>296.40000000000003</v>
      </c>
      <c r="X971" s="157">
        <v>1540.0582471033115</v>
      </c>
      <c r="Y971" s="7">
        <v>39.4</v>
      </c>
      <c r="Z971" s="157">
        <v>204.71759425057513</v>
      </c>
      <c r="AA971" s="7">
        <v>47.68</v>
      </c>
      <c r="AB971" s="157">
        <v>247.73946431135599</v>
      </c>
      <c r="AC971" s="7">
        <v>77.48</v>
      </c>
      <c r="AD971" s="176">
        <v>402.57662950595329</v>
      </c>
      <c r="AE971" s="943"/>
      <c r="AF971" s="944"/>
      <c r="AG971" s="211">
        <v>603.79999999999995</v>
      </c>
      <c r="AH971" s="157">
        <v>6274.5423049998626</v>
      </c>
      <c r="AI971" s="176">
        <f t="shared" si="33"/>
        <v>6274.5423049998626</v>
      </c>
      <c r="AJ971" s="976"/>
      <c r="AK971" s="982"/>
      <c r="AL971" s="1006"/>
      <c r="AM971" s="440"/>
      <c r="AN971" s="89"/>
      <c r="AO971" s="89"/>
    </row>
    <row r="972" spans="1:41" s="69" customFormat="1" ht="15" customHeight="1">
      <c r="A972" s="1015"/>
      <c r="B972" s="610"/>
      <c r="C972" s="525"/>
      <c r="D972" s="223" t="s">
        <v>814</v>
      </c>
      <c r="E972" s="225" t="s">
        <v>64</v>
      </c>
      <c r="F972" s="687" t="s">
        <v>469</v>
      </c>
      <c r="G972" s="686">
        <f>G970*10%</f>
        <v>456</v>
      </c>
      <c r="H972" s="225" t="s">
        <v>64</v>
      </c>
      <c r="I972" s="689" t="s">
        <v>469</v>
      </c>
      <c r="J972" s="1104"/>
      <c r="K972" s="1048"/>
      <c r="L972" s="211">
        <v>49.160000000000004</v>
      </c>
      <c r="M972" s="225" t="s">
        <v>64</v>
      </c>
      <c r="N972" s="188"/>
      <c r="O972" s="188"/>
      <c r="P972" s="188"/>
      <c r="Q972" s="188"/>
      <c r="R972" s="214"/>
      <c r="S972" s="633">
        <v>49.160000000000004</v>
      </c>
      <c r="T972" s="157">
        <v>255.42936379081928</v>
      </c>
      <c r="U972" s="689" t="s">
        <v>469</v>
      </c>
      <c r="V972" s="7">
        <v>0</v>
      </c>
      <c r="W972" s="7">
        <v>0</v>
      </c>
      <c r="X972" s="157">
        <v>0</v>
      </c>
      <c r="Y972" s="7">
        <v>5.8840000000000003</v>
      </c>
      <c r="Z972" s="157">
        <v>30.572546308893003</v>
      </c>
      <c r="AA972" s="7">
        <v>7.1295999999999999</v>
      </c>
      <c r="AB972" s="157">
        <v>37.044531978906136</v>
      </c>
      <c r="AC972" s="7">
        <v>14.704800000000002</v>
      </c>
      <c r="AD972" s="176">
        <v>76.404347206493867</v>
      </c>
      <c r="AE972" s="943"/>
      <c r="AF972" s="944"/>
      <c r="AG972" s="211">
        <v>49.160000000000004</v>
      </c>
      <c r="AH972" s="157">
        <v>510.85872758163856</v>
      </c>
      <c r="AI972" s="176">
        <f t="shared" si="33"/>
        <v>510.85872758163856</v>
      </c>
      <c r="AJ972" s="976"/>
      <c r="AK972" s="982"/>
      <c r="AL972" s="1006"/>
      <c r="AM972" s="440"/>
      <c r="AN972" s="89"/>
      <c r="AO972" s="89"/>
    </row>
    <row r="973" spans="1:41" s="69" customFormat="1" ht="15" customHeight="1">
      <c r="A973" s="1015"/>
      <c r="B973" s="610"/>
      <c r="C973" s="525"/>
      <c r="D973" s="223" t="s">
        <v>815</v>
      </c>
      <c r="E973" s="225" t="s">
        <v>64</v>
      </c>
      <c r="F973" s="687" t="s">
        <v>469</v>
      </c>
      <c r="G973" s="686">
        <f>5*G972</f>
        <v>2280</v>
      </c>
      <c r="H973" s="225" t="s">
        <v>64</v>
      </c>
      <c r="I973" s="689" t="s">
        <v>469</v>
      </c>
      <c r="J973" s="1104"/>
      <c r="K973" s="1048"/>
      <c r="L973" s="211">
        <v>67.399999999999991</v>
      </c>
      <c r="M973" s="225" t="s">
        <v>64</v>
      </c>
      <c r="N973" s="188"/>
      <c r="O973" s="188"/>
      <c r="P973" s="188"/>
      <c r="Q973" s="188"/>
      <c r="R973" s="214"/>
      <c r="S973" s="633">
        <v>67.399999999999991</v>
      </c>
      <c r="T973" s="157">
        <v>350.2021789971767</v>
      </c>
      <c r="U973" s="689" t="s">
        <v>469</v>
      </c>
      <c r="V973" s="7">
        <v>0</v>
      </c>
      <c r="W973" s="7">
        <v>0</v>
      </c>
      <c r="X973" s="157">
        <v>0</v>
      </c>
      <c r="Y973" s="7">
        <v>8.620000000000001</v>
      </c>
      <c r="Z973" s="157">
        <v>44.788468589846644</v>
      </c>
      <c r="AA973" s="7">
        <v>10.048</v>
      </c>
      <c r="AB973" s="157">
        <v>52.208182411923374</v>
      </c>
      <c r="AC973" s="7">
        <v>20.724</v>
      </c>
      <c r="AD973" s="176">
        <v>107.67937622459176</v>
      </c>
      <c r="AE973" s="943"/>
      <c r="AF973" s="944"/>
      <c r="AG973" s="211">
        <v>67.399999999999991</v>
      </c>
      <c r="AH973" s="157">
        <v>700.4043579943534</v>
      </c>
      <c r="AI973" s="176">
        <f t="shared" si="33"/>
        <v>700.4043579943534</v>
      </c>
      <c r="AJ973" s="976"/>
      <c r="AK973" s="982"/>
      <c r="AL973" s="1006"/>
      <c r="AM973" s="440"/>
      <c r="AN973" s="89"/>
      <c r="AO973" s="89"/>
    </row>
    <row r="974" spans="1:41" s="69" customFormat="1" ht="15" customHeight="1">
      <c r="A974" s="1015"/>
      <c r="B974" s="610"/>
      <c r="C974" s="525"/>
      <c r="D974" s="223" t="s">
        <v>816</v>
      </c>
      <c r="E974" s="225" t="s">
        <v>64</v>
      </c>
      <c r="F974" s="687" t="s">
        <v>469</v>
      </c>
      <c r="G974" s="475">
        <f>6*G972</f>
        <v>2736</v>
      </c>
      <c r="H974" s="225" t="s">
        <v>64</v>
      </c>
      <c r="I974" s="689" t="s">
        <v>469</v>
      </c>
      <c r="J974" s="1104"/>
      <c r="K974" s="1048"/>
      <c r="L974" s="211">
        <v>71.959999999999994</v>
      </c>
      <c r="M974" s="225" t="s">
        <v>64</v>
      </c>
      <c r="N974" s="188"/>
      <c r="O974" s="188"/>
      <c r="P974" s="188"/>
      <c r="Q974" s="188"/>
      <c r="R974" s="214"/>
      <c r="S974" s="633">
        <v>71.959999999999994</v>
      </c>
      <c r="T974" s="157">
        <v>373.89538279876638</v>
      </c>
      <c r="U974" s="689" t="s">
        <v>469</v>
      </c>
      <c r="V974" s="7">
        <v>0</v>
      </c>
      <c r="W974" s="7">
        <v>0</v>
      </c>
      <c r="X974" s="157">
        <v>0</v>
      </c>
      <c r="Y974" s="7">
        <v>9.3039999999999985</v>
      </c>
      <c r="Z974" s="157">
        <v>48.342449160085096</v>
      </c>
      <c r="AA974" s="7">
        <v>10.7776</v>
      </c>
      <c r="AB974" s="157">
        <v>55.999095020177705</v>
      </c>
      <c r="AC974" s="7">
        <v>22.2288</v>
      </c>
      <c r="AD974" s="176">
        <v>115.49813347911636</v>
      </c>
      <c r="AE974" s="943"/>
      <c r="AF974" s="944"/>
      <c r="AG974" s="211">
        <v>71.959999999999994</v>
      </c>
      <c r="AH974" s="157">
        <v>747.79076559753275</v>
      </c>
      <c r="AI974" s="176">
        <f t="shared" si="33"/>
        <v>747.79076559753275</v>
      </c>
      <c r="AJ974" s="976"/>
      <c r="AK974" s="982"/>
      <c r="AL974" s="1006"/>
      <c r="AM974" s="440"/>
      <c r="AN974" s="89"/>
      <c r="AO974" s="89"/>
    </row>
    <row r="975" spans="1:41" s="69" customFormat="1" ht="15" customHeight="1">
      <c r="A975" s="1015"/>
      <c r="B975" s="610"/>
      <c r="C975" s="525"/>
      <c r="D975" s="223" t="s">
        <v>820</v>
      </c>
      <c r="E975" s="225" t="s">
        <v>64</v>
      </c>
      <c r="F975" s="687" t="s">
        <v>469</v>
      </c>
      <c r="G975" s="475">
        <f>G976*2</f>
        <v>45600</v>
      </c>
      <c r="H975" s="225" t="s">
        <v>64</v>
      </c>
      <c r="I975" s="689" t="s">
        <v>469</v>
      </c>
      <c r="J975" s="1104"/>
      <c r="K975" s="1048"/>
      <c r="L975" s="211">
        <v>1093.3999999999999</v>
      </c>
      <c r="M975" s="225" t="s">
        <v>64</v>
      </c>
      <c r="N975" s="188"/>
      <c r="O975" s="188"/>
      <c r="P975" s="188"/>
      <c r="Q975" s="188"/>
      <c r="R975" s="214"/>
      <c r="S975" s="676">
        <v>1093.3999999999999</v>
      </c>
      <c r="T975" s="157">
        <v>5681.1730343547952</v>
      </c>
      <c r="U975" s="689" t="s">
        <v>469</v>
      </c>
      <c r="V975" s="7">
        <v>592.80000000000007</v>
      </c>
      <c r="W975" s="7">
        <v>592.80000000000007</v>
      </c>
      <c r="X975" s="157">
        <v>3080.116494206623</v>
      </c>
      <c r="Y975" s="7">
        <v>73.600000000000009</v>
      </c>
      <c r="Z975" s="157">
        <v>382.41662276249571</v>
      </c>
      <c r="AA975" s="7">
        <v>79.36</v>
      </c>
      <c r="AB975" s="157">
        <v>412.34488019608273</v>
      </c>
      <c r="AC975" s="7">
        <v>163.68</v>
      </c>
      <c r="AD975" s="176">
        <v>850.46131540442025</v>
      </c>
      <c r="AE975" s="943"/>
      <c r="AF975" s="944"/>
      <c r="AG975" s="211">
        <v>1093.3999999999999</v>
      </c>
      <c r="AH975" s="157">
        <v>11362.34606870959</v>
      </c>
      <c r="AI975" s="176">
        <f t="shared" si="33"/>
        <v>11362.34606870959</v>
      </c>
      <c r="AJ975" s="976"/>
      <c r="AK975" s="982"/>
      <c r="AL975" s="1006"/>
      <c r="AM975" s="440"/>
      <c r="AN975" s="89"/>
      <c r="AO975" s="89"/>
    </row>
    <row r="976" spans="1:41" s="69" customFormat="1" ht="15.75" customHeight="1" thickBot="1">
      <c r="A976" s="1016"/>
      <c r="B976" s="667"/>
      <c r="C976" s="527"/>
      <c r="D976" s="224" t="s">
        <v>821</v>
      </c>
      <c r="E976" s="226" t="s">
        <v>64</v>
      </c>
      <c r="F976" s="688" t="s">
        <v>469</v>
      </c>
      <c r="G976" s="432">
        <v>22800</v>
      </c>
      <c r="H976" s="226" t="s">
        <v>64</v>
      </c>
      <c r="I976" s="690" t="s">
        <v>469</v>
      </c>
      <c r="J976" s="1105"/>
      <c r="K976" s="1049"/>
      <c r="L976" s="199">
        <v>272.60000000000002</v>
      </c>
      <c r="M976" s="226" t="s">
        <v>64</v>
      </c>
      <c r="N976" s="116"/>
      <c r="O976" s="116"/>
      <c r="P976" s="116"/>
      <c r="Q976" s="116"/>
      <c r="R976" s="175"/>
      <c r="S976" s="677">
        <v>272.60000000000002</v>
      </c>
      <c r="T976" s="118">
        <v>1416.3963500687007</v>
      </c>
      <c r="U976" s="690" t="s">
        <v>469</v>
      </c>
      <c r="V976" s="28">
        <v>0</v>
      </c>
      <c r="W976" s="28">
        <v>0</v>
      </c>
      <c r="X976" s="118">
        <v>0</v>
      </c>
      <c r="Y976" s="28">
        <v>34.56</v>
      </c>
      <c r="Z976" s="118">
        <v>179.56954460151965</v>
      </c>
      <c r="AA976" s="28">
        <v>42.88</v>
      </c>
      <c r="AB976" s="118">
        <v>222.79924978336717</v>
      </c>
      <c r="AC976" s="28">
        <v>86.842799999999997</v>
      </c>
      <c r="AD976" s="180">
        <v>451.22459629400595</v>
      </c>
      <c r="AE976" s="945"/>
      <c r="AF976" s="946"/>
      <c r="AG976" s="199">
        <v>272.60000000000002</v>
      </c>
      <c r="AH976" s="118">
        <v>2832.7927001374014</v>
      </c>
      <c r="AI976" s="180">
        <f t="shared" si="33"/>
        <v>2832.7927001374014</v>
      </c>
      <c r="AJ976" s="977"/>
      <c r="AK976" s="983"/>
      <c r="AL976" s="1007"/>
      <c r="AM976" s="440"/>
      <c r="AN976" s="108"/>
      <c r="AO976" s="89"/>
    </row>
    <row r="977" spans="1:42" s="69" customFormat="1">
      <c r="A977" s="66"/>
      <c r="B977" s="66"/>
      <c r="C977" s="67"/>
      <c r="D977" s="128"/>
      <c r="E977" s="128"/>
      <c r="F977" s="128"/>
      <c r="G977" s="59"/>
      <c r="H977" s="59"/>
      <c r="I977" s="59"/>
      <c r="J977" s="128"/>
      <c r="K977" s="128"/>
      <c r="L977" s="61"/>
      <c r="M977" s="60"/>
      <c r="N977" s="61"/>
      <c r="O977" s="61"/>
      <c r="P977" s="61"/>
      <c r="Q977" s="61"/>
      <c r="R977" s="160"/>
      <c r="S977" s="61"/>
      <c r="T977" s="160"/>
      <c r="U977" s="61"/>
      <c r="V977" s="61"/>
      <c r="W977" s="61"/>
      <c r="X977" s="151"/>
      <c r="Y977" s="60"/>
      <c r="Z977" s="151"/>
      <c r="AA977" s="60"/>
      <c r="AB977" s="60"/>
      <c r="AC977" s="60"/>
      <c r="AD977" s="60"/>
      <c r="AE977" s="60"/>
      <c r="AF977" s="60"/>
      <c r="AG977" s="60"/>
      <c r="AH977" s="151"/>
      <c r="AI977" s="151"/>
      <c r="AJ977" s="60"/>
      <c r="AM977" s="850"/>
      <c r="AN977" s="128"/>
      <c r="AO977" s="106"/>
    </row>
    <row r="978" spans="1:42" s="144" customFormat="1">
      <c r="A978" s="139"/>
      <c r="B978" s="139"/>
      <c r="C978" s="140"/>
      <c r="D978" s="141"/>
      <c r="E978" s="141"/>
      <c r="F978" s="141"/>
      <c r="G978" s="142"/>
      <c r="H978" s="142"/>
      <c r="I978" s="142"/>
      <c r="J978" s="141"/>
      <c r="K978" s="141"/>
      <c r="L978" s="143"/>
      <c r="M978" s="137"/>
      <c r="N978" s="143"/>
      <c r="O978" s="143"/>
      <c r="P978" s="143"/>
      <c r="Q978" s="143"/>
      <c r="R978" s="169"/>
      <c r="S978" s="143"/>
      <c r="T978" s="169"/>
      <c r="U978" s="143"/>
      <c r="V978" s="143"/>
      <c r="W978" s="143"/>
      <c r="X978" s="155"/>
      <c r="Y978" s="137"/>
      <c r="Z978" s="155"/>
      <c r="AA978" s="137"/>
      <c r="AB978" s="137"/>
      <c r="AC978" s="137"/>
      <c r="AD978" s="137"/>
      <c r="AE978" s="137"/>
      <c r="AF978" s="137"/>
      <c r="AG978" s="137"/>
      <c r="AH978" s="155"/>
      <c r="AI978" s="155"/>
      <c r="AJ978" s="137"/>
      <c r="AM978" s="851"/>
      <c r="AN978" s="141"/>
      <c r="AO978" s="145"/>
    </row>
    <row r="979" spans="1:42" s="69" customFormat="1" ht="13.5" thickBot="1">
      <c r="A979" s="66"/>
      <c r="B979" s="70"/>
      <c r="C979" s="71"/>
      <c r="D979" s="63"/>
      <c r="E979" s="63"/>
      <c r="F979" s="63"/>
      <c r="G979" s="62"/>
      <c r="H979" s="62"/>
      <c r="I979" s="62"/>
      <c r="J979" s="128"/>
      <c r="K979" s="128"/>
      <c r="L979" s="65"/>
      <c r="M979" s="64"/>
      <c r="N979" s="65"/>
      <c r="O979" s="65"/>
      <c r="P979" s="65"/>
      <c r="Q979" s="65"/>
      <c r="R979" s="168"/>
      <c r="S979" s="65"/>
      <c r="T979" s="168"/>
      <c r="U979" s="65"/>
      <c r="V979" s="65"/>
      <c r="W979" s="65"/>
      <c r="X979" s="152"/>
      <c r="Y979" s="64"/>
      <c r="Z979" s="152"/>
      <c r="AA979" s="64"/>
      <c r="AB979" s="64"/>
      <c r="AC979" s="64"/>
      <c r="AD979" s="64"/>
      <c r="AE979" s="64"/>
      <c r="AF979" s="64"/>
      <c r="AG979" s="64"/>
      <c r="AH979" s="152"/>
      <c r="AI979" s="152"/>
      <c r="AJ979" s="60"/>
      <c r="AM979" s="850"/>
      <c r="AN979" s="128"/>
      <c r="AO979" s="106"/>
    </row>
    <row r="980" spans="1:42" s="69" customFormat="1" ht="12.75" customHeight="1">
      <c r="A980" s="997" t="s">
        <v>693</v>
      </c>
      <c r="B980" s="589">
        <v>12427</v>
      </c>
      <c r="C980" s="525">
        <v>34962</v>
      </c>
      <c r="D980" s="223" t="s">
        <v>695</v>
      </c>
      <c r="E980" s="223" t="s">
        <v>694</v>
      </c>
      <c r="F980" s="843" t="s">
        <v>0</v>
      </c>
      <c r="G980" s="244">
        <v>238.57373440939105</v>
      </c>
      <c r="H980" s="244">
        <v>238.57373440939105</v>
      </c>
      <c r="I980" s="845">
        <v>238.57373440939105</v>
      </c>
      <c r="J980" s="1000" t="s">
        <v>697</v>
      </c>
      <c r="K980" s="1000" t="s">
        <v>698</v>
      </c>
      <c r="L980" s="209">
        <v>100.38685840058695</v>
      </c>
      <c r="M980" s="209">
        <v>131.84739545121056</v>
      </c>
      <c r="N980" s="255"/>
      <c r="O980" s="255"/>
      <c r="P980" s="255"/>
      <c r="Q980" s="255"/>
      <c r="R980" s="258"/>
      <c r="S980" s="120"/>
      <c r="T980" s="117">
        <v>0</v>
      </c>
      <c r="U980" s="117">
        <v>0</v>
      </c>
      <c r="V980" s="117">
        <v>0</v>
      </c>
      <c r="W980" s="120">
        <v>3.1014585473220841</v>
      </c>
      <c r="X980" s="117">
        <v>202.6019647594461</v>
      </c>
      <c r="Y980" s="120">
        <v>1.9386647101980925</v>
      </c>
      <c r="Z980" s="117">
        <v>126.64276284945828</v>
      </c>
      <c r="AA980" s="252"/>
      <c r="AB980" s="252"/>
      <c r="AC980" s="846">
        <v>-12.41907556859868</v>
      </c>
      <c r="AD980" s="847">
        <v>-415.4528257999807</v>
      </c>
      <c r="AE980" s="941" t="s">
        <v>19</v>
      </c>
      <c r="AF980" s="942"/>
      <c r="AG980" s="848">
        <v>-31.460537050623625</v>
      </c>
      <c r="AH980" s="849">
        <v>-1052.4429895502603</v>
      </c>
      <c r="AI980" s="847">
        <f t="shared" ref="AI980:AI992" si="35">AH980</f>
        <v>-1052.4429895502603</v>
      </c>
      <c r="AJ980" s="975">
        <v>46246</v>
      </c>
      <c r="AK980" s="994">
        <f>SUM(AI980:AI992)</f>
        <v>3232991.6040074434</v>
      </c>
      <c r="AM980" s="151"/>
      <c r="AN980" s="90"/>
      <c r="AO980" s="128"/>
      <c r="AP980" s="106"/>
    </row>
    <row r="981" spans="1:42" s="69" customFormat="1" ht="15" customHeight="1">
      <c r="A981" s="998"/>
      <c r="B981" s="589"/>
      <c r="C981" s="525"/>
      <c r="D981" s="223" t="s">
        <v>809</v>
      </c>
      <c r="E981" s="225" t="s">
        <v>64</v>
      </c>
      <c r="F981" s="607" t="s">
        <v>64</v>
      </c>
      <c r="G981" s="244">
        <v>79.524578136463688</v>
      </c>
      <c r="H981" s="225" t="s">
        <v>64</v>
      </c>
      <c r="I981" s="639" t="s">
        <v>64</v>
      </c>
      <c r="J981" s="1001"/>
      <c r="K981" s="1001"/>
      <c r="L981" s="211">
        <v>63.56566397652238</v>
      </c>
      <c r="M981" s="320" t="s">
        <v>64</v>
      </c>
      <c r="N981" s="256"/>
      <c r="O981" s="256"/>
      <c r="P981" s="256"/>
      <c r="Q981" s="256"/>
      <c r="R981" s="537"/>
      <c r="S981" s="7">
        <v>63.56566397652238</v>
      </c>
      <c r="T981" s="157">
        <v>4152.4102986970402</v>
      </c>
      <c r="U981" s="607" t="s">
        <v>64</v>
      </c>
      <c r="V981" s="7"/>
      <c r="W981" s="7">
        <v>0</v>
      </c>
      <c r="X981" s="157">
        <v>0</v>
      </c>
      <c r="Y981" s="7">
        <v>5.5994130594277332</v>
      </c>
      <c r="Z981" s="157">
        <v>365.78018697663646</v>
      </c>
      <c r="AA981" s="253"/>
      <c r="AB981" s="253"/>
      <c r="AC981" s="7">
        <v>17.942773294203963</v>
      </c>
      <c r="AD981" s="176">
        <v>1172.1069513496648</v>
      </c>
      <c r="AE981" s="943"/>
      <c r="AF981" s="944"/>
      <c r="AG981" s="192">
        <v>63.56566397652238</v>
      </c>
      <c r="AH981" s="157">
        <v>8304.8205973940803</v>
      </c>
      <c r="AI981" s="176">
        <f t="shared" si="35"/>
        <v>8304.8205973940803</v>
      </c>
      <c r="AJ981" s="1003"/>
      <c r="AK981" s="995"/>
      <c r="AM981" s="151"/>
      <c r="AN981" s="90"/>
      <c r="AO981" s="128"/>
      <c r="AP981" s="106"/>
    </row>
    <row r="982" spans="1:42" s="69" customFormat="1" ht="15" customHeight="1">
      <c r="A982" s="998"/>
      <c r="B982" s="589"/>
      <c r="C982" s="525"/>
      <c r="D982" s="223" t="s">
        <v>810</v>
      </c>
      <c r="E982" s="225" t="s">
        <v>64</v>
      </c>
      <c r="F982" s="607" t="s">
        <v>64</v>
      </c>
      <c r="G982" s="244">
        <v>2934.70286133529</v>
      </c>
      <c r="H982" s="225" t="s">
        <v>64</v>
      </c>
      <c r="I982" s="639" t="s">
        <v>64</v>
      </c>
      <c r="J982" s="1001"/>
      <c r="K982" s="1001"/>
      <c r="L982" s="211">
        <v>134.46808510638297</v>
      </c>
      <c r="M982" s="320" t="s">
        <v>64</v>
      </c>
      <c r="N982" s="256"/>
      <c r="O982" s="256"/>
      <c r="P982" s="256"/>
      <c r="Q982" s="256"/>
      <c r="R982" s="537"/>
      <c r="S982" s="7">
        <v>134.46808510638297</v>
      </c>
      <c r="T982" s="157">
        <v>8784.092330854035</v>
      </c>
      <c r="U982" s="607" t="s">
        <v>64</v>
      </c>
      <c r="V982" s="7"/>
      <c r="W982" s="7">
        <v>38.151137197358771</v>
      </c>
      <c r="X982" s="157">
        <v>2492.2130139917617</v>
      </c>
      <c r="Y982" s="7">
        <v>10.247982391782831</v>
      </c>
      <c r="Z982" s="157">
        <v>669.44675729686401</v>
      </c>
      <c r="AA982" s="253"/>
      <c r="AB982" s="253"/>
      <c r="AC982" s="7">
        <v>27.768158473954511</v>
      </c>
      <c r="AD982" s="176">
        <v>1813.9476567992353</v>
      </c>
      <c r="AE982" s="943"/>
      <c r="AF982" s="944"/>
      <c r="AG982" s="192">
        <v>134.46808510638297</v>
      </c>
      <c r="AH982" s="157">
        <v>17568.18466170807</v>
      </c>
      <c r="AI982" s="176">
        <f t="shared" si="35"/>
        <v>17568.18466170807</v>
      </c>
      <c r="AJ982" s="1003"/>
      <c r="AK982" s="995"/>
      <c r="AM982" s="151"/>
      <c r="AN982" s="90"/>
      <c r="AO982" s="128"/>
      <c r="AP982" s="106"/>
    </row>
    <row r="983" spans="1:42" s="69" customFormat="1" ht="15" customHeight="1">
      <c r="A983" s="998"/>
      <c r="B983" s="589"/>
      <c r="C983" s="525"/>
      <c r="D983" s="223" t="s">
        <v>811</v>
      </c>
      <c r="E983" s="225" t="s">
        <v>64</v>
      </c>
      <c r="F983" s="607" t="s">
        <v>64</v>
      </c>
      <c r="G983" s="244">
        <v>293.47028613352899</v>
      </c>
      <c r="H983" s="225" t="s">
        <v>64</v>
      </c>
      <c r="I983" s="639" t="s">
        <v>64</v>
      </c>
      <c r="J983" s="1001"/>
      <c r="K983" s="1001"/>
      <c r="L983" s="211">
        <v>63.56566397652238</v>
      </c>
      <c r="M983" s="320" t="s">
        <v>64</v>
      </c>
      <c r="N983" s="256"/>
      <c r="O983" s="256"/>
      <c r="P983" s="256"/>
      <c r="Q983" s="256"/>
      <c r="R983" s="537"/>
      <c r="S983" s="7">
        <v>63.56566397652238</v>
      </c>
      <c r="T983" s="157">
        <v>4152.4102986970402</v>
      </c>
      <c r="U983" s="607" t="s">
        <v>64</v>
      </c>
      <c r="V983" s="7"/>
      <c r="W983" s="7">
        <v>0</v>
      </c>
      <c r="X983" s="157">
        <v>0</v>
      </c>
      <c r="Y983" s="7">
        <v>5.5994130594277332</v>
      </c>
      <c r="Z983" s="157">
        <v>365.78018697663646</v>
      </c>
      <c r="AA983" s="253"/>
      <c r="AB983" s="253"/>
      <c r="AC983" s="7">
        <v>17.942773294203963</v>
      </c>
      <c r="AD983" s="176">
        <v>1172.1069513496648</v>
      </c>
      <c r="AE983" s="943"/>
      <c r="AF983" s="944"/>
      <c r="AG983" s="192">
        <v>63.56566397652238</v>
      </c>
      <c r="AH983" s="157">
        <v>8304.8205973940803</v>
      </c>
      <c r="AI983" s="176">
        <f t="shared" si="35"/>
        <v>8304.8205973940803</v>
      </c>
      <c r="AJ983" s="1003"/>
      <c r="AK983" s="995"/>
      <c r="AM983" s="151"/>
      <c r="AN983" s="90"/>
      <c r="AO983" s="128"/>
      <c r="AP983" s="106"/>
    </row>
    <row r="984" spans="1:42" s="69" customFormat="1" ht="15" customHeight="1">
      <c r="A984" s="998"/>
      <c r="B984" s="589"/>
      <c r="C984" s="525"/>
      <c r="D984" s="223" t="s">
        <v>812</v>
      </c>
      <c r="E984" s="225" t="s">
        <v>64</v>
      </c>
      <c r="F984" s="607" t="s">
        <v>64</v>
      </c>
      <c r="G984" s="707">
        <v>978.23330887747613</v>
      </c>
      <c r="H984" s="225" t="s">
        <v>64</v>
      </c>
      <c r="I984" s="639" t="s">
        <v>64</v>
      </c>
      <c r="J984" s="1001"/>
      <c r="K984" s="1001"/>
      <c r="L984" s="211">
        <v>82.445561261922236</v>
      </c>
      <c r="M984" s="320" t="s">
        <v>64</v>
      </c>
      <c r="N984" s="256"/>
      <c r="O984" s="256"/>
      <c r="P984" s="256"/>
      <c r="Q984" s="256"/>
      <c r="R984" s="537"/>
      <c r="S984" s="7">
        <v>82.445561261922236</v>
      </c>
      <c r="T984" s="157">
        <v>5385.7346285615567</v>
      </c>
      <c r="U984" s="607" t="s">
        <v>64</v>
      </c>
      <c r="V984" s="7"/>
      <c r="W984" s="7">
        <v>12.717033015407193</v>
      </c>
      <c r="X984" s="157">
        <v>830.73684059291486</v>
      </c>
      <c r="Y984" s="7">
        <v>5.9046203961848871</v>
      </c>
      <c r="Z984" s="157">
        <v>385.71777606335502</v>
      </c>
      <c r="AA984" s="253"/>
      <c r="AB984" s="253"/>
      <c r="AC984" s="7">
        <v>20.038147615553925</v>
      </c>
      <c r="AD984" s="176">
        <v>1308.9867283753929</v>
      </c>
      <c r="AE984" s="943"/>
      <c r="AF984" s="944"/>
      <c r="AG984" s="192">
        <v>82.445561261922236</v>
      </c>
      <c r="AH984" s="157">
        <v>10771.469257123113</v>
      </c>
      <c r="AI984" s="176">
        <f t="shared" si="35"/>
        <v>10771.469257123113</v>
      </c>
      <c r="AJ984" s="1003"/>
      <c r="AK984" s="995"/>
      <c r="AM984" s="151"/>
      <c r="AN984" s="90"/>
      <c r="AO984" s="128"/>
      <c r="AP984" s="106"/>
    </row>
    <row r="985" spans="1:42" s="69" customFormat="1" ht="15" customHeight="1">
      <c r="A985" s="998"/>
      <c r="B985" s="589"/>
      <c r="C985" s="525"/>
      <c r="D985" s="223" t="s">
        <v>813</v>
      </c>
      <c r="E985" s="225" t="s">
        <v>64</v>
      </c>
      <c r="F985" s="607" t="s">
        <v>64</v>
      </c>
      <c r="G985" s="244">
        <v>880410.85840058699</v>
      </c>
      <c r="H985" s="225" t="s">
        <v>64</v>
      </c>
      <c r="I985" s="639" t="s">
        <v>64</v>
      </c>
      <c r="J985" s="1001"/>
      <c r="K985" s="1001"/>
      <c r="L985" s="211">
        <v>22068.261188554658</v>
      </c>
      <c r="M985" s="320" t="s">
        <v>64</v>
      </c>
      <c r="N985" s="256"/>
      <c r="O985" s="256"/>
      <c r="P985" s="256"/>
      <c r="Q985" s="256"/>
      <c r="R985" s="537"/>
      <c r="S985" s="7">
        <v>22068.261188554658</v>
      </c>
      <c r="T985" s="157">
        <v>1441603.3641611286</v>
      </c>
      <c r="U985" s="607" t="s">
        <v>64</v>
      </c>
      <c r="V985" s="7"/>
      <c r="W985" s="7">
        <v>11445.341159207632</v>
      </c>
      <c r="X985" s="157">
        <v>747663.90419752803</v>
      </c>
      <c r="Y985" s="7">
        <v>1588.8833455612619</v>
      </c>
      <c r="Z985" s="157">
        <v>103793.38710240816</v>
      </c>
      <c r="AA985" s="253"/>
      <c r="AB985" s="253"/>
      <c r="AC985" s="7">
        <v>3185.9955979457081</v>
      </c>
      <c r="AD985" s="176">
        <v>208124.32538106557</v>
      </c>
      <c r="AE985" s="943"/>
      <c r="AF985" s="944"/>
      <c r="AG985" s="192">
        <v>22068.261188554658</v>
      </c>
      <c r="AH985" s="157">
        <v>2883206.7283222573</v>
      </c>
      <c r="AI985" s="176">
        <f t="shared" si="35"/>
        <v>2883206.7283222573</v>
      </c>
      <c r="AJ985" s="1003"/>
      <c r="AK985" s="995"/>
      <c r="AM985" s="151">
        <v>3232992</v>
      </c>
      <c r="AN985" s="107" t="s">
        <v>77</v>
      </c>
      <c r="AO985" s="128"/>
      <c r="AP985" s="106"/>
    </row>
    <row r="986" spans="1:42" s="69" customFormat="1" ht="15" customHeight="1">
      <c r="A986" s="998"/>
      <c r="B986" s="589"/>
      <c r="C986" s="525"/>
      <c r="D986" s="223" t="s">
        <v>814</v>
      </c>
      <c r="E986" s="250" t="s">
        <v>88</v>
      </c>
      <c r="F986" s="250" t="s">
        <v>696</v>
      </c>
      <c r="G986" s="244">
        <v>1760.8217168011738</v>
      </c>
      <c r="H986" s="244">
        <v>1760.8217168011738</v>
      </c>
      <c r="I986" s="845">
        <v>1760.8217168011738</v>
      </c>
      <c r="J986" s="1001"/>
      <c r="K986" s="1001"/>
      <c r="L986" s="211">
        <v>102.01027146001468</v>
      </c>
      <c r="M986" s="211">
        <v>47.57</v>
      </c>
      <c r="N986" s="256"/>
      <c r="O986" s="256"/>
      <c r="P986" s="256"/>
      <c r="Q986" s="256"/>
      <c r="R986" s="537"/>
      <c r="S986" s="7">
        <v>54.438738077769628</v>
      </c>
      <c r="T986" s="157">
        <v>3556.1962622728643</v>
      </c>
      <c r="U986" s="157"/>
      <c r="V986" s="157"/>
      <c r="W986" s="7">
        <v>0</v>
      </c>
      <c r="X986" s="157">
        <v>0</v>
      </c>
      <c r="Y986" s="7">
        <v>7.3132795304475424</v>
      </c>
      <c r="Z986" s="157">
        <v>477.73806391288286</v>
      </c>
      <c r="AA986" s="253"/>
      <c r="AB986" s="253"/>
      <c r="AC986" s="7">
        <v>15.451210564930301</v>
      </c>
      <c r="AD986" s="176">
        <v>1009.3462706666637</v>
      </c>
      <c r="AE986" s="943"/>
      <c r="AF986" s="944"/>
      <c r="AG986" s="192">
        <v>54.438738077769628</v>
      </c>
      <c r="AH986" s="157">
        <v>7112.3925245457285</v>
      </c>
      <c r="AI986" s="176">
        <f t="shared" si="35"/>
        <v>7112.3925245457285</v>
      </c>
      <c r="AJ986" s="1003"/>
      <c r="AK986" s="995"/>
      <c r="AM986" s="151"/>
      <c r="AN986" s="90"/>
      <c r="AO986" s="128"/>
      <c r="AP986" s="106"/>
    </row>
    <row r="987" spans="1:42" s="69" customFormat="1" ht="15" customHeight="1">
      <c r="A987" s="998"/>
      <c r="B987" s="589"/>
      <c r="C987" s="525"/>
      <c r="D987" s="223" t="s">
        <v>815</v>
      </c>
      <c r="E987" s="225" t="s">
        <v>64</v>
      </c>
      <c r="F987" s="607" t="s">
        <v>64</v>
      </c>
      <c r="G987" s="244">
        <v>44020.542920029344</v>
      </c>
      <c r="H987" s="225" t="s">
        <v>64</v>
      </c>
      <c r="I987" s="639" t="s">
        <v>64</v>
      </c>
      <c r="J987" s="1001"/>
      <c r="K987" s="1001"/>
      <c r="L987" s="211">
        <v>584.47542186353633</v>
      </c>
      <c r="M987" s="320" t="s">
        <v>64</v>
      </c>
      <c r="N987" s="256"/>
      <c r="O987" s="256"/>
      <c r="P987" s="256"/>
      <c r="Q987" s="256"/>
      <c r="R987" s="537"/>
      <c r="S987" s="7">
        <v>584.47542186353633</v>
      </c>
      <c r="T987" s="157">
        <v>38180.703374353812</v>
      </c>
      <c r="U987" s="607" t="s">
        <v>64</v>
      </c>
      <c r="V987" s="7"/>
      <c r="W987" s="7">
        <v>0</v>
      </c>
      <c r="X987" s="157">
        <v>0</v>
      </c>
      <c r="Y987" s="7">
        <v>83.380777696258249</v>
      </c>
      <c r="Z987" s="157">
        <v>5446.8273964256978</v>
      </c>
      <c r="AA987" s="253"/>
      <c r="AB987" s="253"/>
      <c r="AC987" s="7">
        <v>174.46221570066029</v>
      </c>
      <c r="AD987" s="176">
        <v>11396.698404290933</v>
      </c>
      <c r="AE987" s="943"/>
      <c r="AF987" s="944"/>
      <c r="AG987" s="192">
        <v>584.47542186353633</v>
      </c>
      <c r="AH987" s="157">
        <v>76361.406748707625</v>
      </c>
      <c r="AI987" s="176">
        <f t="shared" si="35"/>
        <v>76361.406748707625</v>
      </c>
      <c r="AJ987" s="1003"/>
      <c r="AK987" s="995"/>
      <c r="AM987" s="151"/>
      <c r="AN987" s="90"/>
      <c r="AO987" s="128"/>
      <c r="AP987" s="106"/>
    </row>
    <row r="988" spans="1:42" s="69" customFormat="1" ht="15" customHeight="1">
      <c r="A988" s="998"/>
      <c r="B988" s="589"/>
      <c r="C988" s="525"/>
      <c r="D988" s="223" t="s">
        <v>816</v>
      </c>
      <c r="E988" s="225" t="s">
        <v>64</v>
      </c>
      <c r="F988" s="607" t="s">
        <v>64</v>
      </c>
      <c r="G988" s="244">
        <v>44020.542920029344</v>
      </c>
      <c r="H988" s="225" t="s">
        <v>64</v>
      </c>
      <c r="I988" s="639" t="s">
        <v>64</v>
      </c>
      <c r="J988" s="1001"/>
      <c r="K988" s="1001"/>
      <c r="L988" s="211">
        <v>1158.5033015407189</v>
      </c>
      <c r="M988" s="320" t="s">
        <v>64</v>
      </c>
      <c r="N988" s="256"/>
      <c r="O988" s="256"/>
      <c r="P988" s="256"/>
      <c r="Q988" s="256"/>
      <c r="R988" s="537"/>
      <c r="S988" s="7">
        <v>1158.5033015407189</v>
      </c>
      <c r="T988" s="157">
        <v>75678.923800260643</v>
      </c>
      <c r="U988" s="607" t="s">
        <v>64</v>
      </c>
      <c r="V988" s="7"/>
      <c r="W988" s="7">
        <v>572.26705796038163</v>
      </c>
      <c r="X988" s="157">
        <v>37383.195209876445</v>
      </c>
      <c r="Y988" s="7">
        <v>83.380777696258249</v>
      </c>
      <c r="Z988" s="157">
        <v>5446.8273964256978</v>
      </c>
      <c r="AA988" s="253"/>
      <c r="AB988" s="253"/>
      <c r="AC988" s="7">
        <v>174.99046221570066</v>
      </c>
      <c r="AD988" s="176">
        <v>11431.205969100047</v>
      </c>
      <c r="AE988" s="943"/>
      <c r="AF988" s="944"/>
      <c r="AG988" s="192">
        <v>1158.5033015407189</v>
      </c>
      <c r="AH988" s="157">
        <v>151357.84760052129</v>
      </c>
      <c r="AI988" s="176">
        <f t="shared" si="35"/>
        <v>151357.84760052129</v>
      </c>
      <c r="AJ988" s="1003"/>
      <c r="AK988" s="995"/>
      <c r="AM988" s="151"/>
      <c r="AN988" s="90"/>
      <c r="AO988" s="128"/>
      <c r="AP988" s="106"/>
    </row>
    <row r="989" spans="1:42" s="69" customFormat="1" ht="15" customHeight="1">
      <c r="A989" s="998"/>
      <c r="B989" s="589"/>
      <c r="C989" s="525"/>
      <c r="D989" s="223" t="s">
        <v>820</v>
      </c>
      <c r="E989" s="225" t="s">
        <v>64</v>
      </c>
      <c r="F989" s="607" t="s">
        <v>64</v>
      </c>
      <c r="G989" s="244">
        <v>17608.217168011739</v>
      </c>
      <c r="H989" s="225" t="s">
        <v>64</v>
      </c>
      <c r="I989" s="639" t="s">
        <v>64</v>
      </c>
      <c r="J989" s="1001"/>
      <c r="K989" s="1001"/>
      <c r="L989" s="211">
        <v>267.52751283932503</v>
      </c>
      <c r="M989" s="320" t="s">
        <v>64</v>
      </c>
      <c r="N989" s="256"/>
      <c r="O989" s="256"/>
      <c r="P989" s="256"/>
      <c r="Q989" s="256"/>
      <c r="R989" s="537"/>
      <c r="S989" s="7">
        <v>267.52751283932503</v>
      </c>
      <c r="T989" s="157">
        <v>17476.164488883755</v>
      </c>
      <c r="U989" s="607" t="s">
        <v>64</v>
      </c>
      <c r="V989" s="7"/>
      <c r="W989" s="7">
        <v>0</v>
      </c>
      <c r="X989" s="157">
        <v>0</v>
      </c>
      <c r="Y989" s="7">
        <v>35.838591342626557</v>
      </c>
      <c r="Z989" s="157">
        <v>2341.146563605183</v>
      </c>
      <c r="AA989" s="253"/>
      <c r="AB989" s="253"/>
      <c r="AC989" s="7">
        <v>79.377842993396925</v>
      </c>
      <c r="AD989" s="176">
        <v>5185.3367386499358</v>
      </c>
      <c r="AE989" s="943"/>
      <c r="AF989" s="944"/>
      <c r="AG989" s="192">
        <v>267.52751283932503</v>
      </c>
      <c r="AH989" s="157">
        <v>34952.328977767509</v>
      </c>
      <c r="AI989" s="176">
        <f t="shared" si="35"/>
        <v>34952.328977767509</v>
      </c>
      <c r="AJ989" s="1003"/>
      <c r="AK989" s="995"/>
      <c r="AM989" s="151"/>
      <c r="AN989" s="90"/>
      <c r="AO989" s="128"/>
      <c r="AP989" s="106"/>
    </row>
    <row r="990" spans="1:42" s="69" customFormat="1" ht="15" customHeight="1">
      <c r="A990" s="998"/>
      <c r="B990" s="589"/>
      <c r="C990" s="525"/>
      <c r="D990" s="223" t="s">
        <v>821</v>
      </c>
      <c r="E990" s="225" t="s">
        <v>64</v>
      </c>
      <c r="F990" s="607" t="s">
        <v>64</v>
      </c>
      <c r="G990" s="244">
        <v>24.944974321349964</v>
      </c>
      <c r="H990" s="225" t="s">
        <v>64</v>
      </c>
      <c r="I990" s="639" t="s">
        <v>64</v>
      </c>
      <c r="J990" s="1001"/>
      <c r="K990" s="1001"/>
      <c r="L990" s="211">
        <v>62.539985326485692</v>
      </c>
      <c r="M990" s="320" t="s">
        <v>64</v>
      </c>
      <c r="N990" s="256"/>
      <c r="O990" s="256"/>
      <c r="P990" s="256"/>
      <c r="Q990" s="256"/>
      <c r="R990" s="537"/>
      <c r="S990" s="7">
        <v>62.539985326485692</v>
      </c>
      <c r="T990" s="157">
        <v>4085.4081103593339</v>
      </c>
      <c r="U990" s="607" t="s">
        <v>64</v>
      </c>
      <c r="V990" s="7"/>
      <c r="W990" s="7">
        <v>0.32428466617754959</v>
      </c>
      <c r="X990" s="157">
        <v>21.183810618929957</v>
      </c>
      <c r="Y990" s="7">
        <v>4.7776962582538518</v>
      </c>
      <c r="Z990" s="157">
        <v>312.10175282912161</v>
      </c>
      <c r="AA990" s="253"/>
      <c r="AB990" s="253"/>
      <c r="AC990" s="7">
        <v>17.784299339691856</v>
      </c>
      <c r="AD990" s="176">
        <v>1161.7546819069278</v>
      </c>
      <c r="AE990" s="943"/>
      <c r="AF990" s="944"/>
      <c r="AG990" s="192">
        <v>62.539985326485692</v>
      </c>
      <c r="AH990" s="157">
        <v>8170.8162207186679</v>
      </c>
      <c r="AI990" s="176">
        <f t="shared" si="35"/>
        <v>8170.8162207186679</v>
      </c>
      <c r="AJ990" s="1003"/>
      <c r="AK990" s="995"/>
      <c r="AM990" s="151"/>
      <c r="AN990" s="90"/>
      <c r="AO990" s="128"/>
      <c r="AP990" s="106"/>
    </row>
    <row r="991" spans="1:42" s="69" customFormat="1" ht="15" customHeight="1">
      <c r="A991" s="998"/>
      <c r="B991" s="589"/>
      <c r="C991" s="525"/>
      <c r="D991" s="223" t="s">
        <v>822</v>
      </c>
      <c r="E991" s="225" t="s">
        <v>64</v>
      </c>
      <c r="F991" s="607" t="s">
        <v>64</v>
      </c>
      <c r="G991" s="707">
        <v>652.15553925165079</v>
      </c>
      <c r="H991" s="225" t="s">
        <v>64</v>
      </c>
      <c r="I991" s="771" t="s">
        <v>50</v>
      </c>
      <c r="J991" s="1001"/>
      <c r="K991" s="1001"/>
      <c r="L991" s="211">
        <v>74.293617021276589</v>
      </c>
      <c r="M991" s="320" t="s">
        <v>64</v>
      </c>
      <c r="N991" s="256"/>
      <c r="O991" s="256"/>
      <c r="P991" s="256"/>
      <c r="Q991" s="256"/>
      <c r="R991" s="537"/>
      <c r="S991" s="7">
        <v>74.293617021276589</v>
      </c>
      <c r="T991" s="157">
        <v>4853.2110127968544</v>
      </c>
      <c r="U991" s="607" t="s">
        <v>64</v>
      </c>
      <c r="V991" s="7"/>
      <c r="W991" s="7">
        <v>8.4780220102714612</v>
      </c>
      <c r="X991" s="157">
        <v>553.82456039527654</v>
      </c>
      <c r="Y991" s="7">
        <v>5.3176804108583999</v>
      </c>
      <c r="Z991" s="157">
        <v>347.37607572829751</v>
      </c>
      <c r="AA991" s="253"/>
      <c r="AB991" s="253"/>
      <c r="AC991" s="7">
        <v>18.864267644900956</v>
      </c>
      <c r="AD991" s="176">
        <v>1232.3033277052778</v>
      </c>
      <c r="AE991" s="943"/>
      <c r="AF991" s="944"/>
      <c r="AG991" s="192">
        <v>74.293617021276589</v>
      </c>
      <c r="AH991" s="157">
        <v>9706.4220255937089</v>
      </c>
      <c r="AI991" s="176">
        <f t="shared" si="35"/>
        <v>9706.4220255937089</v>
      </c>
      <c r="AJ991" s="1003"/>
      <c r="AK991" s="995"/>
      <c r="AM991" s="151"/>
      <c r="AN991" s="90"/>
      <c r="AO991" s="128"/>
      <c r="AP991" s="106"/>
    </row>
    <row r="992" spans="1:42" s="69" customFormat="1" ht="15.75" customHeight="1" thickBot="1">
      <c r="A992" s="999"/>
      <c r="B992" s="593"/>
      <c r="C992" s="527"/>
      <c r="D992" s="224" t="s">
        <v>823</v>
      </c>
      <c r="E992" s="226" t="s">
        <v>64</v>
      </c>
      <c r="F992" s="229" t="s">
        <v>64</v>
      </c>
      <c r="G992" s="844">
        <v>3260.7806309611151</v>
      </c>
      <c r="H992" s="226" t="s">
        <v>64</v>
      </c>
      <c r="I992" s="641" t="s">
        <v>64</v>
      </c>
      <c r="J992" s="1002"/>
      <c r="K992" s="1002"/>
      <c r="L992" s="547">
        <v>139.50924431401322</v>
      </c>
      <c r="M992" s="226" t="s">
        <v>64</v>
      </c>
      <c r="N992" s="257"/>
      <c r="O992" s="257"/>
      <c r="P992" s="257"/>
      <c r="Q992" s="257"/>
      <c r="R992" s="259"/>
      <c r="S992" s="28">
        <v>139.50924431401322</v>
      </c>
      <c r="T992" s="118">
        <v>9113.4047316316919</v>
      </c>
      <c r="U992" s="229" t="s">
        <v>64</v>
      </c>
      <c r="V992" s="28"/>
      <c r="W992" s="28">
        <v>42.390148202494501</v>
      </c>
      <c r="X992" s="118">
        <v>2769.1252941894008</v>
      </c>
      <c r="Y992" s="28">
        <v>10.013205575935437</v>
      </c>
      <c r="Z992" s="118">
        <v>654.11002348440604</v>
      </c>
      <c r="AA992" s="254"/>
      <c r="AB992" s="254"/>
      <c r="AC992" s="28">
        <v>28.255317975055029</v>
      </c>
      <c r="AD992" s="180">
        <v>1845.7712232174986</v>
      </c>
      <c r="AE992" s="945"/>
      <c r="AF992" s="946"/>
      <c r="AG992" s="193">
        <v>139.50924431401322</v>
      </c>
      <c r="AH992" s="118">
        <v>18226.809463263384</v>
      </c>
      <c r="AI992" s="180">
        <f t="shared" si="35"/>
        <v>18226.809463263384</v>
      </c>
      <c r="AJ992" s="1004"/>
      <c r="AK992" s="996"/>
      <c r="AM992" s="151"/>
      <c r="AN992" s="107"/>
      <c r="AO992" s="128"/>
      <c r="AP992" s="106"/>
    </row>
    <row r="993" spans="1:42" s="10" customFormat="1" ht="15" customHeight="1">
      <c r="A993" s="1041" t="s">
        <v>42</v>
      </c>
      <c r="B993" s="232" t="s">
        <v>151</v>
      </c>
      <c r="C993" s="912" t="s">
        <v>151</v>
      </c>
      <c r="D993" s="222" t="s">
        <v>727</v>
      </c>
      <c r="E993" s="240" t="s">
        <v>0</v>
      </c>
      <c r="F993" s="222" t="s">
        <v>0</v>
      </c>
      <c r="G993" s="430">
        <f>3*10*20.4305</f>
        <v>612.91499999999996</v>
      </c>
      <c r="H993" s="430">
        <v>612</v>
      </c>
      <c r="I993" s="640">
        <v>612</v>
      </c>
      <c r="J993" s="984" t="s">
        <v>742</v>
      </c>
      <c r="K993" s="1001" t="s">
        <v>746</v>
      </c>
      <c r="L993" s="209">
        <v>272.44695499999995</v>
      </c>
      <c r="M993" s="209">
        <v>287.60000000000002</v>
      </c>
      <c r="N993" s="115"/>
      <c r="O993" s="115"/>
      <c r="P993" s="115"/>
      <c r="Q993" s="115"/>
      <c r="R993" s="174"/>
      <c r="S993" s="676"/>
      <c r="T993" s="117"/>
      <c r="U993" s="120">
        <v>7.95</v>
      </c>
      <c r="V993" s="120"/>
      <c r="W993" s="120">
        <v>7.8950000000004295E-3</v>
      </c>
      <c r="X993" s="117">
        <v>0.10775347174307534</v>
      </c>
      <c r="Y993" s="120">
        <v>31.477858999999999</v>
      </c>
      <c r="Z993" s="117">
        <v>429.64905515792714</v>
      </c>
      <c r="AA993" s="115"/>
      <c r="AB993" s="174"/>
      <c r="AC993" s="846">
        <v>-10.664376000000031</v>
      </c>
      <c r="AD993" s="847">
        <v>-73.381617292260373</v>
      </c>
      <c r="AE993" s="941" t="s">
        <v>19</v>
      </c>
      <c r="AF993" s="942"/>
      <c r="AG993" s="892">
        <v>-15.153045000000077</v>
      </c>
      <c r="AH993" s="748">
        <v>-104.26816805806567</v>
      </c>
      <c r="AI993" s="893">
        <f t="shared" ref="AI993:AI1012" si="36">AH993</f>
        <v>-104.26816805806567</v>
      </c>
      <c r="AJ993" s="975">
        <v>46250</v>
      </c>
      <c r="AK993" s="978">
        <f>SUM(AI993:AI1005)</f>
        <v>73838.768677884247</v>
      </c>
      <c r="AL993" s="1333">
        <f>AK993+AK1006+AK1041+AK1053+AK1065+AK1099+AK1110</f>
        <v>376665.54131909879</v>
      </c>
      <c r="AM993" s="440"/>
      <c r="AN993" s="107"/>
      <c r="AO993" s="86"/>
      <c r="AP993" s="104"/>
    </row>
    <row r="994" spans="1:42" s="10" customFormat="1" ht="15" customHeight="1">
      <c r="A994" s="1042"/>
      <c r="B994" s="821"/>
      <c r="C994" s="525"/>
      <c r="D994" s="223" t="s">
        <v>809</v>
      </c>
      <c r="E994" s="320" t="s">
        <v>64</v>
      </c>
      <c r="F994" s="607" t="s">
        <v>64</v>
      </c>
      <c r="G994" s="430">
        <f>10*20.43</f>
        <v>204.3</v>
      </c>
      <c r="H994" s="320" t="s">
        <v>64</v>
      </c>
      <c r="I994" s="639" t="s">
        <v>64</v>
      </c>
      <c r="J994" s="984"/>
      <c r="K994" s="1001"/>
      <c r="L994" s="211">
        <v>30.37</v>
      </c>
      <c r="M994" s="320" t="s">
        <v>64</v>
      </c>
      <c r="N994" s="188"/>
      <c r="O994" s="188"/>
      <c r="P994" s="188"/>
      <c r="Q994" s="188"/>
      <c r="R994" s="214"/>
      <c r="S994" s="676">
        <v>30.37</v>
      </c>
      <c r="T994" s="157">
        <v>414.4994220186224</v>
      </c>
      <c r="U994" s="607" t="s">
        <v>64</v>
      </c>
      <c r="V994" s="7"/>
      <c r="W994" s="7">
        <v>0</v>
      </c>
      <c r="X994" s="157">
        <v>0</v>
      </c>
      <c r="Y994" s="7">
        <v>4.3223000000000003</v>
      </c>
      <c r="Z994" s="157">
        <v>58.992125511725092</v>
      </c>
      <c r="AA994" s="188"/>
      <c r="AB994" s="214"/>
      <c r="AC994" s="7">
        <v>10.548000000000002</v>
      </c>
      <c r="AD994" s="176">
        <v>143.9624597778209</v>
      </c>
      <c r="AE994" s="943"/>
      <c r="AF994" s="944"/>
      <c r="AG994" s="211">
        <v>30.37</v>
      </c>
      <c r="AH994" s="157">
        <v>828.99884403724479</v>
      </c>
      <c r="AI994" s="176">
        <f t="shared" si="36"/>
        <v>828.99884403724479</v>
      </c>
      <c r="AJ994" s="976"/>
      <c r="AK994" s="979"/>
      <c r="AL994" s="1334"/>
      <c r="AM994" s="440"/>
      <c r="AN994" s="107"/>
      <c r="AO994" s="86"/>
      <c r="AP994" s="104"/>
    </row>
    <row r="995" spans="1:42" s="10" customFormat="1" ht="15" customHeight="1">
      <c r="A995" s="1042"/>
      <c r="B995" s="821"/>
      <c r="C995" s="525"/>
      <c r="D995" s="223" t="s">
        <v>810</v>
      </c>
      <c r="E995" s="320" t="s">
        <v>64</v>
      </c>
      <c r="F995" s="607" t="s">
        <v>64</v>
      </c>
      <c r="G995" s="426">
        <f>G1000/15*3*10%</f>
        <v>300</v>
      </c>
      <c r="H995" s="320" t="s">
        <v>64</v>
      </c>
      <c r="I995" s="639" t="s">
        <v>64</v>
      </c>
      <c r="J995" s="984"/>
      <c r="K995" s="1001"/>
      <c r="L995" s="211">
        <v>34.270000000000003</v>
      </c>
      <c r="M995" s="320" t="s">
        <v>64</v>
      </c>
      <c r="N995" s="188"/>
      <c r="O995" s="188"/>
      <c r="P995" s="188"/>
      <c r="Q995" s="188"/>
      <c r="R995" s="214"/>
      <c r="S995" s="676">
        <v>34.270000000000003</v>
      </c>
      <c r="T995" s="157">
        <v>467.72786277834018</v>
      </c>
      <c r="U995" s="607" t="s">
        <v>64</v>
      </c>
      <c r="V995" s="7"/>
      <c r="W995" s="7">
        <v>3.9000000000000004</v>
      </c>
      <c r="X995" s="157">
        <v>53.228440759717714</v>
      </c>
      <c r="Y995" s="7">
        <v>4.3223000000000003</v>
      </c>
      <c r="Z995" s="157">
        <v>58.992125511725092</v>
      </c>
      <c r="AA995" s="188"/>
      <c r="AB995" s="214"/>
      <c r="AC995" s="7">
        <v>10.548000000000002</v>
      </c>
      <c r="AD995" s="176">
        <v>143.9624597778209</v>
      </c>
      <c r="AE995" s="943"/>
      <c r="AF995" s="944"/>
      <c r="AG995" s="211">
        <v>34.270000000000003</v>
      </c>
      <c r="AH995" s="157">
        <v>935.45572555668036</v>
      </c>
      <c r="AI995" s="176">
        <f t="shared" si="36"/>
        <v>935.45572555668036</v>
      </c>
      <c r="AJ995" s="976"/>
      <c r="AK995" s="979"/>
      <c r="AL995" s="1334"/>
      <c r="AM995" s="440"/>
      <c r="AN995" s="107"/>
      <c r="AO995" s="86"/>
      <c r="AP995" s="104"/>
    </row>
    <row r="996" spans="1:42" s="10" customFormat="1" ht="15.75" customHeight="1">
      <c r="A996" s="1042"/>
      <c r="B996" s="821"/>
      <c r="C996" s="525"/>
      <c r="D996" s="223" t="s">
        <v>811</v>
      </c>
      <c r="E996" s="320" t="s">
        <v>64</v>
      </c>
      <c r="F996" s="607" t="s">
        <v>64</v>
      </c>
      <c r="G996" s="426">
        <f>G995*10%</f>
        <v>30</v>
      </c>
      <c r="H996" s="320" t="s">
        <v>64</v>
      </c>
      <c r="I996" s="639" t="s">
        <v>64</v>
      </c>
      <c r="J996" s="984"/>
      <c r="K996" s="1001"/>
      <c r="L996" s="211">
        <v>29.37</v>
      </c>
      <c r="M996" s="320" t="s">
        <v>64</v>
      </c>
      <c r="N996" s="188"/>
      <c r="O996" s="188"/>
      <c r="P996" s="188"/>
      <c r="Q996" s="188"/>
      <c r="R996" s="214"/>
      <c r="S996" s="676">
        <v>29.37</v>
      </c>
      <c r="T996" s="157">
        <v>400.85110387510446</v>
      </c>
      <c r="U996" s="607" t="s">
        <v>64</v>
      </c>
      <c r="V996" s="7"/>
      <c r="W996" s="7">
        <v>0</v>
      </c>
      <c r="X996" s="157">
        <v>0</v>
      </c>
      <c r="Y996" s="7">
        <v>3.3223000000000003</v>
      </c>
      <c r="Z996" s="157">
        <v>45.343807368207727</v>
      </c>
      <c r="AA996" s="188"/>
      <c r="AB996" s="214"/>
      <c r="AC996" s="7">
        <v>10.548000000000002</v>
      </c>
      <c r="AD996" s="176">
        <v>143.9624597778209</v>
      </c>
      <c r="AE996" s="943"/>
      <c r="AF996" s="944"/>
      <c r="AG996" s="211">
        <v>29.37</v>
      </c>
      <c r="AH996" s="157">
        <v>801.70220775020891</v>
      </c>
      <c r="AI996" s="176">
        <f t="shared" si="36"/>
        <v>801.70220775020891</v>
      </c>
      <c r="AJ996" s="976"/>
      <c r="AK996" s="979"/>
      <c r="AL996" s="1334"/>
      <c r="AM996" s="440"/>
      <c r="AN996" s="107"/>
      <c r="AO996" s="86"/>
      <c r="AP996" s="104"/>
    </row>
    <row r="997" spans="1:42" s="69" customFormat="1" ht="15" customHeight="1">
      <c r="A997" s="1042"/>
      <c r="B997" s="821"/>
      <c r="C997" s="525"/>
      <c r="D997" s="223" t="s">
        <v>812</v>
      </c>
      <c r="E997" s="320" t="s">
        <v>64</v>
      </c>
      <c r="F997" s="607" t="s">
        <v>64</v>
      </c>
      <c r="G997" s="427">
        <v>66666.66</v>
      </c>
      <c r="H997" s="320" t="s">
        <v>64</v>
      </c>
      <c r="I997" s="639" t="s">
        <v>64</v>
      </c>
      <c r="J997" s="984"/>
      <c r="K997" s="1001"/>
      <c r="L997" s="211">
        <v>1691.8105800000001</v>
      </c>
      <c r="M997" s="320" t="s">
        <v>64</v>
      </c>
      <c r="N997" s="188"/>
      <c r="O997" s="188"/>
      <c r="P997" s="188"/>
      <c r="Q997" s="188"/>
      <c r="R997" s="214"/>
      <c r="S997" s="676">
        <v>1691.8105800000001</v>
      </c>
      <c r="T997" s="157">
        <v>23090.369034408635</v>
      </c>
      <c r="U997" s="607" t="s">
        <v>64</v>
      </c>
      <c r="V997" s="7"/>
      <c r="W997" s="7">
        <v>866.66658000000007</v>
      </c>
      <c r="X997" s="157">
        <v>11828.541208194138</v>
      </c>
      <c r="Y997" s="7">
        <v>122.68839999999999</v>
      </c>
      <c r="Z997" s="157">
        <v>1674.4903157191136</v>
      </c>
      <c r="AA997" s="188"/>
      <c r="AB997" s="214"/>
      <c r="AC997" s="7">
        <v>328.85760000000005</v>
      </c>
      <c r="AD997" s="176">
        <v>4488.3531487135797</v>
      </c>
      <c r="AE997" s="943"/>
      <c r="AF997" s="944"/>
      <c r="AG997" s="211">
        <v>1691.8105800000001</v>
      </c>
      <c r="AH997" s="157">
        <v>46180.738068817271</v>
      </c>
      <c r="AI997" s="176">
        <f t="shared" si="36"/>
        <v>46180.738068817271</v>
      </c>
      <c r="AJ997" s="976"/>
      <c r="AK997" s="979"/>
      <c r="AL997" s="1334"/>
      <c r="AM997" s="440"/>
      <c r="AN997" s="90"/>
      <c r="AO997" s="128"/>
      <c r="AP997" s="106"/>
    </row>
    <row r="998" spans="1:42" s="69" customFormat="1" ht="15" customHeight="1">
      <c r="A998" s="1042"/>
      <c r="B998" s="821"/>
      <c r="C998" s="525"/>
      <c r="D998" s="223" t="s">
        <v>813</v>
      </c>
      <c r="E998" s="320" t="s">
        <v>64</v>
      </c>
      <c r="F998" s="607" t="s">
        <v>64</v>
      </c>
      <c r="G998" s="427">
        <f>G997*5%</f>
        <v>3333.3330000000005</v>
      </c>
      <c r="H998" s="320" t="s">
        <v>64</v>
      </c>
      <c r="I998" s="639" t="s">
        <v>64</v>
      </c>
      <c r="J998" s="984"/>
      <c r="K998" s="1001"/>
      <c r="L998" s="211">
        <v>65.144076000000013</v>
      </c>
      <c r="M998" s="320" t="s">
        <v>64</v>
      </c>
      <c r="N998" s="188"/>
      <c r="O998" s="188"/>
      <c r="P998" s="188"/>
      <c r="Q998" s="188"/>
      <c r="R998" s="214"/>
      <c r="S998" s="676">
        <v>65.144076000000013</v>
      </c>
      <c r="T998" s="157">
        <v>889.10707441347233</v>
      </c>
      <c r="U998" s="607" t="s">
        <v>64</v>
      </c>
      <c r="V998" s="7"/>
      <c r="W998" s="7">
        <v>0</v>
      </c>
      <c r="X998" s="157">
        <v>0</v>
      </c>
      <c r="Y998" s="7">
        <v>8.6884114000000014</v>
      </c>
      <c r="Z998" s="157">
        <v>118.58220294896302</v>
      </c>
      <c r="AA998" s="188"/>
      <c r="AB998" s="214"/>
      <c r="AC998" s="7">
        <v>24.857630400000005</v>
      </c>
      <c r="AD998" s="176">
        <v>339.2648479931687</v>
      </c>
      <c r="AE998" s="943"/>
      <c r="AF998" s="944"/>
      <c r="AG998" s="211">
        <v>65.144076000000013</v>
      </c>
      <c r="AH998" s="157">
        <v>1778.2141488269447</v>
      </c>
      <c r="AI998" s="176">
        <f t="shared" si="36"/>
        <v>1778.2141488269447</v>
      </c>
      <c r="AJ998" s="976"/>
      <c r="AK998" s="979"/>
      <c r="AL998" s="1334"/>
      <c r="AM998" s="440"/>
      <c r="AN998" s="90"/>
      <c r="AO998" s="128"/>
      <c r="AP998" s="106"/>
    </row>
    <row r="999" spans="1:42" s="69" customFormat="1" ht="15" customHeight="1">
      <c r="A999" s="1042"/>
      <c r="B999" s="821"/>
      <c r="C999" s="525"/>
      <c r="D999" s="223" t="s">
        <v>814</v>
      </c>
      <c r="E999" s="320" t="s">
        <v>64</v>
      </c>
      <c r="F999" s="607" t="s">
        <v>64</v>
      </c>
      <c r="G999" s="426">
        <v>5000</v>
      </c>
      <c r="H999" s="320" t="s">
        <v>64</v>
      </c>
      <c r="I999" s="639" t="s">
        <v>64</v>
      </c>
      <c r="J999" s="984"/>
      <c r="K999" s="1001"/>
      <c r="L999" s="211">
        <v>150.14408</v>
      </c>
      <c r="M999" s="320" t="s">
        <v>64</v>
      </c>
      <c r="N999" s="188"/>
      <c r="O999" s="188"/>
      <c r="P999" s="188"/>
      <c r="Q999" s="188"/>
      <c r="R999" s="214"/>
      <c r="S999" s="676">
        <v>150.14408</v>
      </c>
      <c r="T999" s="157">
        <v>2049.214171205721</v>
      </c>
      <c r="U999" s="607" t="s">
        <v>64</v>
      </c>
      <c r="V999" s="7"/>
      <c r="W999" s="7">
        <v>65</v>
      </c>
      <c r="X999" s="157">
        <v>887.14067932862815</v>
      </c>
      <c r="Y999" s="7">
        <v>11.688412000000001</v>
      </c>
      <c r="Z999" s="157">
        <v>159.52716556850638</v>
      </c>
      <c r="AA999" s="188"/>
      <c r="AB999" s="214"/>
      <c r="AC999" s="7">
        <v>32.857632000000002</v>
      </c>
      <c r="AD999" s="176">
        <v>448.4514149786163</v>
      </c>
      <c r="AE999" s="943"/>
      <c r="AF999" s="944"/>
      <c r="AG999" s="211">
        <v>150.14408</v>
      </c>
      <c r="AH999" s="157">
        <v>4098.4283424114419</v>
      </c>
      <c r="AI999" s="176">
        <f t="shared" si="36"/>
        <v>4098.4283424114419</v>
      </c>
      <c r="AJ999" s="976"/>
      <c r="AK999" s="979"/>
      <c r="AL999" s="1334"/>
      <c r="AM999" s="440"/>
      <c r="AN999" s="90"/>
      <c r="AO999" s="128"/>
      <c r="AP999" s="106"/>
    </row>
    <row r="1000" spans="1:42" s="69" customFormat="1" ht="15" customHeight="1">
      <c r="A1000" s="1042"/>
      <c r="B1000" s="821"/>
      <c r="C1000" s="525"/>
      <c r="D1000" s="223" t="s">
        <v>815</v>
      </c>
      <c r="E1000" s="320" t="s">
        <v>64</v>
      </c>
      <c r="F1000" s="607" t="s">
        <v>64</v>
      </c>
      <c r="G1000" s="426">
        <v>15000</v>
      </c>
      <c r="H1000" s="320" t="s">
        <v>64</v>
      </c>
      <c r="I1000" s="639" t="s">
        <v>64</v>
      </c>
      <c r="J1000" s="984"/>
      <c r="K1000" s="1001"/>
      <c r="L1000" s="211">
        <v>400.14408000000003</v>
      </c>
      <c r="M1000" s="320" t="s">
        <v>64</v>
      </c>
      <c r="N1000" s="188"/>
      <c r="O1000" s="188"/>
      <c r="P1000" s="188"/>
      <c r="Q1000" s="188"/>
      <c r="R1000" s="214"/>
      <c r="S1000" s="676">
        <v>400.14408000000003</v>
      </c>
      <c r="T1000" s="157">
        <v>5461.2937070850667</v>
      </c>
      <c r="U1000" s="607" t="s">
        <v>64</v>
      </c>
      <c r="V1000" s="7"/>
      <c r="W1000" s="7">
        <v>195.00000000000003</v>
      </c>
      <c r="X1000" s="157">
        <v>2661.4220379858907</v>
      </c>
      <c r="Y1000" s="7">
        <v>29.688412</v>
      </c>
      <c r="Z1000" s="157">
        <v>405.19689215181847</v>
      </c>
      <c r="AA1000" s="188"/>
      <c r="AB1000" s="214"/>
      <c r="AC1000" s="7">
        <v>80.857632000000009</v>
      </c>
      <c r="AD1000" s="176">
        <v>1103.5706858674514</v>
      </c>
      <c r="AE1000" s="943"/>
      <c r="AF1000" s="944"/>
      <c r="AG1000" s="211">
        <v>400.14408000000003</v>
      </c>
      <c r="AH1000" s="157">
        <v>10922.587414170133</v>
      </c>
      <c r="AI1000" s="176">
        <f t="shared" si="36"/>
        <v>10922.587414170133</v>
      </c>
      <c r="AJ1000" s="976"/>
      <c r="AK1000" s="979"/>
      <c r="AL1000" s="1334"/>
      <c r="AM1000" s="440"/>
      <c r="AN1000" s="90"/>
      <c r="AO1000" s="128"/>
      <c r="AP1000" s="106"/>
    </row>
    <row r="1001" spans="1:42" s="69" customFormat="1" ht="15" customHeight="1">
      <c r="A1001" s="1042"/>
      <c r="B1001" s="821"/>
      <c r="C1001" s="525"/>
      <c r="D1001" s="223" t="s">
        <v>816</v>
      </c>
      <c r="E1001" s="320" t="s">
        <v>64</v>
      </c>
      <c r="F1001" s="607" t="s">
        <v>64</v>
      </c>
      <c r="G1001" s="426">
        <f>G1000*40%</f>
        <v>6000</v>
      </c>
      <c r="H1001" s="320" t="s">
        <v>64</v>
      </c>
      <c r="I1001" s="639" t="s">
        <v>64</v>
      </c>
      <c r="J1001" s="984"/>
      <c r="K1001" s="1001"/>
      <c r="L1001" s="211">
        <v>97.144080000000002</v>
      </c>
      <c r="M1001" s="320" t="s">
        <v>64</v>
      </c>
      <c r="N1001" s="188"/>
      <c r="O1001" s="188"/>
      <c r="P1001" s="188"/>
      <c r="Q1001" s="188"/>
      <c r="R1001" s="214"/>
      <c r="S1001" s="676">
        <v>97.144080000000002</v>
      </c>
      <c r="T1001" s="157">
        <v>1325.8533095993012</v>
      </c>
      <c r="U1001" s="607" t="s">
        <v>64</v>
      </c>
      <c r="V1001" s="7"/>
      <c r="W1001" s="7">
        <v>0</v>
      </c>
      <c r="X1001" s="157">
        <v>0</v>
      </c>
      <c r="Y1001" s="7">
        <v>13.488411999999999</v>
      </c>
      <c r="Z1001" s="157">
        <v>184.09413822683766</v>
      </c>
      <c r="AA1001" s="188"/>
      <c r="AB1001" s="214"/>
      <c r="AC1001" s="7">
        <v>37.657632</v>
      </c>
      <c r="AD1001" s="176">
        <v>513.96334206750009</v>
      </c>
      <c r="AE1001" s="943"/>
      <c r="AF1001" s="944"/>
      <c r="AG1001" s="211">
        <v>97.144080000000002</v>
      </c>
      <c r="AH1001" s="157">
        <v>2651.7066191986023</v>
      </c>
      <c r="AI1001" s="176">
        <f t="shared" si="36"/>
        <v>2651.7066191986023</v>
      </c>
      <c r="AJ1001" s="976"/>
      <c r="AK1001" s="979"/>
      <c r="AL1001" s="1334"/>
      <c r="AM1001" s="440"/>
      <c r="AN1001" s="90"/>
      <c r="AO1001" s="128"/>
      <c r="AP1001" s="106"/>
    </row>
    <row r="1002" spans="1:42" s="69" customFormat="1" ht="15" customHeight="1">
      <c r="A1002" s="1042"/>
      <c r="B1002" s="821"/>
      <c r="C1002" s="525"/>
      <c r="D1002" s="223" t="s">
        <v>820</v>
      </c>
      <c r="E1002" s="320" t="s">
        <v>64</v>
      </c>
      <c r="F1002" s="607" t="s">
        <v>64</v>
      </c>
      <c r="G1002" s="427">
        <v>222.22</v>
      </c>
      <c r="H1002" s="320" t="s">
        <v>64</v>
      </c>
      <c r="I1002" s="639" t="s">
        <v>64</v>
      </c>
      <c r="J1002" s="984"/>
      <c r="K1002" s="1001"/>
      <c r="L1002" s="211">
        <v>32.258859999999999</v>
      </c>
      <c r="M1002" s="320" t="s">
        <v>64</v>
      </c>
      <c r="N1002" s="188"/>
      <c r="O1002" s="188"/>
      <c r="P1002" s="188"/>
      <c r="Q1002" s="188"/>
      <c r="R1002" s="214"/>
      <c r="S1002" s="676">
        <v>32.258859999999999</v>
      </c>
      <c r="T1002" s="157">
        <v>440.27918422718676</v>
      </c>
      <c r="U1002" s="607" t="s">
        <v>64</v>
      </c>
      <c r="V1002" s="7"/>
      <c r="W1002" s="7">
        <v>2.8888600000000002</v>
      </c>
      <c r="X1002" s="157">
        <v>39.428080352081587</v>
      </c>
      <c r="Y1002" s="7">
        <v>3.3223000000000003</v>
      </c>
      <c r="Z1002" s="157">
        <v>45.343807368207727</v>
      </c>
      <c r="AA1002" s="188"/>
      <c r="AB1002" s="214"/>
      <c r="AC1002" s="7">
        <v>10.548000000000002</v>
      </c>
      <c r="AD1002" s="176">
        <v>143.9624597778209</v>
      </c>
      <c r="AE1002" s="943"/>
      <c r="AF1002" s="944"/>
      <c r="AG1002" s="211">
        <v>32.258859999999999</v>
      </c>
      <c r="AH1002" s="157">
        <v>880.55836845437352</v>
      </c>
      <c r="AI1002" s="176">
        <f t="shared" si="36"/>
        <v>880.55836845437352</v>
      </c>
      <c r="AJ1002" s="976"/>
      <c r="AK1002" s="979"/>
      <c r="AL1002" s="1334"/>
      <c r="AM1002" s="440"/>
      <c r="AN1002" s="90"/>
      <c r="AO1002" s="128"/>
      <c r="AP1002" s="106"/>
    </row>
    <row r="1003" spans="1:42" s="69" customFormat="1" ht="15" customHeight="1">
      <c r="A1003" s="1042"/>
      <c r="B1003" s="821"/>
      <c r="C1003" s="525"/>
      <c r="D1003" s="223" t="s">
        <v>821</v>
      </c>
      <c r="E1003" s="320" t="s">
        <v>64</v>
      </c>
      <c r="F1003" s="607" t="s">
        <v>64</v>
      </c>
      <c r="G1003" s="427">
        <v>2222.2199999999998</v>
      </c>
      <c r="H1003" s="320" t="s">
        <v>64</v>
      </c>
      <c r="I1003" s="639" t="s">
        <v>64</v>
      </c>
      <c r="J1003" s="984"/>
      <c r="K1003" s="1001"/>
      <c r="L1003" s="211">
        <v>80.699579999999983</v>
      </c>
      <c r="M1003" s="320" t="s">
        <v>64</v>
      </c>
      <c r="N1003" s="188"/>
      <c r="O1003" s="188"/>
      <c r="P1003" s="188"/>
      <c r="Q1003" s="188"/>
      <c r="R1003" s="214"/>
      <c r="S1003" s="676">
        <v>80.699579999999983</v>
      </c>
      <c r="T1003" s="157">
        <v>1101.4135418882306</v>
      </c>
      <c r="U1003" s="607" t="s">
        <v>64</v>
      </c>
      <c r="V1003" s="7"/>
      <c r="W1003" s="7">
        <v>28.888860000000001</v>
      </c>
      <c r="X1003" s="157">
        <v>394.28435208353312</v>
      </c>
      <c r="Y1003" s="7">
        <v>6.6884079999999999</v>
      </c>
      <c r="Z1003" s="157">
        <v>91.285520257646638</v>
      </c>
      <c r="AA1003" s="188"/>
      <c r="AB1003" s="214"/>
      <c r="AC1003" s="7">
        <v>19.524287999999999</v>
      </c>
      <c r="AD1003" s="176">
        <v>266.47369414965829</v>
      </c>
      <c r="AE1003" s="943"/>
      <c r="AF1003" s="944"/>
      <c r="AG1003" s="211">
        <v>80.699579999999983</v>
      </c>
      <c r="AH1003" s="157">
        <v>2202.8270837764612</v>
      </c>
      <c r="AI1003" s="176">
        <f t="shared" si="36"/>
        <v>2202.8270837764612</v>
      </c>
      <c r="AJ1003" s="976"/>
      <c r="AK1003" s="979"/>
      <c r="AL1003" s="1334"/>
      <c r="AM1003" s="440"/>
      <c r="AN1003" s="90"/>
      <c r="AO1003" s="128"/>
      <c r="AP1003" s="106"/>
    </row>
    <row r="1004" spans="1:42" s="69" customFormat="1" ht="15.75" customHeight="1">
      <c r="A1004" s="1042"/>
      <c r="B1004" s="821"/>
      <c r="C1004" s="525"/>
      <c r="D1004" s="223" t="s">
        <v>822</v>
      </c>
      <c r="E1004" s="320" t="s">
        <v>64</v>
      </c>
      <c r="F1004" s="607" t="s">
        <v>64</v>
      </c>
      <c r="G1004" s="426">
        <v>1569.06</v>
      </c>
      <c r="H1004" s="320" t="s">
        <v>64</v>
      </c>
      <c r="I1004" s="639" t="s">
        <v>64</v>
      </c>
      <c r="J1004" s="984"/>
      <c r="K1004" s="1001"/>
      <c r="L1004" s="211">
        <v>64.370580000000004</v>
      </c>
      <c r="M1004" s="320" t="s">
        <v>64</v>
      </c>
      <c r="N1004" s="188"/>
      <c r="O1004" s="188"/>
      <c r="P1004" s="188"/>
      <c r="Q1004" s="188"/>
      <c r="R1004" s="214"/>
      <c r="S1004" s="676">
        <v>64.370580000000004</v>
      </c>
      <c r="T1004" s="157">
        <v>878.55015492273685</v>
      </c>
      <c r="U1004" s="607" t="s">
        <v>64</v>
      </c>
      <c r="V1004" s="7"/>
      <c r="W1004" s="7">
        <v>20.397780000000001</v>
      </c>
      <c r="X1004" s="157">
        <v>278.39539086147545</v>
      </c>
      <c r="Y1004" s="7">
        <v>5.5127199999999998</v>
      </c>
      <c r="Z1004" s="157">
        <v>75.239356396131001</v>
      </c>
      <c r="AA1004" s="188"/>
      <c r="AB1004" s="214"/>
      <c r="AC1004" s="7">
        <v>16.389120000000002</v>
      </c>
      <c r="AD1004" s="176">
        <v>223.68392385228324</v>
      </c>
      <c r="AE1004" s="943"/>
      <c r="AF1004" s="944"/>
      <c r="AG1004" s="211">
        <v>64.370580000000004</v>
      </c>
      <c r="AH1004" s="157">
        <v>1757.1003098454737</v>
      </c>
      <c r="AI1004" s="176">
        <f t="shared" si="36"/>
        <v>1757.1003098454737</v>
      </c>
      <c r="AJ1004" s="976"/>
      <c r="AK1004" s="979"/>
      <c r="AL1004" s="1334"/>
      <c r="AM1004" s="440"/>
      <c r="AN1004" s="90"/>
      <c r="AO1004" s="128"/>
      <c r="AP1004" s="106"/>
    </row>
    <row r="1005" spans="1:42" s="69" customFormat="1" ht="15" customHeight="1" thickBot="1">
      <c r="A1005" s="1042"/>
      <c r="B1005" s="745"/>
      <c r="C1005" s="527"/>
      <c r="D1005" s="224" t="s">
        <v>823</v>
      </c>
      <c r="E1005" s="226" t="s">
        <v>64</v>
      </c>
      <c r="F1005" s="229" t="s">
        <v>64</v>
      </c>
      <c r="G1005" s="429">
        <v>666.66</v>
      </c>
      <c r="H1005" s="226" t="s">
        <v>64</v>
      </c>
      <c r="I1005" s="641" t="s">
        <v>64</v>
      </c>
      <c r="J1005" s="985"/>
      <c r="K1005" s="1002"/>
      <c r="L1005" s="547">
        <v>33.144000000000005</v>
      </c>
      <c r="M1005" s="226" t="s">
        <v>64</v>
      </c>
      <c r="N1005" s="116"/>
      <c r="O1005" s="116"/>
      <c r="P1005" s="116"/>
      <c r="Q1005" s="116"/>
      <c r="R1005" s="175"/>
      <c r="S1005" s="874">
        <v>33.144000000000005</v>
      </c>
      <c r="T1005" s="118">
        <v>452.35985654873929</v>
      </c>
      <c r="U1005" s="229" t="s">
        <v>64</v>
      </c>
      <c r="V1005" s="28"/>
      <c r="W1005" s="28">
        <v>0</v>
      </c>
      <c r="X1005" s="118">
        <v>0</v>
      </c>
      <c r="Y1005" s="28">
        <v>3.8883999999999999</v>
      </c>
      <c r="Z1005" s="118">
        <v>53.070120269252918</v>
      </c>
      <c r="AA1005" s="116"/>
      <c r="AB1005" s="175"/>
      <c r="AC1005" s="28">
        <v>12.057600000000001</v>
      </c>
      <c r="AD1005" s="180">
        <v>164.56596084727502</v>
      </c>
      <c r="AE1005" s="943"/>
      <c r="AF1005" s="944"/>
      <c r="AG1005" s="199">
        <v>33.144000000000005</v>
      </c>
      <c r="AH1005" s="118">
        <v>904.71971309747858</v>
      </c>
      <c r="AI1005" s="180">
        <f t="shared" si="36"/>
        <v>904.71971309747858</v>
      </c>
      <c r="AJ1005" s="976"/>
      <c r="AK1005" s="979"/>
      <c r="AL1005" s="1334"/>
      <c r="AM1005" s="151"/>
      <c r="AN1005" s="90"/>
      <c r="AO1005" s="128"/>
      <c r="AP1005" s="106"/>
    </row>
    <row r="1006" spans="1:42" s="69" customFormat="1" ht="15" customHeight="1">
      <c r="A1006" s="1042"/>
      <c r="B1006" s="465" t="s">
        <v>151</v>
      </c>
      <c r="C1006" s="386" t="s">
        <v>151</v>
      </c>
      <c r="D1006" s="222" t="s">
        <v>728</v>
      </c>
      <c r="E1006" s="242" t="s">
        <v>0</v>
      </c>
      <c r="F1006" s="223" t="s">
        <v>0</v>
      </c>
      <c r="G1006" s="426">
        <f>3*74*21.753</f>
        <v>4829.1660000000002</v>
      </c>
      <c r="H1006" s="426">
        <f>3*74*21.753</f>
        <v>4829.1660000000002</v>
      </c>
      <c r="I1006" s="872">
        <f>3*74*21.753</f>
        <v>4829.1660000000002</v>
      </c>
      <c r="J1006" s="1034" t="s">
        <v>743</v>
      </c>
      <c r="K1006" s="1000" t="s">
        <v>668</v>
      </c>
      <c r="L1006" s="209">
        <v>410.72323</v>
      </c>
      <c r="M1006" s="209">
        <v>386</v>
      </c>
      <c r="N1006" s="115"/>
      <c r="O1006" s="115"/>
      <c r="P1006" s="115"/>
      <c r="Q1006" s="115"/>
      <c r="R1006" s="174"/>
      <c r="S1006" s="676">
        <v>24.723230000000001</v>
      </c>
      <c r="T1006" s="117">
        <v>337.43050857535292</v>
      </c>
      <c r="U1006" s="120">
        <v>37.409999999999997</v>
      </c>
      <c r="V1006" s="120"/>
      <c r="W1006" s="120">
        <v>1.9158000000011555E-2</v>
      </c>
      <c r="X1006" s="117">
        <v>0.26147447899366316</v>
      </c>
      <c r="Y1006" s="120">
        <v>36.067110800000002</v>
      </c>
      <c r="Z1006" s="117">
        <v>492.25540271589097</v>
      </c>
      <c r="AA1006" s="115"/>
      <c r="AB1006" s="174"/>
      <c r="AC1006" s="120">
        <v>3.8816287999999761</v>
      </c>
      <c r="AD1006" s="177">
        <v>52.977704777439236</v>
      </c>
      <c r="AE1006" s="943"/>
      <c r="AF1006" s="944"/>
      <c r="AG1006" s="209">
        <v>24.723230000000001</v>
      </c>
      <c r="AH1006" s="117">
        <v>674.86101715070583</v>
      </c>
      <c r="AI1006" s="177">
        <f t="shared" si="36"/>
        <v>674.86101715070583</v>
      </c>
      <c r="AJ1006" s="976"/>
      <c r="AK1006" s="978">
        <f>SUM(AI1006:AI1040)</f>
        <v>97716.416253671938</v>
      </c>
      <c r="AL1006" s="1334"/>
      <c r="AM1006" s="151"/>
      <c r="AN1006" s="90"/>
      <c r="AO1006" s="128"/>
      <c r="AP1006" s="106"/>
    </row>
    <row r="1007" spans="1:42" s="69" customFormat="1" ht="15" customHeight="1">
      <c r="A1007" s="1042"/>
      <c r="B1007" s="589"/>
      <c r="C1007" s="525"/>
      <c r="D1007" s="223" t="s">
        <v>809</v>
      </c>
      <c r="E1007" s="320" t="s">
        <v>64</v>
      </c>
      <c r="F1007" s="607" t="s">
        <v>64</v>
      </c>
      <c r="G1007" s="426">
        <f>74*21.753</f>
        <v>1609.722</v>
      </c>
      <c r="H1007" s="320" t="s">
        <v>64</v>
      </c>
      <c r="I1007" s="639" t="s">
        <v>64</v>
      </c>
      <c r="J1007" s="1035"/>
      <c r="K1007" s="1001"/>
      <c r="L1007" s="211">
        <v>70.83074400000001</v>
      </c>
      <c r="M1007" s="320" t="s">
        <v>64</v>
      </c>
      <c r="N1007" s="188"/>
      <c r="O1007" s="188"/>
      <c r="P1007" s="188"/>
      <c r="Q1007" s="188"/>
      <c r="R1007" s="214"/>
      <c r="S1007" s="676">
        <v>70.83074400000001</v>
      </c>
      <c r="T1007" s="157">
        <v>966.72052845403368</v>
      </c>
      <c r="U1007" s="607" t="s">
        <v>64</v>
      </c>
      <c r="V1007" s="7"/>
      <c r="W1007" s="7">
        <v>0</v>
      </c>
      <c r="X1007" s="157">
        <v>0</v>
      </c>
      <c r="Y1007" s="7">
        <v>5.5859116000000002</v>
      </c>
      <c r="Z1007" s="157">
        <v>76.238298638364085</v>
      </c>
      <c r="AA1007" s="188"/>
      <c r="AB1007" s="214"/>
      <c r="AC1007" s="7">
        <v>27.132297600000005</v>
      </c>
      <c r="AD1007" s="176">
        <v>370.31022960939282</v>
      </c>
      <c r="AE1007" s="943"/>
      <c r="AF1007" s="944"/>
      <c r="AG1007" s="211">
        <v>70.83074400000001</v>
      </c>
      <c r="AH1007" s="157">
        <v>1933.4410569080674</v>
      </c>
      <c r="AI1007" s="176">
        <f t="shared" si="36"/>
        <v>1933.4410569080674</v>
      </c>
      <c r="AJ1007" s="976"/>
      <c r="AK1007" s="979"/>
      <c r="AL1007" s="1334"/>
      <c r="AM1007" s="151"/>
      <c r="AN1007" s="90"/>
      <c r="AO1007" s="128"/>
      <c r="AP1007" s="106"/>
    </row>
    <row r="1008" spans="1:42" s="69" customFormat="1" ht="15" customHeight="1">
      <c r="A1008" s="1042"/>
      <c r="B1008" s="589"/>
      <c r="C1008" s="525"/>
      <c r="D1008" s="223" t="s">
        <v>810</v>
      </c>
      <c r="E1008" s="320" t="s">
        <v>64</v>
      </c>
      <c r="F1008" s="607" t="s">
        <v>64</v>
      </c>
      <c r="G1008" s="426">
        <f>G1013/15*3</f>
        <v>3200</v>
      </c>
      <c r="H1008" s="320" t="s">
        <v>64</v>
      </c>
      <c r="I1008" s="639" t="s">
        <v>64</v>
      </c>
      <c r="J1008" s="1035"/>
      <c r="K1008" s="1001"/>
      <c r="L1008" s="211">
        <v>131.51408000000001</v>
      </c>
      <c r="M1008" s="320" t="s">
        <v>64</v>
      </c>
      <c r="N1008" s="188"/>
      <c r="O1008" s="188"/>
      <c r="P1008" s="188"/>
      <c r="Q1008" s="188"/>
      <c r="R1008" s="214"/>
      <c r="S1008" s="676">
        <v>131.51408000000001</v>
      </c>
      <c r="T1008" s="157">
        <v>1794.946004191994</v>
      </c>
      <c r="U1008" s="607" t="s">
        <v>64</v>
      </c>
      <c r="V1008" s="7"/>
      <c r="W1008" s="7">
        <v>41.6</v>
      </c>
      <c r="X1008" s="157">
        <v>567.7700347703219</v>
      </c>
      <c r="Y1008" s="7">
        <v>8.4484120000000011</v>
      </c>
      <c r="Z1008" s="157">
        <v>115.30661478350986</v>
      </c>
      <c r="AA1008" s="188"/>
      <c r="AB1008" s="214"/>
      <c r="AC1008" s="7">
        <v>34.765632000000004</v>
      </c>
      <c r="AD1008" s="176">
        <v>474.49240599644747</v>
      </c>
      <c r="AE1008" s="943"/>
      <c r="AF1008" s="944"/>
      <c r="AG1008" s="211">
        <v>131.51408000000001</v>
      </c>
      <c r="AH1008" s="157">
        <v>3589.892008383988</v>
      </c>
      <c r="AI1008" s="176">
        <f t="shared" si="36"/>
        <v>3589.892008383988</v>
      </c>
      <c r="AJ1008" s="976"/>
      <c r="AK1008" s="979"/>
      <c r="AL1008" s="1334"/>
      <c r="AM1008" s="151"/>
      <c r="AN1008" s="90"/>
      <c r="AO1008" s="128"/>
      <c r="AP1008" s="106"/>
    </row>
    <row r="1009" spans="1:42" s="69" customFormat="1" ht="15" customHeight="1">
      <c r="A1009" s="1042"/>
      <c r="B1009" s="589"/>
      <c r="C1009" s="525"/>
      <c r="D1009" s="223" t="s">
        <v>811</v>
      </c>
      <c r="E1009" s="320" t="s">
        <v>64</v>
      </c>
      <c r="F1009" s="607" t="s">
        <v>64</v>
      </c>
      <c r="G1009" s="426">
        <f>G1013/15*10%</f>
        <v>106.66666666666669</v>
      </c>
      <c r="H1009" s="320" t="s">
        <v>64</v>
      </c>
      <c r="I1009" s="639" t="s">
        <v>64</v>
      </c>
      <c r="J1009" s="1035"/>
      <c r="K1009" s="1001"/>
      <c r="L1009" s="211">
        <v>52.794080000000001</v>
      </c>
      <c r="M1009" s="320" t="s">
        <v>64</v>
      </c>
      <c r="N1009" s="188"/>
      <c r="O1009" s="188"/>
      <c r="P1009" s="188"/>
      <c r="Q1009" s="188"/>
      <c r="R1009" s="214"/>
      <c r="S1009" s="676">
        <v>52.794080000000001</v>
      </c>
      <c r="T1009" s="157">
        <v>720.55039993430682</v>
      </c>
      <c r="U1009" s="607" t="s">
        <v>64</v>
      </c>
      <c r="V1009" s="7"/>
      <c r="W1009" s="7">
        <v>0</v>
      </c>
      <c r="X1009" s="157">
        <v>0</v>
      </c>
      <c r="Y1009" s="7">
        <v>2.8804120000000002</v>
      </c>
      <c r="Z1009" s="157">
        <v>39.312779360405109</v>
      </c>
      <c r="AA1009" s="188"/>
      <c r="AB1009" s="214"/>
      <c r="AC1009" s="7">
        <v>19.917632000000001</v>
      </c>
      <c r="AD1009" s="176">
        <v>271.84217820150207</v>
      </c>
      <c r="AE1009" s="943"/>
      <c r="AF1009" s="944"/>
      <c r="AG1009" s="211">
        <v>52.794080000000001</v>
      </c>
      <c r="AH1009" s="157">
        <v>1441.1007998686136</v>
      </c>
      <c r="AI1009" s="176">
        <f t="shared" si="36"/>
        <v>1441.1007998686136</v>
      </c>
      <c r="AJ1009" s="976"/>
      <c r="AK1009" s="979"/>
      <c r="AL1009" s="1334"/>
      <c r="AM1009" s="151"/>
      <c r="AN1009" s="90"/>
      <c r="AO1009" s="128"/>
      <c r="AP1009" s="106"/>
    </row>
    <row r="1010" spans="1:42" s="69" customFormat="1" ht="15" customHeight="1">
      <c r="A1010" s="1042"/>
      <c r="B1010" s="589"/>
      <c r="C1010" s="525"/>
      <c r="D1010" s="223" t="s">
        <v>812</v>
      </c>
      <c r="E1010" s="320" t="s">
        <v>64</v>
      </c>
      <c r="F1010" s="607" t="s">
        <v>64</v>
      </c>
      <c r="G1010" s="426">
        <v>76000</v>
      </c>
      <c r="H1010" s="320" t="s">
        <v>64</v>
      </c>
      <c r="I1010" s="639" t="s">
        <v>64</v>
      </c>
      <c r="J1010" s="1035"/>
      <c r="K1010" s="1001"/>
      <c r="L1010" s="211">
        <v>1951.5140800000001</v>
      </c>
      <c r="M1010" s="320" t="s">
        <v>64</v>
      </c>
      <c r="N1010" s="188"/>
      <c r="O1010" s="188"/>
      <c r="P1010" s="188"/>
      <c r="Q1010" s="188"/>
      <c r="R1010" s="214"/>
      <c r="S1010" s="676">
        <v>1951.5140800000001</v>
      </c>
      <c r="T1010" s="157">
        <v>26634.885025393625</v>
      </c>
      <c r="U1010" s="607" t="s">
        <v>64</v>
      </c>
      <c r="V1010" s="7"/>
      <c r="W1010" s="7">
        <v>988.00000000000011</v>
      </c>
      <c r="X1010" s="157">
        <v>13484.538325795151</v>
      </c>
      <c r="Y1010" s="7">
        <v>139.48841199999998</v>
      </c>
      <c r="Z1010" s="157">
        <v>1903.782224310025</v>
      </c>
      <c r="AA1010" s="188"/>
      <c r="AB1010" s="214"/>
      <c r="AC1010" s="7">
        <v>384.20563200000009</v>
      </c>
      <c r="AD1010" s="176">
        <v>5243.7606980671535</v>
      </c>
      <c r="AE1010" s="943"/>
      <c r="AF1010" s="944"/>
      <c r="AG1010" s="211">
        <v>1951.5140800000001</v>
      </c>
      <c r="AH1010" s="157">
        <v>53269.770050787251</v>
      </c>
      <c r="AI1010" s="176">
        <f t="shared" si="36"/>
        <v>53269.770050787251</v>
      </c>
      <c r="AJ1010" s="976"/>
      <c r="AK1010" s="979"/>
      <c r="AL1010" s="1334"/>
      <c r="AM1010" s="151"/>
      <c r="AN1010" s="90"/>
      <c r="AO1010" s="128"/>
      <c r="AP1010" s="106"/>
    </row>
    <row r="1011" spans="1:42" s="69" customFormat="1" ht="15.75" customHeight="1">
      <c r="A1011" s="1042"/>
      <c r="B1011" s="589"/>
      <c r="C1011" s="525"/>
      <c r="D1011" s="223" t="s">
        <v>813</v>
      </c>
      <c r="E1011" s="320" t="s">
        <v>64</v>
      </c>
      <c r="F1011" s="607" t="s">
        <v>64</v>
      </c>
      <c r="G1011" s="426">
        <v>3800</v>
      </c>
      <c r="H1011" s="320" t="s">
        <v>64</v>
      </c>
      <c r="I1011" s="639" t="s">
        <v>64</v>
      </c>
      <c r="J1011" s="1035"/>
      <c r="K1011" s="1001"/>
      <c r="L1011" s="211">
        <v>97.114080000000001</v>
      </c>
      <c r="M1011" s="320" t="s">
        <v>64</v>
      </c>
      <c r="N1011" s="188"/>
      <c r="O1011" s="188"/>
      <c r="P1011" s="188"/>
      <c r="Q1011" s="188"/>
      <c r="R1011" s="214"/>
      <c r="S1011" s="676">
        <v>97.114080000000001</v>
      </c>
      <c r="T1011" s="157">
        <v>1325.4438600549961</v>
      </c>
      <c r="U1011" s="607" t="s">
        <v>64</v>
      </c>
      <c r="V1011" s="7"/>
      <c r="W1011" s="7">
        <v>0</v>
      </c>
      <c r="X1011" s="157">
        <v>0</v>
      </c>
      <c r="Y1011" s="7">
        <v>9.5284119999999994</v>
      </c>
      <c r="Z1011" s="157">
        <v>130.04679837850856</v>
      </c>
      <c r="AA1011" s="188"/>
      <c r="AB1011" s="214"/>
      <c r="AC1011" s="7">
        <v>37.645631999999999</v>
      </c>
      <c r="AD1011" s="176">
        <v>513.79956224977821</v>
      </c>
      <c r="AE1011" s="943"/>
      <c r="AF1011" s="944"/>
      <c r="AG1011" s="211">
        <v>97.114080000000001</v>
      </c>
      <c r="AH1011" s="157">
        <v>2650.8877201099922</v>
      </c>
      <c r="AI1011" s="176">
        <f t="shared" si="36"/>
        <v>2650.8877201099922</v>
      </c>
      <c r="AJ1011" s="976"/>
      <c r="AK1011" s="979"/>
      <c r="AL1011" s="1334"/>
      <c r="AM1011" s="151"/>
      <c r="AN1011" s="90"/>
      <c r="AO1011" s="128"/>
      <c r="AP1011" s="106"/>
    </row>
    <row r="1012" spans="1:42" s="69" customFormat="1" ht="15.75" customHeight="1">
      <c r="A1012" s="1042"/>
      <c r="B1012" s="589"/>
      <c r="C1012" s="525"/>
      <c r="D1012" s="223" t="s">
        <v>814</v>
      </c>
      <c r="E1012" s="320" t="s">
        <v>64</v>
      </c>
      <c r="F1012" s="607" t="s">
        <v>64</v>
      </c>
      <c r="G1012" s="427">
        <v>5000</v>
      </c>
      <c r="H1012" s="320" t="s">
        <v>64</v>
      </c>
      <c r="I1012" s="639" t="s">
        <v>64</v>
      </c>
      <c r="J1012" s="1035"/>
      <c r="K1012" s="1001"/>
      <c r="L1012" s="211">
        <v>176.51408000000001</v>
      </c>
      <c r="M1012" s="320" t="s">
        <v>64</v>
      </c>
      <c r="N1012" s="188"/>
      <c r="O1012" s="188"/>
      <c r="P1012" s="188"/>
      <c r="Q1012" s="188"/>
      <c r="R1012" s="214"/>
      <c r="S1012" s="676">
        <v>176.51408000000001</v>
      </c>
      <c r="T1012" s="157">
        <v>2409.1203206502723</v>
      </c>
      <c r="U1012" s="607" t="s">
        <v>64</v>
      </c>
      <c r="V1012" s="7"/>
      <c r="W1012" s="7">
        <v>65</v>
      </c>
      <c r="X1012" s="157">
        <v>887.14067932862815</v>
      </c>
      <c r="Y1012" s="7">
        <v>11.688412000000001</v>
      </c>
      <c r="Z1012" s="157">
        <v>159.52716556850638</v>
      </c>
      <c r="AA1012" s="188"/>
      <c r="AB1012" s="214"/>
      <c r="AC1012" s="7">
        <v>43.405632000000004</v>
      </c>
      <c r="AD1012" s="176">
        <v>592.41387475643864</v>
      </c>
      <c r="AE1012" s="943"/>
      <c r="AF1012" s="944"/>
      <c r="AG1012" s="211">
        <v>176.51408000000001</v>
      </c>
      <c r="AH1012" s="157">
        <v>4818.2406413005447</v>
      </c>
      <c r="AI1012" s="176">
        <f t="shared" si="36"/>
        <v>4818.2406413005447</v>
      </c>
      <c r="AJ1012" s="976"/>
      <c r="AK1012" s="979"/>
      <c r="AL1012" s="1334"/>
      <c r="AM1012" s="440"/>
      <c r="AN1012" s="89"/>
      <c r="AO1012" s="89"/>
    </row>
    <row r="1013" spans="1:42" s="69" customFormat="1" ht="12.75" customHeight="1">
      <c r="A1013" s="1042"/>
      <c r="B1013" s="589"/>
      <c r="C1013" s="525"/>
      <c r="D1013" s="223" t="s">
        <v>815</v>
      </c>
      <c r="E1013" s="320" t="s">
        <v>64</v>
      </c>
      <c r="F1013" s="607" t="s">
        <v>64</v>
      </c>
      <c r="G1013" s="426">
        <v>16000</v>
      </c>
      <c r="H1013" s="320" t="s">
        <v>64</v>
      </c>
      <c r="I1013" s="639" t="s">
        <v>64</v>
      </c>
      <c r="J1013" s="1035"/>
      <c r="K1013" s="1001"/>
      <c r="L1013" s="209">
        <v>451.51407999999998</v>
      </c>
      <c r="M1013" s="320" t="s">
        <v>64</v>
      </c>
      <c r="N1013" s="115"/>
      <c r="O1013" s="115"/>
      <c r="P1013" s="115"/>
      <c r="Q1013" s="115"/>
      <c r="R1013" s="174"/>
      <c r="S1013" s="676">
        <v>451.51407999999998</v>
      </c>
      <c r="T1013" s="117">
        <v>6162.4078101175473</v>
      </c>
      <c r="U1013" s="607" t="s">
        <v>64</v>
      </c>
      <c r="V1013" s="120"/>
      <c r="W1013" s="120">
        <v>208.00000000000003</v>
      </c>
      <c r="X1013" s="117">
        <v>2838.8501738516084</v>
      </c>
      <c r="Y1013" s="120">
        <v>31.488412</v>
      </c>
      <c r="Z1013" s="117">
        <v>429.76386481014936</v>
      </c>
      <c r="AA1013" s="115"/>
      <c r="AB1013" s="174"/>
      <c r="AC1013" s="120">
        <v>96.205632000000008</v>
      </c>
      <c r="AD1013" s="177">
        <v>1313.0450727341554</v>
      </c>
      <c r="AE1013" s="943"/>
      <c r="AF1013" s="944"/>
      <c r="AG1013" s="209">
        <v>451.51407999999998</v>
      </c>
      <c r="AH1013" s="117">
        <v>12324.815620235095</v>
      </c>
      <c r="AI1013" s="177">
        <f t="shared" ref="AI1013:AI1025" si="37">AH1013</f>
        <v>12324.815620235095</v>
      </c>
      <c r="AJ1013" s="976"/>
      <c r="AK1013" s="979"/>
      <c r="AL1013" s="1334"/>
      <c r="AM1013" s="440"/>
      <c r="AN1013" s="89"/>
      <c r="AO1013" s="89"/>
    </row>
    <row r="1014" spans="1:42" s="69" customFormat="1" ht="12.75" customHeight="1">
      <c r="A1014" s="1042"/>
      <c r="B1014" s="589"/>
      <c r="C1014" s="525"/>
      <c r="D1014" s="223" t="s">
        <v>816</v>
      </c>
      <c r="E1014" s="320" t="s">
        <v>64</v>
      </c>
      <c r="F1014" s="607" t="s">
        <v>64</v>
      </c>
      <c r="G1014" s="426">
        <f>G1013*40%</f>
        <v>6400</v>
      </c>
      <c r="H1014" s="320" t="s">
        <v>64</v>
      </c>
      <c r="I1014" s="639" t="s">
        <v>64</v>
      </c>
      <c r="J1014" s="1035"/>
      <c r="K1014" s="1001"/>
      <c r="L1014" s="211">
        <v>128.31408000000002</v>
      </c>
      <c r="M1014" s="320" t="s">
        <v>64</v>
      </c>
      <c r="N1014" s="188"/>
      <c r="O1014" s="188"/>
      <c r="P1014" s="188"/>
      <c r="Q1014" s="188"/>
      <c r="R1014" s="214"/>
      <c r="S1014" s="633">
        <v>128.31408000000002</v>
      </c>
      <c r="T1014" s="157">
        <v>1751.2713861327397</v>
      </c>
      <c r="U1014" s="607" t="s">
        <v>64</v>
      </c>
      <c r="V1014" s="7"/>
      <c r="W1014" s="7">
        <v>0</v>
      </c>
      <c r="X1014" s="157">
        <v>0</v>
      </c>
      <c r="Y1014" s="7">
        <v>14.208412000000001</v>
      </c>
      <c r="Z1014" s="157">
        <v>193.92092729016983</v>
      </c>
      <c r="AA1014" s="188"/>
      <c r="AB1014" s="214"/>
      <c r="AC1014" s="7">
        <v>50.12563200000001</v>
      </c>
      <c r="AD1014" s="176">
        <v>684.13057268087482</v>
      </c>
      <c r="AE1014" s="943"/>
      <c r="AF1014" s="944"/>
      <c r="AG1014" s="211">
        <v>128.31408000000002</v>
      </c>
      <c r="AH1014" s="157">
        <v>3502.5427722654795</v>
      </c>
      <c r="AI1014" s="176">
        <f t="shared" si="37"/>
        <v>3502.5427722654795</v>
      </c>
      <c r="AJ1014" s="976"/>
      <c r="AK1014" s="979"/>
      <c r="AL1014" s="1334"/>
      <c r="AM1014" s="440"/>
      <c r="AN1014" s="89"/>
      <c r="AO1014" s="89"/>
    </row>
    <row r="1015" spans="1:42" s="69" customFormat="1" ht="12.75" customHeight="1">
      <c r="A1015" s="1042"/>
      <c r="B1015" s="589"/>
      <c r="C1015" s="525"/>
      <c r="D1015" s="223" t="s">
        <v>820</v>
      </c>
      <c r="E1015" s="320" t="s">
        <v>64</v>
      </c>
      <c r="F1015" s="607" t="s">
        <v>64</v>
      </c>
      <c r="G1015" s="427">
        <v>1111.1099999999999</v>
      </c>
      <c r="H1015" s="320" t="s">
        <v>64</v>
      </c>
      <c r="I1015" s="639" t="s">
        <v>64</v>
      </c>
      <c r="J1015" s="1035"/>
      <c r="K1015" s="1001"/>
      <c r="L1015" s="211">
        <v>79.291830000000004</v>
      </c>
      <c r="M1015" s="320" t="s">
        <v>64</v>
      </c>
      <c r="N1015" s="188"/>
      <c r="O1015" s="188"/>
      <c r="P1015" s="188"/>
      <c r="Q1015" s="188"/>
      <c r="R1015" s="214"/>
      <c r="S1015" s="633">
        <v>79.291830000000004</v>
      </c>
      <c r="T1015" s="157">
        <v>1082.2001220216932</v>
      </c>
      <c r="U1015" s="607" t="s">
        <v>64</v>
      </c>
      <c r="V1015" s="7"/>
      <c r="W1015" s="7">
        <v>14.444430000000001</v>
      </c>
      <c r="X1015" s="157">
        <v>197.14217604176656</v>
      </c>
      <c r="Y1015" s="7">
        <v>4.6884099999999993</v>
      </c>
      <c r="Z1015" s="157">
        <v>63.98891126724822</v>
      </c>
      <c r="AA1015" s="188"/>
      <c r="AB1015" s="214"/>
      <c r="AC1015" s="7">
        <v>24.738960000000002</v>
      </c>
      <c r="AD1015" s="176">
        <v>337.64519661975027</v>
      </c>
      <c r="AE1015" s="943"/>
      <c r="AF1015" s="944"/>
      <c r="AG1015" s="211">
        <v>79.291830000000004</v>
      </c>
      <c r="AH1015" s="157">
        <v>2164.4002440433865</v>
      </c>
      <c r="AI1015" s="176">
        <f t="shared" si="37"/>
        <v>2164.4002440433865</v>
      </c>
      <c r="AJ1015" s="976"/>
      <c r="AK1015" s="979"/>
      <c r="AL1015" s="1334"/>
      <c r="AM1015" s="440"/>
      <c r="AN1015" s="89"/>
      <c r="AO1015" s="89"/>
    </row>
    <row r="1016" spans="1:42" s="69" customFormat="1" ht="12.75" customHeight="1">
      <c r="A1016" s="1042"/>
      <c r="B1016" s="589"/>
      <c r="C1016" s="525"/>
      <c r="D1016" s="223" t="s">
        <v>821</v>
      </c>
      <c r="E1016" s="320" t="s">
        <v>64</v>
      </c>
      <c r="F1016" s="607" t="s">
        <v>64</v>
      </c>
      <c r="G1016" s="427">
        <f>2222.22</f>
        <v>2222.2199999999998</v>
      </c>
      <c r="H1016" s="320" t="s">
        <v>64</v>
      </c>
      <c r="I1016" s="639" t="s">
        <v>64</v>
      </c>
      <c r="J1016" s="1035"/>
      <c r="K1016" s="1001"/>
      <c r="L1016" s="211">
        <v>107.06957999999999</v>
      </c>
      <c r="M1016" s="320" t="s">
        <v>64</v>
      </c>
      <c r="N1016" s="188"/>
      <c r="O1016" s="188"/>
      <c r="P1016" s="188"/>
      <c r="Q1016" s="188"/>
      <c r="R1016" s="214"/>
      <c r="S1016" s="633">
        <v>107.06957999999999</v>
      </c>
      <c r="T1016" s="157">
        <v>1461.3196913327849</v>
      </c>
      <c r="U1016" s="607" t="s">
        <v>64</v>
      </c>
      <c r="V1016" s="7"/>
      <c r="W1016" s="7">
        <v>28.888860000000001</v>
      </c>
      <c r="X1016" s="157">
        <v>394.28435208353312</v>
      </c>
      <c r="Y1016" s="7">
        <v>6.6884079999999999</v>
      </c>
      <c r="Z1016" s="157">
        <v>91.285520257646638</v>
      </c>
      <c r="AA1016" s="188"/>
      <c r="AB1016" s="214"/>
      <c r="AC1016" s="7">
        <v>30.072288</v>
      </c>
      <c r="AD1016" s="176">
        <v>410.43615392747984</v>
      </c>
      <c r="AE1016" s="943"/>
      <c r="AF1016" s="944"/>
      <c r="AG1016" s="211">
        <v>107.06957999999999</v>
      </c>
      <c r="AH1016" s="157">
        <v>2922.6393826655699</v>
      </c>
      <c r="AI1016" s="176">
        <f t="shared" si="37"/>
        <v>2922.6393826655699</v>
      </c>
      <c r="AJ1016" s="976"/>
      <c r="AK1016" s="979"/>
      <c r="AL1016" s="1334"/>
      <c r="AM1016" s="440"/>
      <c r="AN1016" s="89"/>
      <c r="AO1016" s="89"/>
    </row>
    <row r="1017" spans="1:42" s="69" customFormat="1" ht="12.75" customHeight="1" thickBot="1">
      <c r="A1017" s="1042"/>
      <c r="B1017" s="589"/>
      <c r="C1017" s="525"/>
      <c r="D1017" s="223" t="s">
        <v>822</v>
      </c>
      <c r="E1017" s="320" t="s">
        <v>64</v>
      </c>
      <c r="F1017" s="607" t="s">
        <v>64</v>
      </c>
      <c r="G1017" s="426">
        <f>30*21.753</f>
        <v>652.59</v>
      </c>
      <c r="H1017" s="320" t="s">
        <v>64</v>
      </c>
      <c r="I1017" s="639" t="s">
        <v>64</v>
      </c>
      <c r="J1017" s="1036"/>
      <c r="K1017" s="1001"/>
      <c r="L1017" s="211">
        <v>59.34516</v>
      </c>
      <c r="M1017" s="320" t="s">
        <v>64</v>
      </c>
      <c r="N1017" s="188"/>
      <c r="O1017" s="188"/>
      <c r="P1017" s="188"/>
      <c r="Q1017" s="188"/>
      <c r="R1017" s="214"/>
      <c r="S1017" s="633">
        <v>59.34516</v>
      </c>
      <c r="T1017" s="157">
        <v>809.96162395794181</v>
      </c>
      <c r="U1017" s="607" t="s">
        <v>64</v>
      </c>
      <c r="V1017" s="7"/>
      <c r="W1017" s="7">
        <v>0</v>
      </c>
      <c r="X1017" s="157">
        <v>0</v>
      </c>
      <c r="Y1017" s="7">
        <v>3.8630740000000001</v>
      </c>
      <c r="Z1017" s="157">
        <v>52.724462963950252</v>
      </c>
      <c r="AA1017" s="188"/>
      <c r="AB1017" s="214"/>
      <c r="AC1017" s="7">
        <v>22.538064000000002</v>
      </c>
      <c r="AD1017" s="176">
        <v>307.60666781095568</v>
      </c>
      <c r="AE1017" s="943"/>
      <c r="AF1017" s="944"/>
      <c r="AG1017" s="211">
        <v>59.34516</v>
      </c>
      <c r="AH1017" s="157">
        <v>1619.9232479158836</v>
      </c>
      <c r="AI1017" s="176">
        <f t="shared" si="37"/>
        <v>1619.9232479158836</v>
      </c>
      <c r="AJ1017" s="976"/>
      <c r="AK1017" s="979"/>
      <c r="AL1017" s="1334"/>
      <c r="AM1017" s="440"/>
      <c r="AN1017" s="89"/>
      <c r="AO1017" s="89"/>
    </row>
    <row r="1018" spans="1:42" s="69" customFormat="1" ht="12.75" customHeight="1">
      <c r="A1018" s="1042"/>
      <c r="B1018" s="591"/>
      <c r="C1018" s="529"/>
      <c r="D1018" s="869" t="s">
        <v>729</v>
      </c>
      <c r="E1018" s="320" t="s">
        <v>64</v>
      </c>
      <c r="F1018" s="607" t="s">
        <v>64</v>
      </c>
      <c r="G1018" s="430">
        <v>14673.51</v>
      </c>
      <c r="H1018" s="320" t="s">
        <v>64</v>
      </c>
      <c r="I1018" s="639" t="s">
        <v>64</v>
      </c>
      <c r="J1018" s="986" t="s">
        <v>744</v>
      </c>
      <c r="K1018" s="1001"/>
      <c r="L1018" s="947" t="s">
        <v>747</v>
      </c>
      <c r="M1018" s="948"/>
      <c r="N1018" s="949"/>
      <c r="O1018" s="947" t="s">
        <v>747</v>
      </c>
      <c r="P1018" s="948"/>
      <c r="Q1018" s="949"/>
      <c r="R1018" s="947" t="s">
        <v>747</v>
      </c>
      <c r="S1018" s="948"/>
      <c r="T1018" s="949"/>
      <c r="U1018" s="947" t="s">
        <v>747</v>
      </c>
      <c r="V1018" s="948"/>
      <c r="W1018" s="949"/>
      <c r="X1018" s="947" t="s">
        <v>747</v>
      </c>
      <c r="Y1018" s="948"/>
      <c r="Z1018" s="949"/>
      <c r="AA1018" s="947" t="s">
        <v>747</v>
      </c>
      <c r="AB1018" s="948"/>
      <c r="AC1018" s="948"/>
      <c r="AD1018" s="967"/>
      <c r="AE1018" s="943"/>
      <c r="AF1018" s="944"/>
      <c r="AG1018" s="947" t="s">
        <v>747</v>
      </c>
      <c r="AH1018" s="948"/>
      <c r="AI1018" s="949"/>
      <c r="AJ1018" s="976"/>
      <c r="AK1018" s="979"/>
      <c r="AL1018" s="1334"/>
      <c r="AM1018" s="440"/>
      <c r="AN1018" s="89"/>
      <c r="AO1018" s="89"/>
    </row>
    <row r="1019" spans="1:42" s="69" customFormat="1" ht="12.75" customHeight="1" thickBot="1">
      <c r="A1019" s="1042"/>
      <c r="B1019" s="589"/>
      <c r="C1019" s="525"/>
      <c r="D1019" s="869" t="s">
        <v>730</v>
      </c>
      <c r="E1019" s="320" t="s">
        <v>64</v>
      </c>
      <c r="F1019" s="607" t="s">
        <v>64</v>
      </c>
      <c r="G1019" s="426">
        <f>273478-14673.51</f>
        <v>258804.49</v>
      </c>
      <c r="H1019" s="320" t="s">
        <v>64</v>
      </c>
      <c r="I1019" s="639" t="s">
        <v>64</v>
      </c>
      <c r="J1019" s="987"/>
      <c r="K1019" s="1001"/>
      <c r="L1019" s="953"/>
      <c r="M1019" s="954"/>
      <c r="N1019" s="955"/>
      <c r="O1019" s="953"/>
      <c r="P1019" s="954"/>
      <c r="Q1019" s="955"/>
      <c r="R1019" s="953"/>
      <c r="S1019" s="954"/>
      <c r="T1019" s="955"/>
      <c r="U1019" s="953"/>
      <c r="V1019" s="954"/>
      <c r="W1019" s="955"/>
      <c r="X1019" s="953"/>
      <c r="Y1019" s="954"/>
      <c r="Z1019" s="955"/>
      <c r="AA1019" s="953"/>
      <c r="AB1019" s="954"/>
      <c r="AC1019" s="954"/>
      <c r="AD1019" s="964"/>
      <c r="AE1019" s="943"/>
      <c r="AF1019" s="944"/>
      <c r="AG1019" s="953"/>
      <c r="AH1019" s="954"/>
      <c r="AI1019" s="955"/>
      <c r="AJ1019" s="976"/>
      <c r="AK1019" s="979"/>
      <c r="AL1019" s="1334"/>
      <c r="AM1019" s="440"/>
      <c r="AN1019" s="89"/>
      <c r="AO1019" s="89"/>
    </row>
    <row r="1020" spans="1:42" s="69" customFormat="1" ht="12.75" customHeight="1">
      <c r="A1020" s="1042"/>
      <c r="B1020" s="589"/>
      <c r="C1020" s="525"/>
      <c r="D1020" s="870" t="s">
        <v>731</v>
      </c>
      <c r="E1020" s="320" t="s">
        <v>64</v>
      </c>
      <c r="F1020" s="607" t="s">
        <v>64</v>
      </c>
      <c r="G1020" s="426">
        <v>14673.51</v>
      </c>
      <c r="H1020" s="320" t="s">
        <v>64</v>
      </c>
      <c r="I1020" s="639" t="s">
        <v>64</v>
      </c>
      <c r="J1020" s="986" t="s">
        <v>745</v>
      </c>
      <c r="K1020" s="1001"/>
      <c r="L1020" s="947" t="s">
        <v>748</v>
      </c>
      <c r="M1020" s="948"/>
      <c r="N1020" s="949"/>
      <c r="O1020" s="947" t="s">
        <v>748</v>
      </c>
      <c r="P1020" s="948"/>
      <c r="Q1020" s="949"/>
      <c r="R1020" s="947" t="s">
        <v>748</v>
      </c>
      <c r="S1020" s="948"/>
      <c r="T1020" s="949"/>
      <c r="U1020" s="947" t="s">
        <v>748</v>
      </c>
      <c r="V1020" s="948"/>
      <c r="W1020" s="949"/>
      <c r="X1020" s="947" t="s">
        <v>748</v>
      </c>
      <c r="Y1020" s="948"/>
      <c r="Z1020" s="949"/>
      <c r="AA1020" s="947" t="s">
        <v>748</v>
      </c>
      <c r="AB1020" s="948"/>
      <c r="AC1020" s="948"/>
      <c r="AD1020" s="967"/>
      <c r="AE1020" s="943"/>
      <c r="AF1020" s="944"/>
      <c r="AG1020" s="947" t="s">
        <v>748</v>
      </c>
      <c r="AH1020" s="948"/>
      <c r="AI1020" s="949"/>
      <c r="AJ1020" s="976"/>
      <c r="AK1020" s="979"/>
      <c r="AL1020" s="1334"/>
      <c r="AM1020" s="440"/>
      <c r="AN1020" s="89"/>
      <c r="AO1020" s="89"/>
    </row>
    <row r="1021" spans="1:42" s="69" customFormat="1" ht="15.75" customHeight="1">
      <c r="A1021" s="1042"/>
      <c r="B1021" s="589"/>
      <c r="C1021" s="525"/>
      <c r="D1021" s="870" t="s">
        <v>732</v>
      </c>
      <c r="E1021" s="320" t="s">
        <v>64</v>
      </c>
      <c r="F1021" s="607" t="s">
        <v>64</v>
      </c>
      <c r="G1021" s="427">
        <v>1111.1099999999999</v>
      </c>
      <c r="H1021" s="320" t="s">
        <v>64</v>
      </c>
      <c r="I1021" s="639" t="s">
        <v>64</v>
      </c>
      <c r="J1021" s="988"/>
      <c r="K1021" s="1001"/>
      <c r="L1021" s="950"/>
      <c r="M1021" s="951"/>
      <c r="N1021" s="952"/>
      <c r="O1021" s="950"/>
      <c r="P1021" s="951"/>
      <c r="Q1021" s="952"/>
      <c r="R1021" s="950"/>
      <c r="S1021" s="951"/>
      <c r="T1021" s="952"/>
      <c r="U1021" s="950"/>
      <c r="V1021" s="951"/>
      <c r="W1021" s="952"/>
      <c r="X1021" s="950"/>
      <c r="Y1021" s="951"/>
      <c r="Z1021" s="952"/>
      <c r="AA1021" s="950"/>
      <c r="AB1021" s="951"/>
      <c r="AC1021" s="951"/>
      <c r="AD1021" s="963"/>
      <c r="AE1021" s="943"/>
      <c r="AF1021" s="944"/>
      <c r="AG1021" s="950"/>
      <c r="AH1021" s="951"/>
      <c r="AI1021" s="952"/>
      <c r="AJ1021" s="976"/>
      <c r="AK1021" s="979"/>
      <c r="AL1021" s="1334"/>
      <c r="AM1021" s="440"/>
      <c r="AN1021" s="89"/>
      <c r="AO1021" s="89"/>
    </row>
    <row r="1022" spans="1:42" s="69" customFormat="1" ht="15" customHeight="1">
      <c r="A1022" s="1042"/>
      <c r="B1022" s="589"/>
      <c r="C1022" s="525"/>
      <c r="D1022" s="870" t="s">
        <v>733</v>
      </c>
      <c r="E1022" s="320" t="s">
        <v>64</v>
      </c>
      <c r="F1022" s="607" t="s">
        <v>64</v>
      </c>
      <c r="G1022" s="426">
        <v>14673.51</v>
      </c>
      <c r="H1022" s="320" t="s">
        <v>64</v>
      </c>
      <c r="I1022" s="639" t="s">
        <v>64</v>
      </c>
      <c r="J1022" s="988"/>
      <c r="K1022" s="1001"/>
      <c r="L1022" s="950"/>
      <c r="M1022" s="951"/>
      <c r="N1022" s="952"/>
      <c r="O1022" s="950"/>
      <c r="P1022" s="951"/>
      <c r="Q1022" s="952"/>
      <c r="R1022" s="950"/>
      <c r="S1022" s="951"/>
      <c r="T1022" s="952"/>
      <c r="U1022" s="950"/>
      <c r="V1022" s="951"/>
      <c r="W1022" s="952"/>
      <c r="X1022" s="950"/>
      <c r="Y1022" s="951"/>
      <c r="Z1022" s="952"/>
      <c r="AA1022" s="950"/>
      <c r="AB1022" s="951"/>
      <c r="AC1022" s="951"/>
      <c r="AD1022" s="963"/>
      <c r="AE1022" s="943"/>
      <c r="AF1022" s="944"/>
      <c r="AG1022" s="950"/>
      <c r="AH1022" s="951"/>
      <c r="AI1022" s="952"/>
      <c r="AJ1022" s="976"/>
      <c r="AK1022" s="979"/>
      <c r="AL1022" s="1334"/>
      <c r="AM1022" s="440"/>
      <c r="AN1022" s="108"/>
      <c r="AO1022" s="89"/>
    </row>
    <row r="1023" spans="1:42" s="69" customFormat="1" ht="15" customHeight="1" thickBot="1">
      <c r="A1023" s="1042"/>
      <c r="B1023" s="589"/>
      <c r="C1023" s="525"/>
      <c r="D1023" s="870" t="s">
        <v>734</v>
      </c>
      <c r="E1023" s="320" t="s">
        <v>64</v>
      </c>
      <c r="F1023" s="607" t="s">
        <v>64</v>
      </c>
      <c r="G1023" s="426">
        <v>81105.600000000006</v>
      </c>
      <c r="H1023" s="320" t="s">
        <v>64</v>
      </c>
      <c r="I1023" s="639" t="s">
        <v>64</v>
      </c>
      <c r="J1023" s="987"/>
      <c r="K1023" s="1001"/>
      <c r="L1023" s="953"/>
      <c r="M1023" s="954"/>
      <c r="N1023" s="955"/>
      <c r="O1023" s="953"/>
      <c r="P1023" s="954"/>
      <c r="Q1023" s="955"/>
      <c r="R1023" s="953"/>
      <c r="S1023" s="954"/>
      <c r="T1023" s="955"/>
      <c r="U1023" s="953"/>
      <c r="V1023" s="954"/>
      <c r="W1023" s="955"/>
      <c r="X1023" s="953"/>
      <c r="Y1023" s="954"/>
      <c r="Z1023" s="955"/>
      <c r="AA1023" s="953"/>
      <c r="AB1023" s="954"/>
      <c r="AC1023" s="954"/>
      <c r="AD1023" s="964"/>
      <c r="AE1023" s="943"/>
      <c r="AF1023" s="944"/>
      <c r="AG1023" s="953"/>
      <c r="AH1023" s="954"/>
      <c r="AI1023" s="955"/>
      <c r="AJ1023" s="976"/>
      <c r="AK1023" s="979"/>
      <c r="AL1023" s="1334"/>
      <c r="AM1023" s="440"/>
      <c r="AN1023" s="108"/>
      <c r="AO1023" s="89"/>
    </row>
    <row r="1024" spans="1:42" s="69" customFormat="1" ht="15" customHeight="1">
      <c r="A1024" s="1042"/>
      <c r="B1024" s="589"/>
      <c r="C1024" s="525"/>
      <c r="D1024" s="861" t="s">
        <v>735</v>
      </c>
      <c r="E1024" s="320" t="s">
        <v>64</v>
      </c>
      <c r="F1024" s="607" t="s">
        <v>64</v>
      </c>
      <c r="G1024" s="426">
        <v>612.91999999999996</v>
      </c>
      <c r="H1024" s="320" t="s">
        <v>64</v>
      </c>
      <c r="I1024" s="639" t="s">
        <v>64</v>
      </c>
      <c r="J1024" s="986" t="s">
        <v>743</v>
      </c>
      <c r="K1024" s="1001"/>
      <c r="L1024" s="938" t="s">
        <v>749</v>
      </c>
      <c r="M1024" s="939"/>
      <c r="N1024" s="939"/>
      <c r="O1024" s="939"/>
      <c r="P1024" s="939"/>
      <c r="Q1024" s="956"/>
      <c r="R1024" s="938" t="s">
        <v>749</v>
      </c>
      <c r="S1024" s="939"/>
      <c r="T1024" s="939"/>
      <c r="U1024" s="939"/>
      <c r="V1024" s="939"/>
      <c r="W1024" s="956"/>
      <c r="X1024" s="938" t="s">
        <v>749</v>
      </c>
      <c r="Y1024" s="939"/>
      <c r="Z1024" s="939"/>
      <c r="AA1024" s="939"/>
      <c r="AB1024" s="939"/>
      <c r="AC1024" s="939"/>
      <c r="AD1024" s="940"/>
      <c r="AE1024" s="943"/>
      <c r="AF1024" s="944"/>
      <c r="AG1024" s="938" t="s">
        <v>750</v>
      </c>
      <c r="AH1024" s="939"/>
      <c r="AI1024" s="940"/>
      <c r="AJ1024" s="976"/>
      <c r="AK1024" s="979"/>
      <c r="AL1024" s="1334"/>
      <c r="AM1024" s="440"/>
      <c r="AN1024" s="108"/>
      <c r="AO1024" s="89"/>
    </row>
    <row r="1025" spans="1:42" s="69" customFormat="1" ht="15" customHeight="1" thickBot="1">
      <c r="A1025" s="1042"/>
      <c r="B1025" s="589"/>
      <c r="C1025" s="525"/>
      <c r="D1025" s="223" t="s">
        <v>822</v>
      </c>
      <c r="E1025" s="320" t="s">
        <v>64</v>
      </c>
      <c r="F1025" s="607" t="s">
        <v>64</v>
      </c>
      <c r="G1025" s="426">
        <v>204.3</v>
      </c>
      <c r="H1025" s="320" t="s">
        <v>64</v>
      </c>
      <c r="I1025" s="639" t="s">
        <v>64</v>
      </c>
      <c r="J1025" s="987"/>
      <c r="K1025" s="1001"/>
      <c r="L1025" s="211">
        <v>56.665680000000002</v>
      </c>
      <c r="M1025" s="320" t="s">
        <v>64</v>
      </c>
      <c r="N1025" s="188"/>
      <c r="O1025" s="188"/>
      <c r="P1025" s="188"/>
      <c r="Q1025" s="188"/>
      <c r="R1025" s="214"/>
      <c r="S1025" s="676">
        <v>56.665680000000002</v>
      </c>
      <c r="T1025" s="157">
        <v>773.39122845874908</v>
      </c>
      <c r="U1025" s="607" t="s">
        <v>64</v>
      </c>
      <c r="V1025" s="7"/>
      <c r="W1025" s="7">
        <v>0</v>
      </c>
      <c r="X1025" s="157">
        <v>0</v>
      </c>
      <c r="Y1025" s="7">
        <v>5.0361520000000004</v>
      </c>
      <c r="Z1025" s="157">
        <v>68.735004715111245</v>
      </c>
      <c r="AA1025" s="188"/>
      <c r="AB1025" s="214"/>
      <c r="AC1025" s="7">
        <v>20.674272000000002</v>
      </c>
      <c r="AD1025" s="176">
        <v>282.16904164161315</v>
      </c>
      <c r="AE1025" s="943"/>
      <c r="AF1025" s="944"/>
      <c r="AG1025" s="211">
        <v>56.665680000000002</v>
      </c>
      <c r="AH1025" s="157">
        <v>1546.7824569174982</v>
      </c>
      <c r="AI1025" s="177">
        <f t="shared" si="37"/>
        <v>1546.7824569174982</v>
      </c>
      <c r="AJ1025" s="976"/>
      <c r="AK1025" s="979"/>
      <c r="AL1025" s="1334"/>
      <c r="AM1025" s="440"/>
      <c r="AN1025" s="108"/>
      <c r="AO1025" s="89"/>
    </row>
    <row r="1026" spans="1:42" s="69" customFormat="1" ht="15" customHeight="1" thickBot="1">
      <c r="A1026" s="1042"/>
      <c r="B1026" s="589"/>
      <c r="C1026" s="525"/>
      <c r="D1026" s="518" t="s">
        <v>871</v>
      </c>
      <c r="E1026" s="320" t="s">
        <v>64</v>
      </c>
      <c r="F1026" s="607" t="s">
        <v>64</v>
      </c>
      <c r="G1026" s="426">
        <v>204.3</v>
      </c>
      <c r="H1026" s="320" t="s">
        <v>64</v>
      </c>
      <c r="I1026" s="607" t="s">
        <v>64</v>
      </c>
      <c r="J1026" s="894" t="s">
        <v>744</v>
      </c>
      <c r="K1026" s="1001"/>
      <c r="L1026" s="938" t="s">
        <v>747</v>
      </c>
      <c r="M1026" s="939"/>
      <c r="N1026" s="939"/>
      <c r="O1026" s="939"/>
      <c r="P1026" s="939"/>
      <c r="Q1026" s="956"/>
      <c r="R1026" s="938" t="s">
        <v>747</v>
      </c>
      <c r="S1026" s="939"/>
      <c r="T1026" s="939"/>
      <c r="U1026" s="939"/>
      <c r="V1026" s="939"/>
      <c r="W1026" s="956"/>
      <c r="X1026" s="938" t="s">
        <v>747</v>
      </c>
      <c r="Y1026" s="939"/>
      <c r="Z1026" s="939"/>
      <c r="AA1026" s="939"/>
      <c r="AB1026" s="939"/>
      <c r="AC1026" s="939"/>
      <c r="AD1026" s="940"/>
      <c r="AE1026" s="943"/>
      <c r="AF1026" s="944"/>
      <c r="AG1026" s="938" t="s">
        <v>751</v>
      </c>
      <c r="AH1026" s="939"/>
      <c r="AI1026" s="940"/>
      <c r="AJ1026" s="976"/>
      <c r="AK1026" s="979"/>
      <c r="AL1026" s="1334"/>
      <c r="AM1026" s="440"/>
      <c r="AN1026" s="108"/>
      <c r="AO1026" s="89"/>
    </row>
    <row r="1027" spans="1:42" s="69" customFormat="1" ht="12.75" customHeight="1">
      <c r="A1027" s="1042"/>
      <c r="B1027" s="824"/>
      <c r="C1027" s="525"/>
      <c r="D1027" s="518" t="s">
        <v>862</v>
      </c>
      <c r="E1027" s="320" t="s">
        <v>64</v>
      </c>
      <c r="F1027" s="607" t="s">
        <v>64</v>
      </c>
      <c r="G1027" s="426">
        <v>300</v>
      </c>
      <c r="H1027" s="320" t="s">
        <v>64</v>
      </c>
      <c r="I1027" s="639" t="s">
        <v>64</v>
      </c>
      <c r="J1027" s="986" t="s">
        <v>743</v>
      </c>
      <c r="K1027" s="1104"/>
      <c r="L1027" s="938" t="s">
        <v>749</v>
      </c>
      <c r="M1027" s="939"/>
      <c r="N1027" s="939"/>
      <c r="O1027" s="939"/>
      <c r="P1027" s="939"/>
      <c r="Q1027" s="956"/>
      <c r="R1027" s="938" t="s">
        <v>749</v>
      </c>
      <c r="S1027" s="939"/>
      <c r="T1027" s="939"/>
      <c r="U1027" s="939"/>
      <c r="V1027" s="939"/>
      <c r="W1027" s="956"/>
      <c r="X1027" s="938" t="s">
        <v>749</v>
      </c>
      <c r="Y1027" s="939"/>
      <c r="Z1027" s="939"/>
      <c r="AA1027" s="939"/>
      <c r="AB1027" s="939"/>
      <c r="AC1027" s="939"/>
      <c r="AD1027" s="940"/>
      <c r="AE1027" s="943"/>
      <c r="AF1027" s="944"/>
      <c r="AG1027" s="938" t="s">
        <v>750</v>
      </c>
      <c r="AH1027" s="939"/>
      <c r="AI1027" s="940"/>
      <c r="AJ1027" s="976"/>
      <c r="AK1027" s="979"/>
      <c r="AL1027" s="1334"/>
      <c r="AM1027" s="440"/>
      <c r="AN1027" s="89"/>
      <c r="AO1027" s="89"/>
    </row>
    <row r="1028" spans="1:42" s="69" customFormat="1" ht="12.75" customHeight="1" thickBot="1">
      <c r="A1028" s="1042"/>
      <c r="B1028" s="824"/>
      <c r="C1028" s="525"/>
      <c r="D1028" s="223" t="s">
        <v>822</v>
      </c>
      <c r="E1028" s="320" t="s">
        <v>64</v>
      </c>
      <c r="F1028" s="607" t="s">
        <v>64</v>
      </c>
      <c r="G1028" s="426">
        <v>30</v>
      </c>
      <c r="H1028" s="320" t="s">
        <v>64</v>
      </c>
      <c r="I1028" s="639" t="s">
        <v>64</v>
      </c>
      <c r="J1028" s="987"/>
      <c r="K1028" s="1104"/>
      <c r="L1028" s="7">
        <v>25.504080000000002</v>
      </c>
      <c r="M1028" s="320" t="s">
        <v>64</v>
      </c>
      <c r="N1028" s="188"/>
      <c r="O1028" s="188"/>
      <c r="P1028" s="188"/>
      <c r="Q1028" s="188"/>
      <c r="R1028" s="214"/>
      <c r="S1028" s="633">
        <v>25.504080000000002</v>
      </c>
      <c r="T1028" s="157">
        <v>348.08779779771817</v>
      </c>
      <c r="U1028" s="607" t="s">
        <v>64</v>
      </c>
      <c r="V1028" s="7"/>
      <c r="W1028" s="7">
        <v>0</v>
      </c>
      <c r="X1028" s="157">
        <v>0</v>
      </c>
      <c r="Y1028" s="7">
        <v>2.7424119999999998</v>
      </c>
      <c r="Z1028" s="157">
        <v>37.429311456599741</v>
      </c>
      <c r="AA1028" s="188"/>
      <c r="AB1028" s="214"/>
      <c r="AC1028" s="7">
        <v>9.0016320000000007</v>
      </c>
      <c r="AD1028" s="176">
        <v>122.85713734686645</v>
      </c>
      <c r="AE1028" s="943"/>
      <c r="AF1028" s="944"/>
      <c r="AG1028" s="211">
        <v>25.504080000000002</v>
      </c>
      <c r="AH1028" s="157">
        <v>696.17559559543633</v>
      </c>
      <c r="AI1028" s="176">
        <f t="shared" ref="AI1028:AI1044" si="38">AH1028</f>
        <v>696.17559559543633</v>
      </c>
      <c r="AJ1028" s="976"/>
      <c r="AK1028" s="979"/>
      <c r="AL1028" s="1334"/>
      <c r="AM1028" s="440"/>
      <c r="AN1028" s="89"/>
      <c r="AO1028" s="89"/>
    </row>
    <row r="1029" spans="1:42" s="69" customFormat="1" ht="12.75" customHeight="1" thickBot="1">
      <c r="A1029" s="1042"/>
      <c r="B1029" s="824"/>
      <c r="C1029" s="525"/>
      <c r="D1029" s="518" t="s">
        <v>863</v>
      </c>
      <c r="E1029" s="320" t="s">
        <v>64</v>
      </c>
      <c r="F1029" s="607" t="s">
        <v>64</v>
      </c>
      <c r="G1029" s="426">
        <v>30</v>
      </c>
      <c r="H1029" s="320" t="s">
        <v>64</v>
      </c>
      <c r="I1029" s="607" t="s">
        <v>64</v>
      </c>
      <c r="J1029" s="895" t="s">
        <v>744</v>
      </c>
      <c r="K1029" s="1104"/>
      <c r="L1029" s="938" t="s">
        <v>747</v>
      </c>
      <c r="M1029" s="939"/>
      <c r="N1029" s="939"/>
      <c r="O1029" s="939"/>
      <c r="P1029" s="939"/>
      <c r="Q1029" s="956"/>
      <c r="R1029" s="938" t="s">
        <v>747</v>
      </c>
      <c r="S1029" s="939"/>
      <c r="T1029" s="939"/>
      <c r="U1029" s="939"/>
      <c r="V1029" s="939"/>
      <c r="W1029" s="956"/>
      <c r="X1029" s="938" t="s">
        <v>747</v>
      </c>
      <c r="Y1029" s="939"/>
      <c r="Z1029" s="939"/>
      <c r="AA1029" s="939"/>
      <c r="AB1029" s="939"/>
      <c r="AC1029" s="939"/>
      <c r="AD1029" s="940"/>
      <c r="AE1029" s="943"/>
      <c r="AF1029" s="944"/>
      <c r="AG1029" s="938" t="s">
        <v>751</v>
      </c>
      <c r="AH1029" s="939"/>
      <c r="AI1029" s="940"/>
      <c r="AJ1029" s="976"/>
      <c r="AK1029" s="979"/>
      <c r="AL1029" s="1334"/>
      <c r="AM1029" s="440"/>
      <c r="AN1029" s="89"/>
      <c r="AO1029" s="89"/>
    </row>
    <row r="1030" spans="1:42" s="69" customFormat="1" ht="12.75" customHeight="1">
      <c r="A1030" s="1042"/>
      <c r="B1030" s="824"/>
      <c r="C1030" s="525"/>
      <c r="D1030" s="518" t="s">
        <v>864</v>
      </c>
      <c r="E1030" s="320" t="s">
        <v>64</v>
      </c>
      <c r="F1030" s="607" t="s">
        <v>64</v>
      </c>
      <c r="G1030" s="427">
        <v>66666.66</v>
      </c>
      <c r="H1030" s="320" t="s">
        <v>64</v>
      </c>
      <c r="I1030" s="639" t="s">
        <v>64</v>
      </c>
      <c r="J1030" s="986" t="s">
        <v>743</v>
      </c>
      <c r="K1030" s="1104"/>
      <c r="L1030" s="938" t="s">
        <v>749</v>
      </c>
      <c r="M1030" s="939"/>
      <c r="N1030" s="939"/>
      <c r="O1030" s="939"/>
      <c r="P1030" s="939"/>
      <c r="Q1030" s="956"/>
      <c r="R1030" s="938" t="s">
        <v>749</v>
      </c>
      <c r="S1030" s="939"/>
      <c r="T1030" s="939"/>
      <c r="U1030" s="939"/>
      <c r="V1030" s="939"/>
      <c r="W1030" s="956"/>
      <c r="X1030" s="938" t="s">
        <v>749</v>
      </c>
      <c r="Y1030" s="939"/>
      <c r="Z1030" s="939"/>
      <c r="AA1030" s="939"/>
      <c r="AB1030" s="939"/>
      <c r="AC1030" s="939"/>
      <c r="AD1030" s="940"/>
      <c r="AE1030" s="943"/>
      <c r="AF1030" s="944"/>
      <c r="AG1030" s="938" t="s">
        <v>750</v>
      </c>
      <c r="AH1030" s="939"/>
      <c r="AI1030" s="940"/>
      <c r="AJ1030" s="976"/>
      <c r="AK1030" s="979"/>
      <c r="AL1030" s="1334"/>
      <c r="AM1030" s="440"/>
      <c r="AN1030" s="89"/>
      <c r="AO1030" s="89"/>
    </row>
    <row r="1031" spans="1:42" s="69" customFormat="1" ht="12.75" customHeight="1" thickBot="1">
      <c r="A1031" s="1042"/>
      <c r="B1031" s="824"/>
      <c r="C1031" s="525"/>
      <c r="D1031" s="223" t="s">
        <v>822</v>
      </c>
      <c r="E1031" s="320" t="s">
        <v>64</v>
      </c>
      <c r="F1031" s="607" t="s">
        <v>64</v>
      </c>
      <c r="G1031" s="427">
        <v>3333.33</v>
      </c>
      <c r="H1031" s="320" t="s">
        <v>64</v>
      </c>
      <c r="I1031" s="639" t="s">
        <v>64</v>
      </c>
      <c r="J1031" s="987"/>
      <c r="K1031" s="1104"/>
      <c r="L1031" s="7">
        <v>65.144040000000004</v>
      </c>
      <c r="M1031" s="320" t="s">
        <v>64</v>
      </c>
      <c r="N1031" s="188"/>
      <c r="O1031" s="188"/>
      <c r="P1031" s="188"/>
      <c r="Q1031" s="188"/>
      <c r="R1031" s="214"/>
      <c r="S1031" s="633">
        <v>65.144040000000004</v>
      </c>
      <c r="T1031" s="157">
        <v>889.10658307402139</v>
      </c>
      <c r="U1031" s="607" t="s">
        <v>64</v>
      </c>
      <c r="V1031" s="7"/>
      <c r="W1031" s="7">
        <v>0</v>
      </c>
      <c r="X1031" s="157">
        <v>0</v>
      </c>
      <c r="Y1031" s="7">
        <v>8.6884060000000005</v>
      </c>
      <c r="Z1031" s="157">
        <v>118.58212924804511</v>
      </c>
      <c r="AA1031" s="188"/>
      <c r="AB1031" s="214"/>
      <c r="AC1031" s="7">
        <v>24.857616000000004</v>
      </c>
      <c r="AD1031" s="176">
        <v>339.26465145738769</v>
      </c>
      <c r="AE1031" s="943"/>
      <c r="AF1031" s="944"/>
      <c r="AG1031" s="211">
        <v>65.144040000000004</v>
      </c>
      <c r="AH1031" s="157">
        <v>1778.2131661480428</v>
      </c>
      <c r="AI1031" s="176">
        <f t="shared" si="38"/>
        <v>1778.2131661480428</v>
      </c>
      <c r="AJ1031" s="976"/>
      <c r="AK1031" s="979"/>
      <c r="AL1031" s="1334"/>
      <c r="AM1031" s="440"/>
      <c r="AN1031" s="89"/>
      <c r="AO1031" s="89"/>
    </row>
    <row r="1032" spans="1:42" s="69" customFormat="1" ht="12.75" customHeight="1" thickBot="1">
      <c r="A1032" s="1042"/>
      <c r="B1032" s="824"/>
      <c r="C1032" s="525"/>
      <c r="D1032" s="518" t="s">
        <v>865</v>
      </c>
      <c r="E1032" s="320" t="s">
        <v>64</v>
      </c>
      <c r="F1032" s="607" t="s">
        <v>64</v>
      </c>
      <c r="G1032" s="427">
        <v>3333.33</v>
      </c>
      <c r="H1032" s="320" t="s">
        <v>64</v>
      </c>
      <c r="I1032" s="607" t="s">
        <v>64</v>
      </c>
      <c r="J1032" s="894" t="s">
        <v>744</v>
      </c>
      <c r="K1032" s="1104"/>
      <c r="L1032" s="938" t="s">
        <v>747</v>
      </c>
      <c r="M1032" s="939"/>
      <c r="N1032" s="939"/>
      <c r="O1032" s="939"/>
      <c r="P1032" s="939"/>
      <c r="Q1032" s="956"/>
      <c r="R1032" s="938" t="s">
        <v>747</v>
      </c>
      <c r="S1032" s="939"/>
      <c r="T1032" s="939"/>
      <c r="U1032" s="939"/>
      <c r="V1032" s="939"/>
      <c r="W1032" s="956"/>
      <c r="X1032" s="938" t="s">
        <v>747</v>
      </c>
      <c r="Y1032" s="939"/>
      <c r="Z1032" s="939"/>
      <c r="AA1032" s="939"/>
      <c r="AB1032" s="939"/>
      <c r="AC1032" s="939"/>
      <c r="AD1032" s="940"/>
      <c r="AE1032" s="943"/>
      <c r="AF1032" s="944"/>
      <c r="AG1032" s="938" t="s">
        <v>751</v>
      </c>
      <c r="AH1032" s="939"/>
      <c r="AI1032" s="940"/>
      <c r="AJ1032" s="976"/>
      <c r="AK1032" s="979"/>
      <c r="AL1032" s="1334"/>
      <c r="AM1032" s="440"/>
      <c r="AN1032" s="89"/>
      <c r="AO1032" s="89"/>
    </row>
    <row r="1033" spans="1:42" s="69" customFormat="1" ht="12.75" customHeight="1">
      <c r="A1033" s="1042"/>
      <c r="B1033" s="824"/>
      <c r="C1033" s="525"/>
      <c r="D1033" s="518" t="s">
        <v>866</v>
      </c>
      <c r="E1033" s="320" t="s">
        <v>64</v>
      </c>
      <c r="F1033" s="607" t="s">
        <v>64</v>
      </c>
      <c r="G1033" s="426">
        <v>5000</v>
      </c>
      <c r="H1033" s="320" t="s">
        <v>64</v>
      </c>
      <c r="I1033" s="639" t="s">
        <v>64</v>
      </c>
      <c r="J1033" s="986" t="s">
        <v>743</v>
      </c>
      <c r="K1033" s="1104"/>
      <c r="L1033" s="925" t="s">
        <v>749</v>
      </c>
      <c r="M1033" s="925"/>
      <c r="N1033" s="925"/>
      <c r="O1033" s="925"/>
      <c r="P1033" s="925"/>
      <c r="Q1033" s="926"/>
      <c r="R1033" s="925" t="s">
        <v>749</v>
      </c>
      <c r="S1033" s="925"/>
      <c r="T1033" s="925"/>
      <c r="U1033" s="925"/>
      <c r="V1033" s="925"/>
      <c r="W1033" s="926"/>
      <c r="X1033" s="924" t="s">
        <v>749</v>
      </c>
      <c r="Y1033" s="925"/>
      <c r="Z1033" s="925"/>
      <c r="AA1033" s="925"/>
      <c r="AB1033" s="925"/>
      <c r="AC1033" s="925"/>
      <c r="AD1033" s="935"/>
      <c r="AE1033" s="943"/>
      <c r="AF1033" s="944"/>
      <c r="AG1033" s="947" t="s">
        <v>749</v>
      </c>
      <c r="AH1033" s="948"/>
      <c r="AI1033" s="967"/>
      <c r="AJ1033" s="976"/>
      <c r="AK1033" s="979"/>
      <c r="AL1033" s="1334"/>
      <c r="AM1033" s="440"/>
      <c r="AN1033" s="89"/>
      <c r="AO1033" s="89"/>
    </row>
    <row r="1034" spans="1:42" s="69" customFormat="1" ht="12.75" customHeight="1">
      <c r="A1034" s="1042"/>
      <c r="B1034" s="824"/>
      <c r="C1034" s="525"/>
      <c r="D1034" s="518" t="s">
        <v>867</v>
      </c>
      <c r="E1034" s="320" t="s">
        <v>64</v>
      </c>
      <c r="F1034" s="607" t="s">
        <v>64</v>
      </c>
      <c r="G1034" s="426">
        <v>16000</v>
      </c>
      <c r="H1034" s="320" t="s">
        <v>64</v>
      </c>
      <c r="I1034" s="639" t="s">
        <v>64</v>
      </c>
      <c r="J1034" s="988"/>
      <c r="K1034" s="1104"/>
      <c r="L1034" s="969"/>
      <c r="M1034" s="969"/>
      <c r="N1034" s="969"/>
      <c r="O1034" s="969"/>
      <c r="P1034" s="969"/>
      <c r="Q1034" s="993"/>
      <c r="R1034" s="969"/>
      <c r="S1034" s="969"/>
      <c r="T1034" s="969"/>
      <c r="U1034" s="969"/>
      <c r="V1034" s="969"/>
      <c r="W1034" s="993"/>
      <c r="X1034" s="968"/>
      <c r="Y1034" s="969"/>
      <c r="Z1034" s="969"/>
      <c r="AA1034" s="969"/>
      <c r="AB1034" s="969"/>
      <c r="AC1034" s="969"/>
      <c r="AD1034" s="970"/>
      <c r="AE1034" s="943"/>
      <c r="AF1034" s="944"/>
      <c r="AG1034" s="953"/>
      <c r="AH1034" s="954"/>
      <c r="AI1034" s="964"/>
      <c r="AJ1034" s="976"/>
      <c r="AK1034" s="979"/>
      <c r="AL1034" s="1334"/>
      <c r="AM1034" s="440"/>
      <c r="AN1034" s="89"/>
      <c r="AO1034" s="89"/>
    </row>
    <row r="1035" spans="1:42" s="69" customFormat="1" ht="12.75" customHeight="1" thickBot="1">
      <c r="A1035" s="1042"/>
      <c r="B1035" s="824"/>
      <c r="C1035" s="525"/>
      <c r="D1035" s="223" t="s">
        <v>822</v>
      </c>
      <c r="E1035" s="320" t="s">
        <v>64</v>
      </c>
      <c r="F1035" s="607" t="s">
        <v>64</v>
      </c>
      <c r="G1035" s="426">
        <v>6400</v>
      </c>
      <c r="H1035" s="320" t="s">
        <v>64</v>
      </c>
      <c r="I1035" s="639" t="s">
        <v>64</v>
      </c>
      <c r="J1035" s="987"/>
      <c r="K1035" s="1104"/>
      <c r="L1035" s="7">
        <v>101.94408000000001</v>
      </c>
      <c r="M1035" s="320" t="s">
        <v>64</v>
      </c>
      <c r="N1035" s="188"/>
      <c r="O1035" s="188"/>
      <c r="P1035" s="188"/>
      <c r="Q1035" s="188"/>
      <c r="R1035" s="214"/>
      <c r="S1035" s="633">
        <v>101.94408000000001</v>
      </c>
      <c r="T1035" s="157">
        <v>1391.365236688184</v>
      </c>
      <c r="U1035" s="607" t="s">
        <v>64</v>
      </c>
      <c r="V1035" s="7"/>
      <c r="W1035" s="7">
        <v>0</v>
      </c>
      <c r="X1035" s="157">
        <v>0</v>
      </c>
      <c r="Y1035" s="7">
        <v>14.208412000000001</v>
      </c>
      <c r="Z1035" s="157">
        <v>193.92092729016983</v>
      </c>
      <c r="AA1035" s="188"/>
      <c r="AB1035" s="214"/>
      <c r="AC1035" s="7">
        <v>39.577632000000008</v>
      </c>
      <c r="AD1035" s="176">
        <v>540.16811290305361</v>
      </c>
      <c r="AE1035" s="943"/>
      <c r="AF1035" s="944"/>
      <c r="AG1035" s="211">
        <v>101.94408000000001</v>
      </c>
      <c r="AH1035" s="157">
        <v>2782.7304733763681</v>
      </c>
      <c r="AI1035" s="176">
        <f t="shared" si="38"/>
        <v>2782.7304733763681</v>
      </c>
      <c r="AJ1035" s="976"/>
      <c r="AK1035" s="979"/>
      <c r="AL1035" s="1334"/>
      <c r="AM1035" s="440"/>
      <c r="AN1035" s="89"/>
      <c r="AO1035" s="89"/>
    </row>
    <row r="1036" spans="1:42" s="69" customFormat="1" ht="15" customHeight="1" thickBot="1">
      <c r="A1036" s="1042"/>
      <c r="B1036" s="824"/>
      <c r="C1036" s="525"/>
      <c r="D1036" s="518" t="s">
        <v>868</v>
      </c>
      <c r="E1036" s="320" t="s">
        <v>64</v>
      </c>
      <c r="F1036" s="607" t="s">
        <v>64</v>
      </c>
      <c r="G1036" s="426">
        <v>6400</v>
      </c>
      <c r="H1036" s="320" t="s">
        <v>64</v>
      </c>
      <c r="I1036" s="607" t="s">
        <v>64</v>
      </c>
      <c r="J1036" s="894" t="s">
        <v>744</v>
      </c>
      <c r="K1036" s="1104"/>
      <c r="L1036" s="938" t="s">
        <v>747</v>
      </c>
      <c r="M1036" s="939"/>
      <c r="N1036" s="939"/>
      <c r="O1036" s="939"/>
      <c r="P1036" s="939"/>
      <c r="Q1036" s="956"/>
      <c r="R1036" s="938" t="s">
        <v>747</v>
      </c>
      <c r="S1036" s="939"/>
      <c r="T1036" s="939"/>
      <c r="U1036" s="939"/>
      <c r="V1036" s="939"/>
      <c r="W1036" s="956"/>
      <c r="X1036" s="938" t="s">
        <v>747</v>
      </c>
      <c r="Y1036" s="939"/>
      <c r="Z1036" s="939"/>
      <c r="AA1036" s="939"/>
      <c r="AB1036" s="939"/>
      <c r="AC1036" s="939"/>
      <c r="AD1036" s="940"/>
      <c r="AE1036" s="943"/>
      <c r="AF1036" s="944"/>
      <c r="AG1036" s="938" t="s">
        <v>751</v>
      </c>
      <c r="AH1036" s="939"/>
      <c r="AI1036" s="940"/>
      <c r="AJ1036" s="976"/>
      <c r="AK1036" s="979"/>
      <c r="AL1036" s="1334"/>
      <c r="AM1036" s="440"/>
      <c r="AN1036" s="89"/>
      <c r="AO1036" s="89"/>
    </row>
    <row r="1037" spans="1:42" s="69" customFormat="1" ht="15" customHeight="1">
      <c r="A1037" s="1042"/>
      <c r="B1037" s="824"/>
      <c r="C1037" s="525"/>
      <c r="D1037" s="518" t="s">
        <v>869</v>
      </c>
      <c r="E1037" s="320" t="s">
        <v>64</v>
      </c>
      <c r="F1037" s="607" t="s">
        <v>64</v>
      </c>
      <c r="G1037" s="427">
        <v>222.22</v>
      </c>
      <c r="H1037" s="320" t="s">
        <v>64</v>
      </c>
      <c r="I1037" s="639" t="s">
        <v>64</v>
      </c>
      <c r="J1037" s="986" t="s">
        <v>743</v>
      </c>
      <c r="K1037" s="1104"/>
      <c r="L1037" s="925" t="s">
        <v>749</v>
      </c>
      <c r="M1037" s="925"/>
      <c r="N1037" s="925"/>
      <c r="O1037" s="925"/>
      <c r="P1037" s="925"/>
      <c r="Q1037" s="926"/>
      <c r="R1037" s="925" t="s">
        <v>749</v>
      </c>
      <c r="S1037" s="925"/>
      <c r="T1037" s="925"/>
      <c r="U1037" s="925"/>
      <c r="V1037" s="925"/>
      <c r="W1037" s="926"/>
      <c r="X1037" s="924" t="s">
        <v>749</v>
      </c>
      <c r="Y1037" s="925"/>
      <c r="Z1037" s="925"/>
      <c r="AA1037" s="925"/>
      <c r="AB1037" s="925"/>
      <c r="AC1037" s="925"/>
      <c r="AD1037" s="935"/>
      <c r="AE1037" s="943"/>
      <c r="AF1037" s="944"/>
      <c r="AG1037" s="947" t="s">
        <v>749</v>
      </c>
      <c r="AH1037" s="948"/>
      <c r="AI1037" s="967"/>
      <c r="AJ1037" s="976"/>
      <c r="AK1037" s="979"/>
      <c r="AL1037" s="1334"/>
      <c r="AM1037" s="440"/>
      <c r="AN1037" s="108"/>
      <c r="AO1037" s="89"/>
    </row>
    <row r="1038" spans="1:42" s="69" customFormat="1" ht="15" customHeight="1">
      <c r="A1038" s="1042"/>
      <c r="B1038" s="824"/>
      <c r="C1038" s="525"/>
      <c r="D1038" s="518" t="s">
        <v>870</v>
      </c>
      <c r="E1038" s="320" t="s">
        <v>64</v>
      </c>
      <c r="F1038" s="607" t="s">
        <v>64</v>
      </c>
      <c r="G1038" s="427">
        <v>2222.2199999999998</v>
      </c>
      <c r="H1038" s="320" t="s">
        <v>64</v>
      </c>
      <c r="I1038" s="639" t="s">
        <v>64</v>
      </c>
      <c r="J1038" s="988"/>
      <c r="K1038" s="1104"/>
      <c r="L1038" s="932"/>
      <c r="M1038" s="932"/>
      <c r="N1038" s="932"/>
      <c r="O1038" s="932"/>
      <c r="P1038" s="932"/>
      <c r="Q1038" s="933"/>
      <c r="R1038" s="932"/>
      <c r="S1038" s="932"/>
      <c r="T1038" s="932"/>
      <c r="U1038" s="932"/>
      <c r="V1038" s="932"/>
      <c r="W1038" s="933"/>
      <c r="X1038" s="971"/>
      <c r="Y1038" s="932"/>
      <c r="Z1038" s="932"/>
      <c r="AA1038" s="932"/>
      <c r="AB1038" s="932"/>
      <c r="AC1038" s="932"/>
      <c r="AD1038" s="937"/>
      <c r="AE1038" s="943"/>
      <c r="AF1038" s="944"/>
      <c r="AG1038" s="950"/>
      <c r="AH1038" s="951"/>
      <c r="AI1038" s="963"/>
      <c r="AJ1038" s="976"/>
      <c r="AK1038" s="979"/>
      <c r="AL1038" s="1334"/>
      <c r="AM1038" s="440"/>
      <c r="AN1038" s="108"/>
      <c r="AO1038" s="89"/>
    </row>
    <row r="1039" spans="1:42" s="69" customFormat="1" ht="15" customHeight="1">
      <c r="A1039" s="1042"/>
      <c r="B1039" s="824"/>
      <c r="C1039" s="525"/>
      <c r="D1039" s="518" t="s">
        <v>793</v>
      </c>
      <c r="E1039" s="320" t="s">
        <v>64</v>
      </c>
      <c r="F1039" s="607" t="s">
        <v>64</v>
      </c>
      <c r="G1039" s="426">
        <v>1569.06</v>
      </c>
      <c r="H1039" s="320" t="s">
        <v>64</v>
      </c>
      <c r="I1039" s="639" t="s">
        <v>64</v>
      </c>
      <c r="J1039" s="988"/>
      <c r="K1039" s="1104"/>
      <c r="L1039" s="932"/>
      <c r="M1039" s="932"/>
      <c r="N1039" s="932"/>
      <c r="O1039" s="932"/>
      <c r="P1039" s="932"/>
      <c r="Q1039" s="933"/>
      <c r="R1039" s="932"/>
      <c r="S1039" s="932"/>
      <c r="T1039" s="932"/>
      <c r="U1039" s="932"/>
      <c r="V1039" s="932"/>
      <c r="W1039" s="933"/>
      <c r="X1039" s="971"/>
      <c r="Y1039" s="932"/>
      <c r="Z1039" s="932"/>
      <c r="AA1039" s="932"/>
      <c r="AB1039" s="932"/>
      <c r="AC1039" s="932"/>
      <c r="AD1039" s="937"/>
      <c r="AE1039" s="943"/>
      <c r="AF1039" s="944"/>
      <c r="AG1039" s="950"/>
      <c r="AH1039" s="951"/>
      <c r="AI1039" s="963"/>
      <c r="AJ1039" s="976"/>
      <c r="AK1039" s="979"/>
      <c r="AL1039" s="1334"/>
      <c r="AM1039" s="440"/>
      <c r="AN1039" s="108"/>
      <c r="AO1039" s="89"/>
    </row>
    <row r="1040" spans="1:42" s="10" customFormat="1" ht="15" customHeight="1" thickBot="1">
      <c r="A1040" s="1042"/>
      <c r="B1040" s="871"/>
      <c r="C1040" s="527"/>
      <c r="D1040" s="789" t="s">
        <v>794</v>
      </c>
      <c r="E1040" s="226" t="s">
        <v>64</v>
      </c>
      <c r="F1040" s="229" t="s">
        <v>64</v>
      </c>
      <c r="G1040" s="429">
        <v>666.66</v>
      </c>
      <c r="H1040" s="226" t="s">
        <v>64</v>
      </c>
      <c r="I1040" s="641" t="s">
        <v>64</v>
      </c>
      <c r="J1040" s="987"/>
      <c r="K1040" s="1104"/>
      <c r="L1040" s="928"/>
      <c r="M1040" s="928"/>
      <c r="N1040" s="928"/>
      <c r="O1040" s="928"/>
      <c r="P1040" s="928"/>
      <c r="Q1040" s="929"/>
      <c r="R1040" s="928"/>
      <c r="S1040" s="928"/>
      <c r="T1040" s="928"/>
      <c r="U1040" s="928"/>
      <c r="V1040" s="928"/>
      <c r="W1040" s="929"/>
      <c r="X1040" s="927"/>
      <c r="Y1040" s="928"/>
      <c r="Z1040" s="928"/>
      <c r="AA1040" s="928"/>
      <c r="AB1040" s="928"/>
      <c r="AC1040" s="928"/>
      <c r="AD1040" s="936"/>
      <c r="AE1040" s="945"/>
      <c r="AF1040" s="946"/>
      <c r="AG1040" s="972"/>
      <c r="AH1040" s="973"/>
      <c r="AI1040" s="974"/>
      <c r="AJ1040" s="976"/>
      <c r="AK1040" s="980"/>
      <c r="AL1040" s="1334"/>
      <c r="AM1040" s="440"/>
      <c r="AN1040" s="107"/>
      <c r="AO1040" s="86"/>
      <c r="AP1040" s="104"/>
    </row>
    <row r="1041" spans="1:42" s="10" customFormat="1" ht="15" customHeight="1">
      <c r="A1041" s="1042"/>
      <c r="B1041" s="232" t="s">
        <v>151</v>
      </c>
      <c r="C1041" s="912" t="s">
        <v>151</v>
      </c>
      <c r="D1041" s="222" t="s">
        <v>736</v>
      </c>
      <c r="E1041" s="242" t="s">
        <v>1</v>
      </c>
      <c r="F1041" s="223" t="s">
        <v>0</v>
      </c>
      <c r="G1041" s="426">
        <f>3*74*21.753</f>
        <v>4829.1660000000002</v>
      </c>
      <c r="H1041" s="225" t="s">
        <v>221</v>
      </c>
      <c r="I1041" s="640">
        <v>3500</v>
      </c>
      <c r="J1041" s="989" t="s">
        <v>743</v>
      </c>
      <c r="K1041" s="1104"/>
      <c r="L1041" s="120">
        <v>333.22915</v>
      </c>
      <c r="M1041" s="120">
        <v>25</v>
      </c>
      <c r="N1041" s="115"/>
      <c r="O1041" s="115"/>
      <c r="P1041" s="115"/>
      <c r="Q1041" s="115"/>
      <c r="R1041" s="174"/>
      <c r="S1041" s="676">
        <v>308.22915</v>
      </c>
      <c r="T1041" s="117">
        <v>2998.8064608599007</v>
      </c>
      <c r="U1041" s="120">
        <v>45.5</v>
      </c>
      <c r="V1041" s="120"/>
      <c r="W1041" s="120">
        <v>62.77915800000001</v>
      </c>
      <c r="X1041" s="117">
        <v>610.78760596700374</v>
      </c>
      <c r="Y1041" s="120">
        <v>17.392498800000006</v>
      </c>
      <c r="Z1041" s="117">
        <v>237.37835693314392</v>
      </c>
      <c r="AA1041" s="115"/>
      <c r="AB1041" s="174"/>
      <c r="AC1041" s="120">
        <v>95.579996800000018</v>
      </c>
      <c r="AD1041" s="177">
        <v>929.91176185902179</v>
      </c>
      <c r="AE1041" s="941" t="s">
        <v>19</v>
      </c>
      <c r="AF1041" s="942"/>
      <c r="AG1041" s="209">
        <v>308.22915</v>
      </c>
      <c r="AH1041" s="117">
        <v>5997.6129217198013</v>
      </c>
      <c r="AI1041" s="177">
        <f t="shared" si="38"/>
        <v>5997.6129217198013</v>
      </c>
      <c r="AJ1041" s="976"/>
      <c r="AK1041" s="978">
        <f>SUM(AI1041:AI1052)</f>
        <v>19275.991870779955</v>
      </c>
      <c r="AL1041" s="1334"/>
      <c r="AM1041" s="440"/>
      <c r="AN1041" s="107"/>
      <c r="AO1041" s="86"/>
      <c r="AP1041" s="104"/>
    </row>
    <row r="1042" spans="1:42" s="10" customFormat="1" ht="15" customHeight="1">
      <c r="A1042" s="1042"/>
      <c r="B1042" s="821"/>
      <c r="C1042" s="525"/>
      <c r="D1042" s="223" t="s">
        <v>809</v>
      </c>
      <c r="E1042" s="320" t="s">
        <v>64</v>
      </c>
      <c r="F1042" s="607" t="s">
        <v>64</v>
      </c>
      <c r="G1042" s="426">
        <f>74*21.753</f>
        <v>1609.722</v>
      </c>
      <c r="H1042" s="320" t="s">
        <v>64</v>
      </c>
      <c r="I1042" s="639" t="s">
        <v>64</v>
      </c>
      <c r="J1042" s="990"/>
      <c r="K1042" s="1104"/>
      <c r="L1042" s="7">
        <v>46.316664000000003</v>
      </c>
      <c r="M1042" s="320" t="s">
        <v>64</v>
      </c>
      <c r="N1042" s="188"/>
      <c r="O1042" s="188"/>
      <c r="P1042" s="188"/>
      <c r="Q1042" s="188"/>
      <c r="R1042" s="214"/>
      <c r="S1042" s="633">
        <v>46.316664000000003</v>
      </c>
      <c r="T1042" s="157">
        <v>450.62159516281037</v>
      </c>
      <c r="U1042" s="607" t="s">
        <v>64</v>
      </c>
      <c r="V1042" s="7"/>
      <c r="W1042" s="7">
        <v>0</v>
      </c>
      <c r="X1042" s="157">
        <v>0</v>
      </c>
      <c r="Y1042" s="7">
        <v>10.2174996</v>
      </c>
      <c r="Z1042" s="157">
        <v>99.40754732092492</v>
      </c>
      <c r="AA1042" s="188"/>
      <c r="AB1042" s="214"/>
      <c r="AC1042" s="7">
        <v>16.126665600000003</v>
      </c>
      <c r="AD1042" s="176">
        <v>156.89868720530521</v>
      </c>
      <c r="AE1042" s="943"/>
      <c r="AF1042" s="944"/>
      <c r="AG1042" s="211">
        <v>46.316664000000003</v>
      </c>
      <c r="AH1042" s="157">
        <v>901.24319032562073</v>
      </c>
      <c r="AI1042" s="176">
        <f t="shared" si="38"/>
        <v>901.24319032562073</v>
      </c>
      <c r="AJ1042" s="976"/>
      <c r="AK1042" s="979"/>
      <c r="AL1042" s="1334"/>
      <c r="AM1042" s="440"/>
      <c r="AN1042" s="107"/>
      <c r="AO1042" s="86"/>
      <c r="AP1042" s="104"/>
    </row>
    <row r="1043" spans="1:42" s="10" customFormat="1" ht="15.75" customHeight="1">
      <c r="A1043" s="1042"/>
      <c r="B1043" s="821"/>
      <c r="C1043" s="525"/>
      <c r="D1043" s="223" t="s">
        <v>810</v>
      </c>
      <c r="E1043" s="320" t="s">
        <v>64</v>
      </c>
      <c r="F1043" s="607" t="s">
        <v>64</v>
      </c>
      <c r="G1043" s="426">
        <f>2*G1042</f>
        <v>3219.444</v>
      </c>
      <c r="H1043" s="320" t="s">
        <v>64</v>
      </c>
      <c r="I1043" s="639" t="s">
        <v>64</v>
      </c>
      <c r="J1043" s="990"/>
      <c r="K1043" s="1104"/>
      <c r="L1043" s="7">
        <v>65.633328000000006</v>
      </c>
      <c r="M1043" s="320" t="s">
        <v>64</v>
      </c>
      <c r="N1043" s="188"/>
      <c r="O1043" s="188"/>
      <c r="P1043" s="188"/>
      <c r="Q1043" s="188"/>
      <c r="R1043" s="214"/>
      <c r="S1043" s="633">
        <v>65.633328000000006</v>
      </c>
      <c r="T1043" s="157">
        <v>638.55624315265777</v>
      </c>
      <c r="U1043" s="607" t="s">
        <v>64</v>
      </c>
      <c r="V1043" s="7"/>
      <c r="W1043" s="7">
        <v>0</v>
      </c>
      <c r="X1043" s="157">
        <v>0</v>
      </c>
      <c r="Y1043" s="7">
        <v>13.1149992</v>
      </c>
      <c r="Z1043" s="157">
        <v>127.59774451940199</v>
      </c>
      <c r="AA1043" s="188"/>
      <c r="AB1043" s="214"/>
      <c r="AC1043" s="7">
        <v>23.8533312</v>
      </c>
      <c r="AD1043" s="176">
        <v>232.07254640124438</v>
      </c>
      <c r="AE1043" s="943"/>
      <c r="AF1043" s="944"/>
      <c r="AG1043" s="211">
        <v>65.633328000000006</v>
      </c>
      <c r="AH1043" s="157">
        <v>1277.1124863053155</v>
      </c>
      <c r="AI1043" s="176">
        <f t="shared" si="38"/>
        <v>1277.1124863053155</v>
      </c>
      <c r="AJ1043" s="976"/>
      <c r="AK1043" s="979"/>
      <c r="AL1043" s="1334"/>
      <c r="AM1043" s="440"/>
      <c r="AN1043" s="107"/>
      <c r="AO1043" s="86"/>
      <c r="AP1043" s="104"/>
    </row>
    <row r="1044" spans="1:42" s="69" customFormat="1" ht="15" customHeight="1">
      <c r="A1044" s="1042"/>
      <c r="B1044" s="821"/>
      <c r="C1044" s="525"/>
      <c r="D1044" s="223" t="s">
        <v>811</v>
      </c>
      <c r="E1044" s="320" t="s">
        <v>64</v>
      </c>
      <c r="F1044" s="607" t="s">
        <v>64</v>
      </c>
      <c r="G1044" s="426">
        <f>3*G1042</f>
        <v>4829.1660000000002</v>
      </c>
      <c r="H1044" s="320" t="s">
        <v>64</v>
      </c>
      <c r="I1044" s="639" t="s">
        <v>64</v>
      </c>
      <c r="J1044" s="990"/>
      <c r="K1044" s="1104"/>
      <c r="L1044" s="7">
        <v>76.949992000000009</v>
      </c>
      <c r="M1044" s="320" t="s">
        <v>64</v>
      </c>
      <c r="N1044" s="188"/>
      <c r="O1044" s="188"/>
      <c r="P1044" s="188"/>
      <c r="Q1044" s="188"/>
      <c r="R1044" s="214"/>
      <c r="S1044" s="633">
        <v>76.949992000000009</v>
      </c>
      <c r="T1044" s="157">
        <v>748.65772160977542</v>
      </c>
      <c r="U1044" s="607" t="s">
        <v>64</v>
      </c>
      <c r="V1044" s="7"/>
      <c r="W1044" s="7">
        <v>0</v>
      </c>
      <c r="X1044" s="157">
        <v>0</v>
      </c>
      <c r="Y1044" s="7">
        <v>13.012498800000003</v>
      </c>
      <c r="Z1044" s="157">
        <v>126.60050314310553</v>
      </c>
      <c r="AA1044" s="188"/>
      <c r="AB1044" s="214"/>
      <c r="AC1044" s="7">
        <v>29.579996800000004</v>
      </c>
      <c r="AD1044" s="176">
        <v>287.7881132140011</v>
      </c>
      <c r="AE1044" s="943"/>
      <c r="AF1044" s="944"/>
      <c r="AG1044" s="211">
        <v>76.949992000000009</v>
      </c>
      <c r="AH1044" s="157">
        <v>1497.3154432195508</v>
      </c>
      <c r="AI1044" s="176">
        <f t="shared" si="38"/>
        <v>1497.3154432195508</v>
      </c>
      <c r="AJ1044" s="976"/>
      <c r="AK1044" s="979"/>
      <c r="AL1044" s="1334"/>
      <c r="AM1044" s="440"/>
      <c r="AN1044" s="90"/>
      <c r="AO1044" s="128"/>
      <c r="AP1044" s="106"/>
    </row>
    <row r="1045" spans="1:42" s="69" customFormat="1" ht="15" customHeight="1">
      <c r="A1045" s="1042"/>
      <c r="B1045" s="821"/>
      <c r="C1045" s="525"/>
      <c r="D1045" s="223" t="s">
        <v>812</v>
      </c>
      <c r="E1045" s="320" t="s">
        <v>64</v>
      </c>
      <c r="F1045" s="607" t="s">
        <v>64</v>
      </c>
      <c r="G1045" s="426">
        <v>3200</v>
      </c>
      <c r="H1045" s="320" t="s">
        <v>64</v>
      </c>
      <c r="I1045" s="639" t="s">
        <v>64</v>
      </c>
      <c r="J1045" s="990"/>
      <c r="K1045" s="1104"/>
      <c r="L1045" s="7">
        <v>103</v>
      </c>
      <c r="M1045" s="320" t="s">
        <v>64</v>
      </c>
      <c r="N1045" s="188"/>
      <c r="O1045" s="188"/>
      <c r="P1045" s="188"/>
      <c r="Q1045" s="188"/>
      <c r="R1045" s="214"/>
      <c r="S1045" s="633">
        <v>103</v>
      </c>
      <c r="T1045" s="157">
        <v>1002.1020577338961</v>
      </c>
      <c r="U1045" s="607" t="s">
        <v>64</v>
      </c>
      <c r="V1045" s="7"/>
      <c r="W1045" s="7">
        <v>41.6</v>
      </c>
      <c r="X1045" s="157">
        <v>404.73248157019509</v>
      </c>
      <c r="Y1045" s="7">
        <v>10.08</v>
      </c>
      <c r="Z1045" s="157">
        <v>98.069793611239504</v>
      </c>
      <c r="AA1045" s="188"/>
      <c r="AB1045" s="214"/>
      <c r="AC1045" s="7">
        <v>23.36</v>
      </c>
      <c r="AD1045" s="176">
        <v>227.27285503557079</v>
      </c>
      <c r="AE1045" s="943"/>
      <c r="AF1045" s="944"/>
      <c r="AG1045" s="211">
        <v>103</v>
      </c>
      <c r="AH1045" s="157">
        <v>2004.2041154677922</v>
      </c>
      <c r="AI1045" s="176">
        <f t="shared" ref="AI1045:AI1050" si="39">AH1045</f>
        <v>2004.2041154677922</v>
      </c>
      <c r="AJ1045" s="976"/>
      <c r="AK1045" s="979"/>
      <c r="AL1045" s="1334"/>
      <c r="AM1045" s="440"/>
      <c r="AN1045" s="90"/>
      <c r="AO1045" s="128"/>
      <c r="AP1045" s="106"/>
    </row>
    <row r="1046" spans="1:42" s="69" customFormat="1" ht="15" customHeight="1">
      <c r="A1046" s="1042"/>
      <c r="B1046" s="821"/>
      <c r="C1046" s="525"/>
      <c r="D1046" s="223" t="s">
        <v>813</v>
      </c>
      <c r="E1046" s="320" t="s">
        <v>64</v>
      </c>
      <c r="F1046" s="607" t="s">
        <v>64</v>
      </c>
      <c r="G1046" s="426">
        <f>G1045/3*2</f>
        <v>2133.3333333333335</v>
      </c>
      <c r="H1046" s="320" t="s">
        <v>64</v>
      </c>
      <c r="I1046" s="639" t="s">
        <v>64</v>
      </c>
      <c r="J1046" s="990"/>
      <c r="K1046" s="1104"/>
      <c r="L1046" s="7">
        <v>76.333333333333329</v>
      </c>
      <c r="M1046" s="320" t="s">
        <v>64</v>
      </c>
      <c r="N1046" s="188"/>
      <c r="O1046" s="188"/>
      <c r="P1046" s="188"/>
      <c r="Q1046" s="188"/>
      <c r="R1046" s="214"/>
      <c r="S1046" s="633">
        <v>76.333333333333329</v>
      </c>
      <c r="T1046" s="157">
        <v>742.65815929146356</v>
      </c>
      <c r="U1046" s="607" t="s">
        <v>64</v>
      </c>
      <c r="V1046" s="7"/>
      <c r="W1046" s="7">
        <v>27.733333333333338</v>
      </c>
      <c r="X1046" s="157">
        <v>269.8216543801301</v>
      </c>
      <c r="Y1046" s="7">
        <v>8.16</v>
      </c>
      <c r="Z1046" s="157">
        <v>79.389832923384461</v>
      </c>
      <c r="AA1046" s="188"/>
      <c r="AB1046" s="214"/>
      <c r="AC1046" s="7">
        <v>18.239999999999998</v>
      </c>
      <c r="AD1046" s="176">
        <v>177.45962653462394</v>
      </c>
      <c r="AE1046" s="943"/>
      <c r="AF1046" s="944"/>
      <c r="AG1046" s="211">
        <v>76.333333333333329</v>
      </c>
      <c r="AH1046" s="157">
        <v>1485.3163185829271</v>
      </c>
      <c r="AI1046" s="176">
        <f t="shared" si="39"/>
        <v>1485.3163185829271</v>
      </c>
      <c r="AJ1046" s="976"/>
      <c r="AK1046" s="979"/>
      <c r="AL1046" s="1334"/>
      <c r="AM1046" s="440"/>
      <c r="AN1046" s="90"/>
      <c r="AO1046" s="128"/>
      <c r="AP1046" s="106"/>
    </row>
    <row r="1047" spans="1:42" s="69" customFormat="1" ht="15" customHeight="1">
      <c r="A1047" s="1042"/>
      <c r="B1047" s="821"/>
      <c r="C1047" s="525"/>
      <c r="D1047" s="223" t="s">
        <v>814</v>
      </c>
      <c r="E1047" s="320" t="s">
        <v>64</v>
      </c>
      <c r="F1047" s="607" t="s">
        <v>64</v>
      </c>
      <c r="G1047" s="426">
        <f>G1045/3*10%</f>
        <v>106.66666666666669</v>
      </c>
      <c r="H1047" s="320" t="s">
        <v>64</v>
      </c>
      <c r="I1047" s="639" t="s">
        <v>64</v>
      </c>
      <c r="J1047" s="990"/>
      <c r="K1047" s="1104"/>
      <c r="L1047" s="7">
        <v>20.28</v>
      </c>
      <c r="M1047" s="320" t="s">
        <v>64</v>
      </c>
      <c r="N1047" s="188"/>
      <c r="O1047" s="188"/>
      <c r="P1047" s="188"/>
      <c r="Q1047" s="188"/>
      <c r="R1047" s="214"/>
      <c r="S1047" s="633">
        <v>20.28</v>
      </c>
      <c r="T1047" s="157">
        <v>197.30708476547017</v>
      </c>
      <c r="U1047" s="607" t="s">
        <v>64</v>
      </c>
      <c r="V1047" s="7"/>
      <c r="W1047" s="7">
        <v>0</v>
      </c>
      <c r="X1047" s="157">
        <v>0</v>
      </c>
      <c r="Y1047" s="7">
        <v>4.5120000000000005</v>
      </c>
      <c r="Z1047" s="157">
        <v>43.897907616459605</v>
      </c>
      <c r="AA1047" s="188"/>
      <c r="AB1047" s="214"/>
      <c r="AC1047" s="7">
        <v>6.9120000000000008</v>
      </c>
      <c r="AD1047" s="176">
        <v>67.24785847627858</v>
      </c>
      <c r="AE1047" s="943"/>
      <c r="AF1047" s="944"/>
      <c r="AG1047" s="211">
        <v>20.28</v>
      </c>
      <c r="AH1047" s="157">
        <v>394.61416953094033</v>
      </c>
      <c r="AI1047" s="176">
        <f t="shared" si="39"/>
        <v>394.61416953094033</v>
      </c>
      <c r="AJ1047" s="976"/>
      <c r="AK1047" s="979"/>
      <c r="AL1047" s="1334"/>
      <c r="AM1047" s="440"/>
      <c r="AN1047" s="90"/>
      <c r="AO1047" s="128"/>
      <c r="AP1047" s="106"/>
    </row>
    <row r="1048" spans="1:42" s="69" customFormat="1" ht="15" customHeight="1">
      <c r="A1048" s="1042"/>
      <c r="B1048" s="821"/>
      <c r="C1048" s="525"/>
      <c r="D1048" s="223" t="s">
        <v>815</v>
      </c>
      <c r="E1048" s="320" t="s">
        <v>64</v>
      </c>
      <c r="F1048" s="607" t="s">
        <v>64</v>
      </c>
      <c r="G1048" s="426">
        <f>2*G1047</f>
        <v>213.33333333333337</v>
      </c>
      <c r="H1048" s="320" t="s">
        <v>64</v>
      </c>
      <c r="I1048" s="639" t="s">
        <v>64</v>
      </c>
      <c r="J1048" s="990"/>
      <c r="K1048" s="1104"/>
      <c r="L1048" s="7">
        <v>21.560000000000002</v>
      </c>
      <c r="M1048" s="320" t="s">
        <v>64</v>
      </c>
      <c r="N1048" s="188"/>
      <c r="O1048" s="188"/>
      <c r="P1048" s="188"/>
      <c r="Q1048" s="188"/>
      <c r="R1048" s="214"/>
      <c r="S1048" s="633">
        <v>21.560000000000002</v>
      </c>
      <c r="T1048" s="157">
        <v>209.76039189070684</v>
      </c>
      <c r="U1048" s="607" t="s">
        <v>64</v>
      </c>
      <c r="V1048" s="7"/>
      <c r="W1048" s="7">
        <v>0</v>
      </c>
      <c r="X1048" s="157">
        <v>0</v>
      </c>
      <c r="Y1048" s="7">
        <v>4.7040000000000006</v>
      </c>
      <c r="Z1048" s="157">
        <v>45.765903685245149</v>
      </c>
      <c r="AA1048" s="188"/>
      <c r="AB1048" s="214"/>
      <c r="AC1048" s="7">
        <v>7.4240000000000013</v>
      </c>
      <c r="AD1048" s="176">
        <v>72.229181326373279</v>
      </c>
      <c r="AE1048" s="943"/>
      <c r="AF1048" s="944"/>
      <c r="AG1048" s="211">
        <v>21.560000000000002</v>
      </c>
      <c r="AH1048" s="157">
        <v>419.52078378141368</v>
      </c>
      <c r="AI1048" s="176">
        <f t="shared" si="39"/>
        <v>419.52078378141368</v>
      </c>
      <c r="AJ1048" s="976"/>
      <c r="AK1048" s="979"/>
      <c r="AL1048" s="1334"/>
      <c r="AM1048" s="440"/>
      <c r="AN1048" s="90"/>
      <c r="AO1048" s="128"/>
      <c r="AP1048" s="106"/>
    </row>
    <row r="1049" spans="1:42" s="69" customFormat="1" ht="15" customHeight="1">
      <c r="A1049" s="1042"/>
      <c r="B1049" s="821"/>
      <c r="C1049" s="525"/>
      <c r="D1049" s="223" t="s">
        <v>816</v>
      </c>
      <c r="E1049" s="320" t="s">
        <v>64</v>
      </c>
      <c r="F1049" s="607" t="s">
        <v>64</v>
      </c>
      <c r="G1049" s="426">
        <f>3*G1047</f>
        <v>320.00000000000006</v>
      </c>
      <c r="H1049" s="320" t="s">
        <v>64</v>
      </c>
      <c r="I1049" s="639" t="s">
        <v>64</v>
      </c>
      <c r="J1049" s="990"/>
      <c r="K1049" s="1104"/>
      <c r="L1049" s="7">
        <v>22.84</v>
      </c>
      <c r="M1049" s="320" t="s">
        <v>64</v>
      </c>
      <c r="N1049" s="188"/>
      <c r="O1049" s="188"/>
      <c r="P1049" s="188"/>
      <c r="Q1049" s="188"/>
      <c r="R1049" s="214"/>
      <c r="S1049" s="633">
        <v>22.84</v>
      </c>
      <c r="T1049" s="157">
        <v>222.2136990159438</v>
      </c>
      <c r="U1049" s="607" t="s">
        <v>64</v>
      </c>
      <c r="V1049" s="7"/>
      <c r="W1049" s="7">
        <v>0</v>
      </c>
      <c r="X1049" s="157">
        <v>0</v>
      </c>
      <c r="Y1049" s="7">
        <v>4.8960000000000008</v>
      </c>
      <c r="Z1049" s="157">
        <v>47.633899754030672</v>
      </c>
      <c r="AA1049" s="188"/>
      <c r="AB1049" s="214"/>
      <c r="AC1049" s="7">
        <v>7.9359999999999999</v>
      </c>
      <c r="AD1049" s="176">
        <v>77.210504176467978</v>
      </c>
      <c r="AE1049" s="943"/>
      <c r="AF1049" s="944"/>
      <c r="AG1049" s="211">
        <v>22.84</v>
      </c>
      <c r="AH1049" s="157">
        <v>444.42739803188761</v>
      </c>
      <c r="AI1049" s="176">
        <f t="shared" si="39"/>
        <v>444.42739803188761</v>
      </c>
      <c r="AJ1049" s="976"/>
      <c r="AK1049" s="979"/>
      <c r="AL1049" s="1334"/>
      <c r="AM1049" s="440"/>
      <c r="AN1049" s="90"/>
      <c r="AO1049" s="128"/>
      <c r="AP1049" s="106"/>
    </row>
    <row r="1050" spans="1:42" s="69" customFormat="1" ht="15" customHeight="1">
      <c r="A1050" s="1042"/>
      <c r="B1050" s="821"/>
      <c r="C1050" s="525"/>
      <c r="D1050" s="223" t="s">
        <v>820</v>
      </c>
      <c r="E1050" s="320" t="s">
        <v>64</v>
      </c>
      <c r="F1050" s="607" t="s">
        <v>64</v>
      </c>
      <c r="G1050" s="426">
        <v>3800</v>
      </c>
      <c r="H1050" s="320" t="s">
        <v>64</v>
      </c>
      <c r="I1050" s="639" t="s">
        <v>64</v>
      </c>
      <c r="J1050" s="990"/>
      <c r="K1050" s="1104"/>
      <c r="L1050" s="7">
        <v>64.599999999999994</v>
      </c>
      <c r="M1050" s="320" t="s">
        <v>64</v>
      </c>
      <c r="N1050" s="188"/>
      <c r="O1050" s="188"/>
      <c r="P1050" s="188"/>
      <c r="Q1050" s="188"/>
      <c r="R1050" s="214"/>
      <c r="S1050" s="633">
        <v>64.599999999999994</v>
      </c>
      <c r="T1050" s="157">
        <v>628.50284397679309</v>
      </c>
      <c r="U1050" s="607" t="s">
        <v>64</v>
      </c>
      <c r="V1050" s="7"/>
      <c r="W1050" s="7">
        <v>0</v>
      </c>
      <c r="X1050" s="157">
        <v>0</v>
      </c>
      <c r="Y1050" s="7">
        <v>11.160000000000002</v>
      </c>
      <c r="Z1050" s="157">
        <v>108.57727149815817</v>
      </c>
      <c r="AA1050" s="188"/>
      <c r="AB1050" s="214"/>
      <c r="AC1050" s="7">
        <v>24.64</v>
      </c>
      <c r="AD1050" s="176">
        <v>239.72616216080792</v>
      </c>
      <c r="AE1050" s="943"/>
      <c r="AF1050" s="944"/>
      <c r="AG1050" s="211">
        <v>64.599999999999994</v>
      </c>
      <c r="AH1050" s="157">
        <v>1257.0056879535862</v>
      </c>
      <c r="AI1050" s="176">
        <f t="shared" si="39"/>
        <v>1257.0056879535862</v>
      </c>
      <c r="AJ1050" s="976"/>
      <c r="AK1050" s="979"/>
      <c r="AL1050" s="1334"/>
      <c r="AM1050" s="440"/>
      <c r="AN1050" s="90"/>
      <c r="AO1050" s="128"/>
      <c r="AP1050" s="106"/>
    </row>
    <row r="1051" spans="1:42" s="69" customFormat="1" ht="15.75" customHeight="1">
      <c r="A1051" s="1042"/>
      <c r="B1051" s="821"/>
      <c r="C1051" s="525"/>
      <c r="D1051" s="223" t="s">
        <v>821</v>
      </c>
      <c r="E1051" s="320" t="s">
        <v>64</v>
      </c>
      <c r="F1051" s="607" t="s">
        <v>64</v>
      </c>
      <c r="G1051" s="427">
        <v>3333.33</v>
      </c>
      <c r="H1051" s="320" t="s">
        <v>64</v>
      </c>
      <c r="I1051" s="639" t="s">
        <v>64</v>
      </c>
      <c r="J1051" s="990"/>
      <c r="K1051" s="1104"/>
      <c r="L1051" s="7">
        <v>106.33325000000001</v>
      </c>
      <c r="M1051" s="320" t="s">
        <v>64</v>
      </c>
      <c r="N1051" s="188"/>
      <c r="O1051" s="188"/>
      <c r="P1051" s="188"/>
      <c r="Q1051" s="188"/>
      <c r="R1051" s="214"/>
      <c r="S1051" s="633">
        <v>106.33325000000001</v>
      </c>
      <c r="T1051" s="157">
        <v>1034.5317342770177</v>
      </c>
      <c r="U1051" s="607" t="s">
        <v>64</v>
      </c>
      <c r="V1051" s="7"/>
      <c r="W1051" s="7">
        <v>43.333290000000005</v>
      </c>
      <c r="X1051" s="157">
        <v>421.59591337261833</v>
      </c>
      <c r="Y1051" s="7">
        <v>10.319994000000001</v>
      </c>
      <c r="Z1051" s="157">
        <v>100.40473032234425</v>
      </c>
      <c r="AA1051" s="188"/>
      <c r="AB1051" s="214"/>
      <c r="AC1051" s="7">
        <v>23.999984000000001</v>
      </c>
      <c r="AD1051" s="176">
        <v>233.49935293185075</v>
      </c>
      <c r="AE1051" s="943"/>
      <c r="AF1051" s="944"/>
      <c r="AG1051" s="211">
        <v>106.33325000000001</v>
      </c>
      <c r="AH1051" s="157">
        <v>2069.0634685540354</v>
      </c>
      <c r="AI1051" s="176">
        <f t="shared" ref="AI1051:AI1053" si="40">AH1051</f>
        <v>2069.0634685540354</v>
      </c>
      <c r="AJ1051" s="976"/>
      <c r="AK1051" s="979"/>
      <c r="AL1051" s="1334"/>
      <c r="AM1051" s="440"/>
      <c r="AN1051" s="90"/>
      <c r="AO1051" s="128"/>
      <c r="AP1051" s="106"/>
    </row>
    <row r="1052" spans="1:42" s="69" customFormat="1" ht="15" customHeight="1" thickBot="1">
      <c r="A1052" s="1042"/>
      <c r="B1052" s="745"/>
      <c r="C1052" s="527"/>
      <c r="D1052" s="224" t="s">
        <v>822</v>
      </c>
      <c r="E1052" s="226" t="s">
        <v>64</v>
      </c>
      <c r="F1052" s="229" t="s">
        <v>64</v>
      </c>
      <c r="G1052" s="429">
        <v>2222.2199999999998</v>
      </c>
      <c r="H1052" s="226" t="s">
        <v>64</v>
      </c>
      <c r="I1052" s="641" t="s">
        <v>64</v>
      </c>
      <c r="J1052" s="991"/>
      <c r="K1052" s="1104"/>
      <c r="L1052" s="28">
        <v>78.555499999999995</v>
      </c>
      <c r="M1052" s="226" t="s">
        <v>64</v>
      </c>
      <c r="N1052" s="116"/>
      <c r="O1052" s="116"/>
      <c r="P1052" s="116"/>
      <c r="Q1052" s="116"/>
      <c r="R1052" s="175"/>
      <c r="S1052" s="677">
        <v>78.555499999999995</v>
      </c>
      <c r="T1052" s="118">
        <v>764.27794365354441</v>
      </c>
      <c r="U1052" s="229" t="s">
        <v>64</v>
      </c>
      <c r="V1052" s="28"/>
      <c r="W1052" s="28">
        <v>28.888860000000001</v>
      </c>
      <c r="X1052" s="118">
        <v>281.06394224841205</v>
      </c>
      <c r="Y1052" s="28">
        <v>8.3199959999999997</v>
      </c>
      <c r="Z1052" s="118">
        <v>80.946457397454225</v>
      </c>
      <c r="AA1052" s="116"/>
      <c r="AB1052" s="175"/>
      <c r="AC1052" s="28">
        <v>18.666656</v>
      </c>
      <c r="AD1052" s="180">
        <v>181.61062513214358</v>
      </c>
      <c r="AE1052" s="943"/>
      <c r="AF1052" s="944"/>
      <c r="AG1052" s="199">
        <v>78.555499999999995</v>
      </c>
      <c r="AH1052" s="118">
        <v>1528.5558873070888</v>
      </c>
      <c r="AI1052" s="180">
        <f t="shared" si="40"/>
        <v>1528.5558873070888</v>
      </c>
      <c r="AJ1052" s="976"/>
      <c r="AK1052" s="980"/>
      <c r="AL1052" s="1334"/>
      <c r="AM1052" s="151"/>
      <c r="AN1052" s="90"/>
      <c r="AO1052" s="128"/>
      <c r="AP1052" s="106"/>
    </row>
    <row r="1053" spans="1:42" s="69" customFormat="1" ht="15" customHeight="1">
      <c r="A1053" s="1042"/>
      <c r="B1053" s="465" t="s">
        <v>151</v>
      </c>
      <c r="C1053" s="386" t="s">
        <v>151</v>
      </c>
      <c r="D1053" s="222" t="s">
        <v>737</v>
      </c>
      <c r="E1053" s="242" t="s">
        <v>1</v>
      </c>
      <c r="F1053" s="242" t="s">
        <v>0</v>
      </c>
      <c r="G1053" s="430">
        <f>3*72*20.4305</f>
        <v>4412.9879999999994</v>
      </c>
      <c r="H1053" s="225" t="s">
        <v>221</v>
      </c>
      <c r="I1053" s="640">
        <v>2000</v>
      </c>
      <c r="J1053" s="992" t="s">
        <v>742</v>
      </c>
      <c r="K1053" s="1103" t="s">
        <v>746</v>
      </c>
      <c r="L1053" s="120">
        <v>315.42470000000003</v>
      </c>
      <c r="M1053" s="120">
        <v>25</v>
      </c>
      <c r="N1053" s="115"/>
      <c r="O1053" s="115"/>
      <c r="P1053" s="115"/>
      <c r="Q1053" s="115"/>
      <c r="R1053" s="174"/>
      <c r="S1053" s="676">
        <v>290.42470000000003</v>
      </c>
      <c r="T1053" s="117">
        <v>2825.5843639490231</v>
      </c>
      <c r="U1053" s="120">
        <v>26</v>
      </c>
      <c r="V1053" s="120"/>
      <c r="W1053" s="120">
        <v>57.368843999999996</v>
      </c>
      <c r="X1053" s="117">
        <v>558.14987011859148</v>
      </c>
      <c r="Y1053" s="120">
        <v>16.643378399999996</v>
      </c>
      <c r="Z1053" s="117">
        <v>161.92586157557167</v>
      </c>
      <c r="AA1053" s="115"/>
      <c r="AB1053" s="174"/>
      <c r="AC1053" s="120">
        <v>90.622342400000008</v>
      </c>
      <c r="AD1053" s="177">
        <v>881.67801743403584</v>
      </c>
      <c r="AE1053" s="943"/>
      <c r="AF1053" s="944"/>
      <c r="AG1053" s="209">
        <v>290.42470000000003</v>
      </c>
      <c r="AH1053" s="117">
        <v>5651.1687278980462</v>
      </c>
      <c r="AI1053" s="177">
        <f t="shared" si="40"/>
        <v>5651.1687278980462</v>
      </c>
      <c r="AJ1053" s="976"/>
      <c r="AK1053" s="978">
        <f>SUM(AI1053:AI1064)</f>
        <v>14883.324096827586</v>
      </c>
      <c r="AL1053" s="1334"/>
      <c r="AM1053" s="151"/>
      <c r="AN1053" s="90"/>
      <c r="AO1053" s="128"/>
      <c r="AP1053" s="106"/>
    </row>
    <row r="1054" spans="1:42" s="69" customFormat="1" ht="15" customHeight="1">
      <c r="A1054" s="1042"/>
      <c r="B1054" s="824"/>
      <c r="C1054" s="525"/>
      <c r="D1054" s="223" t="s">
        <v>809</v>
      </c>
      <c r="E1054" s="320" t="s">
        <v>64</v>
      </c>
      <c r="F1054" s="607" t="s">
        <v>64</v>
      </c>
      <c r="G1054" s="430">
        <f>72*20.4305</f>
        <v>1470.9959999999999</v>
      </c>
      <c r="H1054" s="320" t="s">
        <v>64</v>
      </c>
      <c r="I1054" s="639" t="s">
        <v>64</v>
      </c>
      <c r="J1054" s="984"/>
      <c r="K1054" s="1104"/>
      <c r="L1054" s="7">
        <v>44.651951999999994</v>
      </c>
      <c r="M1054" s="320" t="s">
        <v>64</v>
      </c>
      <c r="N1054" s="188"/>
      <c r="O1054" s="188"/>
      <c r="P1054" s="188"/>
      <c r="Q1054" s="188"/>
      <c r="R1054" s="214"/>
      <c r="S1054" s="633">
        <v>44.651951999999994</v>
      </c>
      <c r="T1054" s="157">
        <v>434.42536874791443</v>
      </c>
      <c r="U1054" s="607" t="s">
        <v>64</v>
      </c>
      <c r="V1054" s="7"/>
      <c r="W1054" s="7">
        <v>0</v>
      </c>
      <c r="X1054" s="157">
        <v>0</v>
      </c>
      <c r="Y1054" s="7">
        <v>9.9677927999999998</v>
      </c>
      <c r="Z1054" s="157">
        <v>96.978113358690436</v>
      </c>
      <c r="AA1054" s="188"/>
      <c r="AB1054" s="214"/>
      <c r="AC1054" s="7">
        <v>15.460780799999998</v>
      </c>
      <c r="AD1054" s="176">
        <v>150.4201966393467</v>
      </c>
      <c r="AE1054" s="943"/>
      <c r="AF1054" s="944"/>
      <c r="AG1054" s="211">
        <v>44.651951999999994</v>
      </c>
      <c r="AH1054" s="157">
        <v>868.85073749582887</v>
      </c>
      <c r="AI1054" s="176">
        <f t="shared" ref="AI1054:AI1059" si="41">AH1054</f>
        <v>868.85073749582887</v>
      </c>
      <c r="AJ1054" s="976"/>
      <c r="AK1054" s="979"/>
      <c r="AL1054" s="1334"/>
      <c r="AM1054" s="151"/>
      <c r="AN1054" s="90"/>
      <c r="AO1054" s="128"/>
      <c r="AP1054" s="106"/>
    </row>
    <row r="1055" spans="1:42" s="69" customFormat="1" ht="15" customHeight="1">
      <c r="A1055" s="1042"/>
      <c r="B1055" s="824"/>
      <c r="C1055" s="525"/>
      <c r="D1055" s="223" t="s">
        <v>810</v>
      </c>
      <c r="E1055" s="320" t="s">
        <v>64</v>
      </c>
      <c r="F1055" s="607" t="s">
        <v>64</v>
      </c>
      <c r="G1055" s="426">
        <f>2*204.3</f>
        <v>408.6</v>
      </c>
      <c r="H1055" s="320" t="s">
        <v>64</v>
      </c>
      <c r="I1055" s="639" t="s">
        <v>64</v>
      </c>
      <c r="J1055" s="984"/>
      <c r="K1055" s="1104"/>
      <c r="L1055" s="7">
        <v>31.903199999999998</v>
      </c>
      <c r="M1055" s="320" t="s">
        <v>64</v>
      </c>
      <c r="N1055" s="188"/>
      <c r="O1055" s="188"/>
      <c r="P1055" s="188"/>
      <c r="Q1055" s="188"/>
      <c r="R1055" s="214"/>
      <c r="S1055" s="633">
        <v>31.903199999999998</v>
      </c>
      <c r="T1055" s="157">
        <v>310.3908967795731</v>
      </c>
      <c r="U1055" s="607" t="s">
        <v>64</v>
      </c>
      <c r="V1055" s="7"/>
      <c r="W1055" s="7">
        <v>0</v>
      </c>
      <c r="X1055" s="157">
        <v>0</v>
      </c>
      <c r="Y1055" s="7">
        <v>8.0554799999999993</v>
      </c>
      <c r="Z1055" s="157">
        <v>78.372942563439281</v>
      </c>
      <c r="AA1055" s="188"/>
      <c r="AB1055" s="214"/>
      <c r="AC1055" s="7">
        <v>10.361280000000001</v>
      </c>
      <c r="AD1055" s="176">
        <v>100.80640785201042</v>
      </c>
      <c r="AE1055" s="943"/>
      <c r="AF1055" s="944"/>
      <c r="AG1055" s="211">
        <v>31.903199999999998</v>
      </c>
      <c r="AH1055" s="157">
        <v>620.78179355914619</v>
      </c>
      <c r="AI1055" s="176">
        <f t="shared" si="41"/>
        <v>620.78179355914619</v>
      </c>
      <c r="AJ1055" s="976"/>
      <c r="AK1055" s="979"/>
      <c r="AL1055" s="1334"/>
      <c r="AM1055" s="151"/>
      <c r="AN1055" s="90"/>
      <c r="AO1055" s="128"/>
      <c r="AP1055" s="106"/>
    </row>
    <row r="1056" spans="1:42" s="69" customFormat="1" ht="15" customHeight="1">
      <c r="A1056" s="1042"/>
      <c r="B1056" s="824"/>
      <c r="C1056" s="525"/>
      <c r="D1056" s="223" t="s">
        <v>811</v>
      </c>
      <c r="E1056" s="320" t="s">
        <v>64</v>
      </c>
      <c r="F1056" s="607" t="s">
        <v>64</v>
      </c>
      <c r="G1056" s="426">
        <f>3*204.3</f>
        <v>612.90000000000009</v>
      </c>
      <c r="H1056" s="320" t="s">
        <v>64</v>
      </c>
      <c r="I1056" s="639" t="s">
        <v>64</v>
      </c>
      <c r="J1056" s="984"/>
      <c r="K1056" s="1104"/>
      <c r="L1056" s="7">
        <v>26.354800000000001</v>
      </c>
      <c r="M1056" s="320" t="s">
        <v>64</v>
      </c>
      <c r="N1056" s="188"/>
      <c r="O1056" s="188"/>
      <c r="P1056" s="188"/>
      <c r="Q1056" s="188"/>
      <c r="R1056" s="214"/>
      <c r="S1056" s="633">
        <v>26.354800000000001</v>
      </c>
      <c r="T1056" s="157">
        <v>256.40970205014833</v>
      </c>
      <c r="U1056" s="607" t="s">
        <v>64</v>
      </c>
      <c r="V1056" s="7"/>
      <c r="W1056" s="7">
        <v>0</v>
      </c>
      <c r="X1056" s="157">
        <v>0</v>
      </c>
      <c r="Y1056" s="7">
        <v>5.4232200000000006</v>
      </c>
      <c r="Z1056" s="157">
        <v>52.763300209161422</v>
      </c>
      <c r="AA1056" s="188"/>
      <c r="AB1056" s="214"/>
      <c r="AC1056" s="7">
        <v>9.34192</v>
      </c>
      <c r="AD1056" s="176">
        <v>90.888905390149887</v>
      </c>
      <c r="AE1056" s="943"/>
      <c r="AF1056" s="944"/>
      <c r="AG1056" s="211">
        <v>26.354800000000001</v>
      </c>
      <c r="AH1056" s="157">
        <v>512.81940410029665</v>
      </c>
      <c r="AI1056" s="176">
        <f t="shared" si="41"/>
        <v>512.81940410029665</v>
      </c>
      <c r="AJ1056" s="976"/>
      <c r="AK1056" s="979"/>
      <c r="AL1056" s="1334"/>
      <c r="AM1056" s="151"/>
      <c r="AN1056" s="90"/>
      <c r="AO1056" s="128"/>
      <c r="AP1056" s="106"/>
    </row>
    <row r="1057" spans="1:42" s="69" customFormat="1" ht="15" customHeight="1">
      <c r="A1057" s="1042"/>
      <c r="B1057" s="824"/>
      <c r="C1057" s="525"/>
      <c r="D1057" s="223" t="s">
        <v>812</v>
      </c>
      <c r="E1057" s="320" t="s">
        <v>64</v>
      </c>
      <c r="F1057" s="607" t="s">
        <v>64</v>
      </c>
      <c r="G1057" s="426">
        <v>300</v>
      </c>
      <c r="H1057" s="320" t="s">
        <v>64</v>
      </c>
      <c r="I1057" s="639" t="s">
        <v>64</v>
      </c>
      <c r="J1057" s="984"/>
      <c r="K1057" s="1104"/>
      <c r="L1057" s="7">
        <v>30.5</v>
      </c>
      <c r="M1057" s="320" t="s">
        <v>64</v>
      </c>
      <c r="N1057" s="188"/>
      <c r="O1057" s="188"/>
      <c r="P1057" s="188"/>
      <c r="Q1057" s="188"/>
      <c r="R1057" s="214"/>
      <c r="S1057" s="633">
        <v>30.5</v>
      </c>
      <c r="T1057" s="157">
        <v>296.7389588435326</v>
      </c>
      <c r="U1057" s="607" t="s">
        <v>64</v>
      </c>
      <c r="V1057" s="7"/>
      <c r="W1057" s="7">
        <v>3.9000000000000004</v>
      </c>
      <c r="X1057" s="157">
        <v>37.943670147205765</v>
      </c>
      <c r="Y1057" s="7">
        <v>4.8600000000000003</v>
      </c>
      <c r="Z1057" s="157">
        <v>47.283650491133351</v>
      </c>
      <c r="AA1057" s="188"/>
      <c r="AB1057" s="214"/>
      <c r="AC1057" s="7">
        <v>9.4400000000000013</v>
      </c>
      <c r="AD1057" s="176">
        <v>91.843140048621322</v>
      </c>
      <c r="AE1057" s="943"/>
      <c r="AF1057" s="944"/>
      <c r="AG1057" s="211">
        <v>30.5</v>
      </c>
      <c r="AH1057" s="157">
        <v>593.4779176870652</v>
      </c>
      <c r="AI1057" s="176">
        <f t="shared" si="41"/>
        <v>593.4779176870652</v>
      </c>
      <c r="AJ1057" s="976"/>
      <c r="AK1057" s="979"/>
      <c r="AL1057" s="1334"/>
      <c r="AM1057" s="151"/>
      <c r="AN1057" s="90"/>
      <c r="AO1057" s="128"/>
      <c r="AP1057" s="106"/>
    </row>
    <row r="1058" spans="1:42" s="69" customFormat="1" ht="15.75" customHeight="1">
      <c r="A1058" s="1042"/>
      <c r="B1058" s="824"/>
      <c r="C1058" s="525"/>
      <c r="D1058" s="223" t="s">
        <v>813</v>
      </c>
      <c r="E1058" s="320" t="s">
        <v>64</v>
      </c>
      <c r="F1058" s="607" t="s">
        <v>64</v>
      </c>
      <c r="G1058" s="426">
        <v>600</v>
      </c>
      <c r="H1058" s="320" t="s">
        <v>64</v>
      </c>
      <c r="I1058" s="639" t="s">
        <v>64</v>
      </c>
      <c r="J1058" s="984"/>
      <c r="K1058" s="1104"/>
      <c r="L1058" s="7">
        <v>38</v>
      </c>
      <c r="M1058" s="320" t="s">
        <v>64</v>
      </c>
      <c r="N1058" s="188"/>
      <c r="O1058" s="188"/>
      <c r="P1058" s="188"/>
      <c r="Q1058" s="188"/>
      <c r="R1058" s="214"/>
      <c r="S1058" s="633">
        <v>38</v>
      </c>
      <c r="T1058" s="157">
        <v>369.70755528046664</v>
      </c>
      <c r="U1058" s="607" t="s">
        <v>64</v>
      </c>
      <c r="V1058" s="7"/>
      <c r="W1058" s="7">
        <v>7.8000000000000007</v>
      </c>
      <c r="X1058" s="157">
        <v>75.88734029441153</v>
      </c>
      <c r="Y1058" s="7">
        <v>5.4</v>
      </c>
      <c r="Z1058" s="157">
        <v>52.537389434592647</v>
      </c>
      <c r="AA1058" s="188"/>
      <c r="AB1058" s="214"/>
      <c r="AC1058" s="7">
        <v>10.879999999999999</v>
      </c>
      <c r="AD1058" s="176">
        <v>105.85311056451249</v>
      </c>
      <c r="AE1058" s="943"/>
      <c r="AF1058" s="944"/>
      <c r="AG1058" s="211">
        <v>38</v>
      </c>
      <c r="AH1058" s="157">
        <v>739.41511056093327</v>
      </c>
      <c r="AI1058" s="176">
        <f t="shared" si="41"/>
        <v>739.41511056093327</v>
      </c>
      <c r="AJ1058" s="976"/>
      <c r="AK1058" s="979"/>
      <c r="AL1058" s="1334"/>
      <c r="AM1058" s="151"/>
      <c r="AN1058" s="90"/>
      <c r="AO1058" s="128"/>
      <c r="AP1058" s="106"/>
    </row>
    <row r="1059" spans="1:42" s="69" customFormat="1" ht="15.75" customHeight="1">
      <c r="A1059" s="1042"/>
      <c r="B1059" s="824"/>
      <c r="C1059" s="525"/>
      <c r="D1059" s="223" t="s">
        <v>814</v>
      </c>
      <c r="E1059" s="320" t="s">
        <v>64</v>
      </c>
      <c r="F1059" s="607" t="s">
        <v>64</v>
      </c>
      <c r="G1059" s="426">
        <v>30</v>
      </c>
      <c r="H1059" s="320" t="s">
        <v>64</v>
      </c>
      <c r="I1059" s="639" t="s">
        <v>64</v>
      </c>
      <c r="J1059" s="984"/>
      <c r="K1059" s="1104"/>
      <c r="L1059" s="7">
        <v>19.36</v>
      </c>
      <c r="M1059" s="320" t="s">
        <v>64</v>
      </c>
      <c r="N1059" s="188"/>
      <c r="O1059" s="188"/>
      <c r="P1059" s="188"/>
      <c r="Q1059" s="188"/>
      <c r="R1059" s="214"/>
      <c r="S1059" s="633">
        <v>19.36</v>
      </c>
      <c r="T1059" s="157">
        <v>188.35627026920625</v>
      </c>
      <c r="U1059" s="607" t="s">
        <v>64</v>
      </c>
      <c r="V1059" s="7"/>
      <c r="W1059" s="7">
        <v>0</v>
      </c>
      <c r="X1059" s="157">
        <v>0</v>
      </c>
      <c r="Y1059" s="7">
        <v>4.3739999999999997</v>
      </c>
      <c r="Z1059" s="157">
        <v>42.555285442020008</v>
      </c>
      <c r="AA1059" s="188"/>
      <c r="AB1059" s="214"/>
      <c r="AC1059" s="7">
        <v>6.5440000000000005</v>
      </c>
      <c r="AD1059" s="176">
        <v>63.667532677772989</v>
      </c>
      <c r="AE1059" s="943"/>
      <c r="AF1059" s="944"/>
      <c r="AG1059" s="211">
        <v>19.36</v>
      </c>
      <c r="AH1059" s="157">
        <v>376.7125405384125</v>
      </c>
      <c r="AI1059" s="176">
        <f t="shared" si="41"/>
        <v>376.7125405384125</v>
      </c>
      <c r="AJ1059" s="976"/>
      <c r="AK1059" s="979"/>
      <c r="AL1059" s="1334"/>
      <c r="AM1059" s="440"/>
      <c r="AN1059" s="89"/>
      <c r="AO1059" s="89"/>
    </row>
    <row r="1060" spans="1:42" s="69" customFormat="1" ht="12.75" customHeight="1">
      <c r="A1060" s="1042"/>
      <c r="B1060" s="824"/>
      <c r="C1060" s="525"/>
      <c r="D1060" s="223" t="s">
        <v>815</v>
      </c>
      <c r="E1060" s="320" t="s">
        <v>64</v>
      </c>
      <c r="F1060" s="607" t="s">
        <v>64</v>
      </c>
      <c r="G1060" s="426">
        <v>60</v>
      </c>
      <c r="H1060" s="320" t="s">
        <v>64</v>
      </c>
      <c r="I1060" s="639" t="s">
        <v>64</v>
      </c>
      <c r="J1060" s="984"/>
      <c r="K1060" s="1104"/>
      <c r="L1060" s="7">
        <v>19.72</v>
      </c>
      <c r="M1060" s="320" t="s">
        <v>64</v>
      </c>
      <c r="N1060" s="188"/>
      <c r="O1060" s="188"/>
      <c r="P1060" s="188"/>
      <c r="Q1060" s="188"/>
      <c r="R1060" s="214"/>
      <c r="S1060" s="633">
        <v>19.72</v>
      </c>
      <c r="T1060" s="157">
        <v>191.85876289817924</v>
      </c>
      <c r="U1060" s="607" t="s">
        <v>64</v>
      </c>
      <c r="V1060" s="7"/>
      <c r="W1060" s="7">
        <v>0</v>
      </c>
      <c r="X1060" s="157">
        <v>0</v>
      </c>
      <c r="Y1060" s="7">
        <v>4.4279999999999999</v>
      </c>
      <c r="Z1060" s="157">
        <v>43.080659336365969</v>
      </c>
      <c r="AA1060" s="188"/>
      <c r="AB1060" s="214"/>
      <c r="AC1060" s="7">
        <v>6.6879999999999997</v>
      </c>
      <c r="AD1060" s="176">
        <v>65.068529729362069</v>
      </c>
      <c r="AE1060" s="943"/>
      <c r="AF1060" s="944"/>
      <c r="AG1060" s="211">
        <v>19.72</v>
      </c>
      <c r="AH1060" s="157">
        <v>383.71752579635847</v>
      </c>
      <c r="AI1060" s="176">
        <f t="shared" ref="AI1060:AI1073" si="42">AH1060</f>
        <v>383.71752579635847</v>
      </c>
      <c r="AJ1060" s="976"/>
      <c r="AK1060" s="979"/>
      <c r="AL1060" s="1334"/>
      <c r="AM1060" s="440"/>
      <c r="AN1060" s="89"/>
      <c r="AO1060" s="89"/>
    </row>
    <row r="1061" spans="1:42" s="69" customFormat="1" ht="12.75" customHeight="1">
      <c r="A1061" s="1042"/>
      <c r="B1061" s="824"/>
      <c r="C1061" s="525"/>
      <c r="D1061" s="223" t="s">
        <v>816</v>
      </c>
      <c r="E1061" s="320" t="s">
        <v>64</v>
      </c>
      <c r="F1061" s="607" t="s">
        <v>64</v>
      </c>
      <c r="G1061" s="426">
        <v>90</v>
      </c>
      <c r="H1061" s="320" t="s">
        <v>64</v>
      </c>
      <c r="I1061" s="639" t="s">
        <v>64</v>
      </c>
      <c r="J1061" s="984"/>
      <c r="K1061" s="1104"/>
      <c r="L1061" s="7">
        <v>20.080000000000002</v>
      </c>
      <c r="M1061" s="320" t="s">
        <v>64</v>
      </c>
      <c r="N1061" s="188"/>
      <c r="O1061" s="188"/>
      <c r="P1061" s="188"/>
      <c r="Q1061" s="188"/>
      <c r="R1061" s="214"/>
      <c r="S1061" s="633">
        <v>20.080000000000002</v>
      </c>
      <c r="T1061" s="157">
        <v>195.36125552715183</v>
      </c>
      <c r="U1061" s="607" t="s">
        <v>64</v>
      </c>
      <c r="V1061" s="7"/>
      <c r="W1061" s="7">
        <v>0</v>
      </c>
      <c r="X1061" s="157">
        <v>0</v>
      </c>
      <c r="Y1061" s="7">
        <v>4.4820000000000002</v>
      </c>
      <c r="Z1061" s="157">
        <v>43.606033230711901</v>
      </c>
      <c r="AA1061" s="188"/>
      <c r="AB1061" s="214"/>
      <c r="AC1061" s="7">
        <v>6.8320000000000007</v>
      </c>
      <c r="AD1061" s="176">
        <v>66.469526780951256</v>
      </c>
      <c r="AE1061" s="943"/>
      <c r="AF1061" s="944"/>
      <c r="AG1061" s="211">
        <v>20.080000000000002</v>
      </c>
      <c r="AH1061" s="157">
        <v>390.72251105430365</v>
      </c>
      <c r="AI1061" s="176">
        <f t="shared" si="42"/>
        <v>390.72251105430365</v>
      </c>
      <c r="AJ1061" s="976"/>
      <c r="AK1061" s="979"/>
      <c r="AL1061" s="1334"/>
      <c r="AM1061" s="440"/>
      <c r="AN1061" s="89"/>
      <c r="AO1061" s="89"/>
    </row>
    <row r="1062" spans="1:42" s="69" customFormat="1" ht="12.75" customHeight="1">
      <c r="A1062" s="1042"/>
      <c r="B1062" s="824"/>
      <c r="C1062" s="525"/>
      <c r="D1062" s="223" t="s">
        <v>820</v>
      </c>
      <c r="E1062" s="320" t="s">
        <v>64</v>
      </c>
      <c r="F1062" s="607" t="s">
        <v>64</v>
      </c>
      <c r="G1062" s="427">
        <v>3333.33</v>
      </c>
      <c r="H1062" s="320" t="s">
        <v>64</v>
      </c>
      <c r="I1062" s="639" t="s">
        <v>64</v>
      </c>
      <c r="J1062" s="984"/>
      <c r="K1062" s="1104"/>
      <c r="L1062" s="7">
        <v>58.999960000000002</v>
      </c>
      <c r="M1062" s="320" t="s">
        <v>64</v>
      </c>
      <c r="N1062" s="188"/>
      <c r="O1062" s="188"/>
      <c r="P1062" s="188"/>
      <c r="Q1062" s="188"/>
      <c r="R1062" s="214"/>
      <c r="S1062" s="633">
        <v>58.999960000000002</v>
      </c>
      <c r="T1062" s="157">
        <v>574.01923613803478</v>
      </c>
      <c r="U1062" s="607" t="s">
        <v>64</v>
      </c>
      <c r="V1062" s="7"/>
      <c r="W1062" s="7">
        <v>0</v>
      </c>
      <c r="X1062" s="157">
        <v>0</v>
      </c>
      <c r="Y1062" s="7">
        <v>10.319994000000001</v>
      </c>
      <c r="Z1062" s="157">
        <v>100.40473032234425</v>
      </c>
      <c r="AA1062" s="188"/>
      <c r="AB1062" s="214"/>
      <c r="AC1062" s="7">
        <v>22.399984000000003</v>
      </c>
      <c r="AD1062" s="176">
        <v>217.93271902530441</v>
      </c>
      <c r="AE1062" s="943"/>
      <c r="AF1062" s="944"/>
      <c r="AG1062" s="211">
        <v>58.999960000000002</v>
      </c>
      <c r="AH1062" s="157">
        <v>1148.0384722760696</v>
      </c>
      <c r="AI1062" s="176">
        <f t="shared" si="42"/>
        <v>1148.0384722760696</v>
      </c>
      <c r="AJ1062" s="976"/>
      <c r="AK1062" s="979"/>
      <c r="AL1062" s="1334"/>
      <c r="AM1062" s="440"/>
      <c r="AN1062" s="89"/>
      <c r="AO1062" s="89"/>
    </row>
    <row r="1063" spans="1:42" s="69" customFormat="1" ht="12.75" customHeight="1">
      <c r="A1063" s="1042"/>
      <c r="B1063" s="824"/>
      <c r="C1063" s="525"/>
      <c r="D1063" s="223" t="s">
        <v>821</v>
      </c>
      <c r="E1063" s="320" t="s">
        <v>64</v>
      </c>
      <c r="F1063" s="607" t="s">
        <v>64</v>
      </c>
      <c r="G1063" s="427">
        <v>3333.33</v>
      </c>
      <c r="H1063" s="320" t="s">
        <v>64</v>
      </c>
      <c r="I1063" s="639" t="s">
        <v>64</v>
      </c>
      <c r="J1063" s="984"/>
      <c r="K1063" s="1104"/>
      <c r="L1063" s="7">
        <v>106.33325000000001</v>
      </c>
      <c r="M1063" s="320" t="s">
        <v>64</v>
      </c>
      <c r="N1063" s="188"/>
      <c r="O1063" s="188"/>
      <c r="P1063" s="188"/>
      <c r="Q1063" s="188"/>
      <c r="R1063" s="214"/>
      <c r="S1063" s="633">
        <v>106.33325000000001</v>
      </c>
      <c r="T1063" s="157">
        <v>1034.5317342770177</v>
      </c>
      <c r="U1063" s="607" t="s">
        <v>64</v>
      </c>
      <c r="V1063" s="7"/>
      <c r="W1063" s="7">
        <v>43.333290000000005</v>
      </c>
      <c r="X1063" s="157">
        <v>421.59591337261833</v>
      </c>
      <c r="Y1063" s="7">
        <v>10.319994000000001</v>
      </c>
      <c r="Z1063" s="157">
        <v>100.40473032234425</v>
      </c>
      <c r="AA1063" s="188"/>
      <c r="AB1063" s="214"/>
      <c r="AC1063" s="7">
        <v>23.999984000000001</v>
      </c>
      <c r="AD1063" s="176">
        <v>233.49935293185075</v>
      </c>
      <c r="AE1063" s="943"/>
      <c r="AF1063" s="944"/>
      <c r="AG1063" s="211">
        <v>106.33325000000001</v>
      </c>
      <c r="AH1063" s="157">
        <v>2069.0634685540354</v>
      </c>
      <c r="AI1063" s="176">
        <f t="shared" si="42"/>
        <v>2069.0634685540354</v>
      </c>
      <c r="AJ1063" s="976"/>
      <c r="AK1063" s="979"/>
      <c r="AL1063" s="1334"/>
      <c r="AM1063" s="440"/>
      <c r="AN1063" s="89"/>
      <c r="AO1063" s="89"/>
    </row>
    <row r="1064" spans="1:42" s="69" customFormat="1" ht="12.75" customHeight="1" thickBot="1">
      <c r="A1064" s="1042"/>
      <c r="B1064" s="871"/>
      <c r="C1064" s="527"/>
      <c r="D1064" s="224" t="s">
        <v>822</v>
      </c>
      <c r="E1064" s="226" t="s">
        <v>64</v>
      </c>
      <c r="F1064" s="229" t="s">
        <v>64</v>
      </c>
      <c r="G1064" s="429">
        <v>2222.2199999999998</v>
      </c>
      <c r="H1064" s="226" t="s">
        <v>64</v>
      </c>
      <c r="I1064" s="641" t="s">
        <v>64</v>
      </c>
      <c r="J1064" s="984"/>
      <c r="K1064" s="1104"/>
      <c r="L1064" s="28">
        <v>78.555499999999995</v>
      </c>
      <c r="M1064" s="226" t="s">
        <v>64</v>
      </c>
      <c r="N1064" s="116"/>
      <c r="O1064" s="116"/>
      <c r="P1064" s="116"/>
      <c r="Q1064" s="116"/>
      <c r="R1064" s="175"/>
      <c r="S1064" s="677">
        <v>78.555499999999995</v>
      </c>
      <c r="T1064" s="118">
        <v>764.27794365354441</v>
      </c>
      <c r="U1064" s="229" t="s">
        <v>64</v>
      </c>
      <c r="V1064" s="28"/>
      <c r="W1064" s="28">
        <v>28.888860000000001</v>
      </c>
      <c r="X1064" s="118">
        <v>281.06394224841205</v>
      </c>
      <c r="Y1064" s="28">
        <v>8.3199959999999997</v>
      </c>
      <c r="Z1064" s="118">
        <v>80.946457397454225</v>
      </c>
      <c r="AA1064" s="116"/>
      <c r="AB1064" s="175"/>
      <c r="AC1064" s="28">
        <v>18.666656</v>
      </c>
      <c r="AD1064" s="180">
        <v>181.61062513214358</v>
      </c>
      <c r="AE1064" s="943"/>
      <c r="AF1064" s="944"/>
      <c r="AG1064" s="199">
        <v>78.555499999999995</v>
      </c>
      <c r="AH1064" s="118">
        <v>1528.5558873070888</v>
      </c>
      <c r="AI1064" s="180">
        <f t="shared" si="42"/>
        <v>1528.5558873070888</v>
      </c>
      <c r="AJ1064" s="976"/>
      <c r="AK1064" s="980"/>
      <c r="AL1064" s="1334"/>
      <c r="AM1064" s="440"/>
      <c r="AN1064" s="89"/>
      <c r="AO1064" s="89"/>
    </row>
    <row r="1065" spans="1:42" s="69" customFormat="1" ht="12.75" customHeight="1">
      <c r="A1065" s="1042"/>
      <c r="B1065" s="232" t="s">
        <v>151</v>
      </c>
      <c r="C1065" s="912" t="s">
        <v>151</v>
      </c>
      <c r="D1065" s="592" t="s">
        <v>738</v>
      </c>
      <c r="E1065" s="225" t="s">
        <v>64</v>
      </c>
      <c r="F1065" s="228" t="s">
        <v>64</v>
      </c>
      <c r="G1065" s="426">
        <v>5025.8999999999996</v>
      </c>
      <c r="H1065" s="320" t="s">
        <v>64</v>
      </c>
      <c r="I1065" s="639" t="s">
        <v>64</v>
      </c>
      <c r="J1065" s="984"/>
      <c r="K1065" s="1104"/>
      <c r="L1065" s="120">
        <v>656.19569999999999</v>
      </c>
      <c r="M1065" s="225" t="s">
        <v>64</v>
      </c>
      <c r="N1065" s="115"/>
      <c r="O1065" s="115"/>
      <c r="P1065" s="115"/>
      <c r="Q1065" s="115"/>
      <c r="R1065" s="174"/>
      <c r="S1065" s="676">
        <v>427.29570000000001</v>
      </c>
      <c r="T1065" s="117">
        <v>3357.3381544308422</v>
      </c>
      <c r="U1065" s="228" t="s">
        <v>64</v>
      </c>
      <c r="V1065" s="120"/>
      <c r="W1065" s="120">
        <v>65.336700000000008</v>
      </c>
      <c r="X1065" s="117">
        <v>513.36204833000102</v>
      </c>
      <c r="Y1065" s="120">
        <v>45.738849999999999</v>
      </c>
      <c r="Z1065" s="117">
        <v>444.99995828526249</v>
      </c>
      <c r="AA1065" s="115"/>
      <c r="AB1065" s="174"/>
      <c r="AC1065" s="120">
        <v>121.78565000000002</v>
      </c>
      <c r="AD1065" s="177">
        <v>956.89146744785967</v>
      </c>
      <c r="AE1065" s="943"/>
      <c r="AF1065" s="944"/>
      <c r="AG1065" s="209">
        <v>427.29570000000001</v>
      </c>
      <c r="AH1065" s="117">
        <v>6714.6763088616844</v>
      </c>
      <c r="AI1065" s="177">
        <f t="shared" si="42"/>
        <v>6714.6763088616844</v>
      </c>
      <c r="AJ1065" s="976"/>
      <c r="AK1065" s="981">
        <f>SUM(AI1065:AI1098)</f>
        <v>140395.82307704029</v>
      </c>
      <c r="AL1065" s="1334"/>
      <c r="AM1065" s="440"/>
      <c r="AN1065" s="89"/>
      <c r="AO1065" s="89"/>
    </row>
    <row r="1066" spans="1:42" s="69" customFormat="1" ht="12.75" customHeight="1">
      <c r="A1066" s="1042"/>
      <c r="B1066" s="840"/>
      <c r="C1066" s="525"/>
      <c r="D1066" s="590" t="s">
        <v>871</v>
      </c>
      <c r="E1066" s="320" t="s">
        <v>64</v>
      </c>
      <c r="F1066" s="607" t="s">
        <v>64</v>
      </c>
      <c r="G1066" s="426">
        <f>2*G1054</f>
        <v>2941.9919999999997</v>
      </c>
      <c r="H1066" s="320" t="s">
        <v>64</v>
      </c>
      <c r="I1066" s="639" t="s">
        <v>64</v>
      </c>
      <c r="J1066" s="984"/>
      <c r="K1066" s="1104"/>
      <c r="L1066" s="7">
        <v>94.419919999999991</v>
      </c>
      <c r="M1066" s="320" t="s">
        <v>64</v>
      </c>
      <c r="N1066" s="188"/>
      <c r="O1066" s="188"/>
      <c r="P1066" s="188"/>
      <c r="Q1066" s="188"/>
      <c r="R1066" s="214"/>
      <c r="S1066" s="633">
        <v>94.419919999999991</v>
      </c>
      <c r="T1066" s="157">
        <v>741.87406977020362</v>
      </c>
      <c r="U1066" s="607" t="s">
        <v>64</v>
      </c>
      <c r="V1066" s="7"/>
      <c r="W1066" s="7">
        <v>0</v>
      </c>
      <c r="X1066" s="157">
        <v>0</v>
      </c>
      <c r="Y1066" s="7">
        <v>12.612987999999998</v>
      </c>
      <c r="Z1066" s="157">
        <v>99.102485360321523</v>
      </c>
      <c r="AA1066" s="188"/>
      <c r="AB1066" s="214"/>
      <c r="AC1066" s="7">
        <v>30.946971999999995</v>
      </c>
      <c r="AD1066" s="176">
        <v>243.15585169638456</v>
      </c>
      <c r="AE1066" s="943"/>
      <c r="AF1066" s="944"/>
      <c r="AG1066" s="211">
        <v>94.419919999999991</v>
      </c>
      <c r="AH1066" s="157">
        <v>1483.7481395404072</v>
      </c>
      <c r="AI1066" s="176">
        <f t="shared" si="42"/>
        <v>1483.7481395404072</v>
      </c>
      <c r="AJ1066" s="976"/>
      <c r="AK1066" s="982"/>
      <c r="AL1066" s="1334"/>
      <c r="AM1066" s="440"/>
      <c r="AN1066" s="89"/>
      <c r="AO1066" s="89"/>
    </row>
    <row r="1067" spans="1:42" s="69" customFormat="1" ht="12.75" customHeight="1">
      <c r="A1067" s="1042"/>
      <c r="B1067" s="840"/>
      <c r="C1067" s="525"/>
      <c r="D1067" s="590" t="s">
        <v>862</v>
      </c>
      <c r="E1067" s="320" t="s">
        <v>64</v>
      </c>
      <c r="F1067" s="607" t="s">
        <v>64</v>
      </c>
      <c r="G1067" s="426">
        <f>G1066</f>
        <v>2941.9919999999997</v>
      </c>
      <c r="H1067" s="320" t="s">
        <v>64</v>
      </c>
      <c r="I1067" s="639" t="s">
        <v>64</v>
      </c>
      <c r="J1067" s="984"/>
      <c r="K1067" s="1104"/>
      <c r="L1067" s="7">
        <v>94.419919999999991</v>
      </c>
      <c r="M1067" s="320" t="s">
        <v>64</v>
      </c>
      <c r="N1067" s="188"/>
      <c r="O1067" s="188"/>
      <c r="P1067" s="188"/>
      <c r="Q1067" s="188"/>
      <c r="R1067" s="214"/>
      <c r="S1067" s="633">
        <v>94.419919999999991</v>
      </c>
      <c r="T1067" s="157">
        <v>741.87406977020362</v>
      </c>
      <c r="U1067" s="607" t="s">
        <v>64</v>
      </c>
      <c r="V1067" s="7"/>
      <c r="W1067" s="7">
        <v>0</v>
      </c>
      <c r="X1067" s="157">
        <v>0</v>
      </c>
      <c r="Y1067" s="7">
        <v>12.612987999999998</v>
      </c>
      <c r="Z1067" s="157">
        <v>99.102485360321523</v>
      </c>
      <c r="AA1067" s="188"/>
      <c r="AB1067" s="214"/>
      <c r="AC1067" s="7">
        <v>30.946971999999995</v>
      </c>
      <c r="AD1067" s="176">
        <v>243.15585169638456</v>
      </c>
      <c r="AE1067" s="943"/>
      <c r="AF1067" s="944"/>
      <c r="AG1067" s="211">
        <v>94.419919999999991</v>
      </c>
      <c r="AH1067" s="157">
        <v>1483.7481395404072</v>
      </c>
      <c r="AI1067" s="176">
        <f t="shared" si="42"/>
        <v>1483.7481395404072</v>
      </c>
      <c r="AJ1067" s="976"/>
      <c r="AK1067" s="982"/>
      <c r="AL1067" s="1334"/>
      <c r="AM1067" s="440"/>
      <c r="AN1067" s="89"/>
      <c r="AO1067" s="89"/>
    </row>
    <row r="1068" spans="1:42" s="69" customFormat="1" ht="15.75" customHeight="1">
      <c r="A1068" s="1042"/>
      <c r="B1068" s="840"/>
      <c r="C1068" s="525"/>
      <c r="D1068" s="590" t="s">
        <v>863</v>
      </c>
      <c r="E1068" s="320" t="s">
        <v>64</v>
      </c>
      <c r="F1068" s="607" t="s">
        <v>64</v>
      </c>
      <c r="G1068" s="426">
        <f>G1054</f>
        <v>1470.9959999999999</v>
      </c>
      <c r="H1068" s="320" t="s">
        <v>64</v>
      </c>
      <c r="I1068" s="639" t="s">
        <v>64</v>
      </c>
      <c r="J1068" s="984"/>
      <c r="K1068" s="1104"/>
      <c r="L1068" s="7">
        <v>79.709959999999995</v>
      </c>
      <c r="M1068" s="320" t="s">
        <v>64</v>
      </c>
      <c r="N1068" s="188"/>
      <c r="O1068" s="188"/>
      <c r="P1068" s="188"/>
      <c r="Q1068" s="188"/>
      <c r="R1068" s="214"/>
      <c r="S1068" s="633">
        <v>79.709959999999995</v>
      </c>
      <c r="T1068" s="157">
        <v>626.29530322012693</v>
      </c>
      <c r="U1068" s="607" t="s">
        <v>64</v>
      </c>
      <c r="V1068" s="7"/>
      <c r="W1068" s="7">
        <v>0</v>
      </c>
      <c r="X1068" s="157">
        <v>0</v>
      </c>
      <c r="Y1068" s="7">
        <v>7.4064939999999995</v>
      </c>
      <c r="Z1068" s="157">
        <v>58.19413791611543</v>
      </c>
      <c r="AA1068" s="188"/>
      <c r="AB1068" s="214"/>
      <c r="AC1068" s="7">
        <v>26.848485999999998</v>
      </c>
      <c r="AD1068" s="176">
        <v>210.95331976545108</v>
      </c>
      <c r="AE1068" s="943"/>
      <c r="AF1068" s="944"/>
      <c r="AG1068" s="211">
        <v>79.709959999999995</v>
      </c>
      <c r="AH1068" s="157">
        <v>1252.5906064402539</v>
      </c>
      <c r="AI1068" s="176">
        <f t="shared" si="42"/>
        <v>1252.5906064402539</v>
      </c>
      <c r="AJ1068" s="976"/>
      <c r="AK1068" s="982"/>
      <c r="AL1068" s="1334"/>
      <c r="AM1068" s="440"/>
      <c r="AN1068" s="89"/>
      <c r="AO1068" s="89"/>
    </row>
    <row r="1069" spans="1:42" s="69" customFormat="1" ht="15" customHeight="1">
      <c r="A1069" s="1042"/>
      <c r="B1069" s="840"/>
      <c r="C1069" s="525"/>
      <c r="D1069" s="590" t="s">
        <v>864</v>
      </c>
      <c r="E1069" s="320" t="s">
        <v>64</v>
      </c>
      <c r="F1069" s="607" t="s">
        <v>64</v>
      </c>
      <c r="G1069" s="426">
        <f>G1057</f>
        <v>300</v>
      </c>
      <c r="H1069" s="320" t="s">
        <v>64</v>
      </c>
      <c r="I1069" s="639" t="s">
        <v>64</v>
      </c>
      <c r="J1069" s="984"/>
      <c r="K1069" s="1104"/>
      <c r="L1069" s="7">
        <v>78</v>
      </c>
      <c r="M1069" s="320" t="s">
        <v>64</v>
      </c>
      <c r="N1069" s="188"/>
      <c r="O1069" s="188"/>
      <c r="P1069" s="188"/>
      <c r="Q1069" s="188"/>
      <c r="R1069" s="214"/>
      <c r="S1069" s="633">
        <v>78</v>
      </c>
      <c r="T1069" s="157">
        <v>612.85984400406039</v>
      </c>
      <c r="U1069" s="607" t="s">
        <v>64</v>
      </c>
      <c r="V1069" s="7"/>
      <c r="W1069" s="7">
        <v>0</v>
      </c>
      <c r="X1069" s="157">
        <v>0</v>
      </c>
      <c r="Y1069" s="7">
        <v>5.65</v>
      </c>
      <c r="Z1069" s="157">
        <v>44.393052802858172</v>
      </c>
      <c r="AA1069" s="188"/>
      <c r="AB1069" s="214"/>
      <c r="AC1069" s="7">
        <v>26.25</v>
      </c>
      <c r="AD1069" s="176">
        <v>206.25090903982792</v>
      </c>
      <c r="AE1069" s="943"/>
      <c r="AF1069" s="944"/>
      <c r="AG1069" s="211">
        <v>78</v>
      </c>
      <c r="AH1069" s="157">
        <v>1225.7196880081208</v>
      </c>
      <c r="AI1069" s="176">
        <f t="shared" si="42"/>
        <v>1225.7196880081208</v>
      </c>
      <c r="AJ1069" s="976"/>
      <c r="AK1069" s="982"/>
      <c r="AL1069" s="1334"/>
      <c r="AM1069" s="440"/>
      <c r="AN1069" s="108"/>
      <c r="AO1069" s="89"/>
    </row>
    <row r="1070" spans="1:42" s="69" customFormat="1" ht="15" customHeight="1">
      <c r="A1070" s="1042"/>
      <c r="B1070" s="840"/>
      <c r="C1070" s="525"/>
      <c r="D1070" s="590" t="s">
        <v>865</v>
      </c>
      <c r="E1070" s="320" t="s">
        <v>64</v>
      </c>
      <c r="F1070" s="607" t="s">
        <v>64</v>
      </c>
      <c r="G1070" s="426">
        <f>2*(G1069*10%)</f>
        <v>60</v>
      </c>
      <c r="H1070" s="320" t="s">
        <v>64</v>
      </c>
      <c r="I1070" s="639" t="s">
        <v>64</v>
      </c>
      <c r="J1070" s="984"/>
      <c r="K1070" s="1104"/>
      <c r="L1070" s="7">
        <v>65.599999999999994</v>
      </c>
      <c r="M1070" s="320" t="s">
        <v>64</v>
      </c>
      <c r="N1070" s="188"/>
      <c r="O1070" s="188"/>
      <c r="P1070" s="188"/>
      <c r="Q1070" s="188"/>
      <c r="R1070" s="214"/>
      <c r="S1070" s="633">
        <v>65.599999999999994</v>
      </c>
      <c r="T1070" s="157">
        <v>515.43084316238901</v>
      </c>
      <c r="U1070" s="607" t="s">
        <v>64</v>
      </c>
      <c r="V1070" s="7"/>
      <c r="W1070" s="7">
        <v>0</v>
      </c>
      <c r="X1070" s="157">
        <v>0</v>
      </c>
      <c r="Y1070" s="7">
        <v>5.29</v>
      </c>
      <c r="Z1070" s="157">
        <v>41.564468907454923</v>
      </c>
      <c r="AA1070" s="188"/>
      <c r="AB1070" s="214"/>
      <c r="AC1070" s="7">
        <v>21.91</v>
      </c>
      <c r="AD1070" s="176">
        <v>172.15075874524305</v>
      </c>
      <c r="AE1070" s="943"/>
      <c r="AF1070" s="944"/>
      <c r="AG1070" s="211">
        <v>65.599999999999994</v>
      </c>
      <c r="AH1070" s="157">
        <v>1030.861686324778</v>
      </c>
      <c r="AI1070" s="176">
        <f t="shared" si="42"/>
        <v>1030.861686324778</v>
      </c>
      <c r="AJ1070" s="976"/>
      <c r="AK1070" s="982"/>
      <c r="AL1070" s="1334"/>
      <c r="AM1070" s="440"/>
      <c r="AN1070" s="108"/>
      <c r="AO1070" s="89"/>
    </row>
    <row r="1071" spans="1:42" s="69" customFormat="1" ht="15" customHeight="1">
      <c r="A1071" s="1042"/>
      <c r="B1071" s="821"/>
      <c r="C1071" s="525"/>
      <c r="D1071" s="590" t="s">
        <v>866</v>
      </c>
      <c r="E1071" s="320" t="s">
        <v>64</v>
      </c>
      <c r="F1071" s="607" t="s">
        <v>64</v>
      </c>
      <c r="G1071" s="426">
        <f>G1070</f>
        <v>60</v>
      </c>
      <c r="H1071" s="320" t="s">
        <v>64</v>
      </c>
      <c r="I1071" s="639" t="s">
        <v>64</v>
      </c>
      <c r="J1071" s="984"/>
      <c r="K1071" s="1104"/>
      <c r="L1071" s="7">
        <v>65.599999999999994</v>
      </c>
      <c r="M1071" s="320" t="s">
        <v>64</v>
      </c>
      <c r="N1071" s="188"/>
      <c r="O1071" s="188"/>
      <c r="P1071" s="188"/>
      <c r="Q1071" s="188"/>
      <c r="R1071" s="214"/>
      <c r="S1071" s="633">
        <v>65.599999999999994</v>
      </c>
      <c r="T1071" s="157">
        <v>515.43084316238901</v>
      </c>
      <c r="U1071" s="607" t="s">
        <v>64</v>
      </c>
      <c r="V1071" s="7"/>
      <c r="W1071" s="7">
        <v>0</v>
      </c>
      <c r="X1071" s="157">
        <v>0</v>
      </c>
      <c r="Y1071" s="7">
        <v>5.29</v>
      </c>
      <c r="Z1071" s="157">
        <v>41.564468907454923</v>
      </c>
      <c r="AA1071" s="188"/>
      <c r="AB1071" s="214"/>
      <c r="AC1071" s="7">
        <v>21.91</v>
      </c>
      <c r="AD1071" s="176">
        <v>172.15075874524305</v>
      </c>
      <c r="AE1071" s="943"/>
      <c r="AF1071" s="944"/>
      <c r="AG1071" s="211">
        <v>65.599999999999994</v>
      </c>
      <c r="AH1071" s="157">
        <v>1030.861686324778</v>
      </c>
      <c r="AI1071" s="176">
        <f t="shared" si="42"/>
        <v>1030.861686324778</v>
      </c>
      <c r="AJ1071" s="976"/>
      <c r="AK1071" s="982"/>
      <c r="AL1071" s="1334"/>
      <c r="AM1071" s="440"/>
      <c r="AN1071" s="108"/>
      <c r="AO1071" s="89"/>
    </row>
    <row r="1072" spans="1:42" s="69" customFormat="1" ht="15" customHeight="1">
      <c r="A1072" s="1042"/>
      <c r="B1072" s="821"/>
      <c r="C1072" s="525"/>
      <c r="D1072" s="590" t="s">
        <v>867</v>
      </c>
      <c r="E1072" s="320" t="s">
        <v>64</v>
      </c>
      <c r="F1072" s="607" t="s">
        <v>64</v>
      </c>
      <c r="G1072" s="426">
        <v>30</v>
      </c>
      <c r="H1072" s="320" t="s">
        <v>64</v>
      </c>
      <c r="I1072" s="639" t="s">
        <v>64</v>
      </c>
      <c r="J1072" s="984"/>
      <c r="K1072" s="1104"/>
      <c r="L1072" s="7">
        <v>65.3</v>
      </c>
      <c r="M1072" s="320" t="s">
        <v>64</v>
      </c>
      <c r="N1072" s="188"/>
      <c r="O1072" s="188"/>
      <c r="P1072" s="188"/>
      <c r="Q1072" s="188"/>
      <c r="R1072" s="214"/>
      <c r="S1072" s="633">
        <v>65.3</v>
      </c>
      <c r="T1072" s="157">
        <v>513.07368991621968</v>
      </c>
      <c r="U1072" s="607" t="s">
        <v>64</v>
      </c>
      <c r="V1072" s="7"/>
      <c r="W1072" s="7">
        <v>0</v>
      </c>
      <c r="X1072" s="157">
        <v>0</v>
      </c>
      <c r="Y1072" s="7">
        <v>5.2449999999999992</v>
      </c>
      <c r="Z1072" s="157">
        <v>41.210895920529474</v>
      </c>
      <c r="AA1072" s="188"/>
      <c r="AB1072" s="214"/>
      <c r="AC1072" s="7">
        <v>21.804999999999996</v>
      </c>
      <c r="AD1072" s="176">
        <v>171.32575510908362</v>
      </c>
      <c r="AE1072" s="943"/>
      <c r="AF1072" s="944"/>
      <c r="AG1072" s="211">
        <v>65.3</v>
      </c>
      <c r="AH1072" s="157">
        <v>1026.1473798324394</v>
      </c>
      <c r="AI1072" s="176">
        <f t="shared" si="42"/>
        <v>1026.1473798324394</v>
      </c>
      <c r="AJ1072" s="976"/>
      <c r="AK1072" s="982"/>
      <c r="AL1072" s="1334"/>
      <c r="AM1072" s="440"/>
      <c r="AN1072" s="108"/>
      <c r="AO1072" s="89"/>
    </row>
    <row r="1073" spans="1:41" s="69" customFormat="1" ht="15" customHeight="1">
      <c r="A1073" s="1042"/>
      <c r="B1073" s="840"/>
      <c r="C1073" s="611"/>
      <c r="D1073" s="590" t="s">
        <v>868</v>
      </c>
      <c r="E1073" s="320" t="s">
        <v>64</v>
      </c>
      <c r="F1073" s="607" t="s">
        <v>64</v>
      </c>
      <c r="G1073" s="427">
        <v>5000</v>
      </c>
      <c r="H1073" s="320" t="s">
        <v>64</v>
      </c>
      <c r="I1073" s="639" t="s">
        <v>64</v>
      </c>
      <c r="J1073" s="984"/>
      <c r="K1073" s="1104"/>
      <c r="L1073" s="7">
        <v>190</v>
      </c>
      <c r="M1073" s="320" t="s">
        <v>64</v>
      </c>
      <c r="N1073" s="188"/>
      <c r="O1073" s="188"/>
      <c r="P1073" s="188"/>
      <c r="Q1073" s="188"/>
      <c r="R1073" s="214"/>
      <c r="S1073" s="633">
        <v>190</v>
      </c>
      <c r="T1073" s="157">
        <v>1492.8637225739919</v>
      </c>
      <c r="U1073" s="607" t="s">
        <v>64</v>
      </c>
      <c r="V1073" s="7"/>
      <c r="W1073" s="7">
        <v>65</v>
      </c>
      <c r="X1073" s="157">
        <v>510.71653667004995</v>
      </c>
      <c r="Y1073" s="7">
        <v>12.7</v>
      </c>
      <c r="Z1073" s="157">
        <v>99.786154087840529</v>
      </c>
      <c r="AA1073" s="188"/>
      <c r="AB1073" s="214"/>
      <c r="AC1073" s="7">
        <v>42.699999999999996</v>
      </c>
      <c r="AD1073" s="176">
        <v>335.50147870478668</v>
      </c>
      <c r="AE1073" s="943"/>
      <c r="AF1073" s="944"/>
      <c r="AG1073" s="211">
        <v>190</v>
      </c>
      <c r="AH1073" s="157">
        <v>2985.7274451479839</v>
      </c>
      <c r="AI1073" s="176">
        <f t="shared" si="42"/>
        <v>2985.7274451479839</v>
      </c>
      <c r="AJ1073" s="976"/>
      <c r="AK1073" s="982"/>
      <c r="AL1073" s="1334"/>
      <c r="AM1073" s="440"/>
      <c r="AN1073" s="108"/>
      <c r="AO1073" s="89"/>
    </row>
    <row r="1074" spans="1:41" s="69" customFormat="1" ht="12.75" customHeight="1">
      <c r="A1074" s="1042"/>
      <c r="B1074" s="840"/>
      <c r="C1074" s="611"/>
      <c r="D1074" s="590" t="s">
        <v>869</v>
      </c>
      <c r="E1074" s="320" t="s">
        <v>64</v>
      </c>
      <c r="F1074" s="607" t="s">
        <v>64</v>
      </c>
      <c r="G1074" s="427">
        <v>66666.66</v>
      </c>
      <c r="H1074" s="320" t="s">
        <v>64</v>
      </c>
      <c r="I1074" s="639" t="s">
        <v>64</v>
      </c>
      <c r="J1074" s="984"/>
      <c r="K1074" s="1104"/>
      <c r="L1074" s="7">
        <v>1608.3331800000001</v>
      </c>
      <c r="M1074" s="320" t="s">
        <v>64</v>
      </c>
      <c r="N1074" s="188"/>
      <c r="O1074" s="188"/>
      <c r="P1074" s="188"/>
      <c r="Q1074" s="188"/>
      <c r="R1074" s="214"/>
      <c r="S1074" s="7">
        <v>1608.3331800000001</v>
      </c>
      <c r="T1074" s="157">
        <v>12636.959253863513</v>
      </c>
      <c r="U1074" s="607" t="s">
        <v>64</v>
      </c>
      <c r="V1074" s="7"/>
      <c r="W1074" s="7">
        <v>866.66658000000007</v>
      </c>
      <c r="X1074" s="157">
        <v>6809.553141311947</v>
      </c>
      <c r="Y1074" s="7">
        <v>105.19999</v>
      </c>
      <c r="Z1074" s="157">
        <v>826.57499308498348</v>
      </c>
      <c r="AA1074" s="188"/>
      <c r="AB1074" s="214"/>
      <c r="AC1074" s="7">
        <v>258.53330999999997</v>
      </c>
      <c r="AD1074" s="176">
        <v>2031.3421030314516</v>
      </c>
      <c r="AE1074" s="943"/>
      <c r="AF1074" s="944"/>
      <c r="AG1074" s="192">
        <v>1608.3331800000001</v>
      </c>
      <c r="AH1074" s="157">
        <v>25273.918507727027</v>
      </c>
      <c r="AI1074" s="176">
        <f>R1074+X1074+Z1074+AH1074</f>
        <v>32910.046642123954</v>
      </c>
      <c r="AJ1074" s="976"/>
      <c r="AK1074" s="982"/>
      <c r="AL1074" s="1334"/>
      <c r="AM1074" s="440"/>
      <c r="AN1074" s="89"/>
      <c r="AO1074" s="89"/>
    </row>
    <row r="1075" spans="1:41" s="69" customFormat="1" ht="12.75" customHeight="1">
      <c r="A1075" s="1042"/>
      <c r="B1075" s="821"/>
      <c r="C1075" s="525"/>
      <c r="D1075" s="590" t="s">
        <v>870</v>
      </c>
      <c r="E1075" s="320" t="s">
        <v>64</v>
      </c>
      <c r="F1075" s="607" t="s">
        <v>64</v>
      </c>
      <c r="G1075" s="426">
        <v>15000</v>
      </c>
      <c r="H1075" s="320" t="s">
        <v>64</v>
      </c>
      <c r="I1075" s="639" t="s">
        <v>64</v>
      </c>
      <c r="J1075" s="984"/>
      <c r="K1075" s="1104"/>
      <c r="L1075" s="7">
        <v>420.00000000000006</v>
      </c>
      <c r="M1075" s="320" t="s">
        <v>64</v>
      </c>
      <c r="N1075" s="188"/>
      <c r="O1075" s="188"/>
      <c r="P1075" s="188"/>
      <c r="Q1075" s="188"/>
      <c r="R1075" s="214"/>
      <c r="S1075" s="633">
        <v>420.00000000000006</v>
      </c>
      <c r="T1075" s="157">
        <v>3300.0145446372476</v>
      </c>
      <c r="U1075" s="607" t="s">
        <v>64</v>
      </c>
      <c r="V1075" s="7"/>
      <c r="W1075" s="7">
        <v>195.00000000000003</v>
      </c>
      <c r="X1075" s="157">
        <v>1532.1496100101494</v>
      </c>
      <c r="Y1075" s="7">
        <v>27.7</v>
      </c>
      <c r="Z1075" s="157">
        <v>217.64381639631358</v>
      </c>
      <c r="AA1075" s="188"/>
      <c r="AB1075" s="214"/>
      <c r="AC1075" s="7">
        <v>77.699999999999989</v>
      </c>
      <c r="AD1075" s="176">
        <v>610.50269075789015</v>
      </c>
      <c r="AE1075" s="943"/>
      <c r="AF1075" s="944"/>
      <c r="AG1075" s="211">
        <v>420.00000000000006</v>
      </c>
      <c r="AH1075" s="157">
        <v>6600.0290892744952</v>
      </c>
      <c r="AI1075" s="176">
        <f t="shared" ref="AI1075:AI1100" si="43">AH1075</f>
        <v>6600.0290892744952</v>
      </c>
      <c r="AJ1075" s="976"/>
      <c r="AK1075" s="982"/>
      <c r="AL1075" s="1334"/>
      <c r="AM1075" s="440"/>
      <c r="AN1075" s="89"/>
      <c r="AO1075" s="89"/>
    </row>
    <row r="1076" spans="1:41" s="69" customFormat="1" ht="12.75" customHeight="1">
      <c r="A1076" s="1042"/>
      <c r="B1076" s="821"/>
      <c r="C1076" s="525"/>
      <c r="D1076" s="590" t="s">
        <v>793</v>
      </c>
      <c r="E1076" s="320" t="s">
        <v>64</v>
      </c>
      <c r="F1076" s="607" t="s">
        <v>64</v>
      </c>
      <c r="G1076" s="426">
        <v>6000</v>
      </c>
      <c r="H1076" s="320" t="s">
        <v>64</v>
      </c>
      <c r="I1076" s="639" t="s">
        <v>64</v>
      </c>
      <c r="J1076" s="984"/>
      <c r="K1076" s="1104"/>
      <c r="L1076" s="7">
        <v>125</v>
      </c>
      <c r="M1076" s="320" t="s">
        <v>64</v>
      </c>
      <c r="N1076" s="188"/>
      <c r="O1076" s="188"/>
      <c r="P1076" s="188"/>
      <c r="Q1076" s="188"/>
      <c r="R1076" s="214"/>
      <c r="S1076" s="633">
        <v>125</v>
      </c>
      <c r="T1076" s="157">
        <v>982.1471859039417</v>
      </c>
      <c r="U1076" s="607" t="s">
        <v>64</v>
      </c>
      <c r="V1076" s="7"/>
      <c r="W1076" s="7">
        <v>0</v>
      </c>
      <c r="X1076" s="157">
        <v>0</v>
      </c>
      <c r="Y1076" s="7">
        <v>14.2</v>
      </c>
      <c r="Z1076" s="157">
        <v>111.5719203186879</v>
      </c>
      <c r="AA1076" s="188"/>
      <c r="AB1076" s="214"/>
      <c r="AC1076" s="7">
        <v>42.699999999999996</v>
      </c>
      <c r="AD1076" s="176">
        <v>335.50147870478668</v>
      </c>
      <c r="AE1076" s="943"/>
      <c r="AF1076" s="944"/>
      <c r="AG1076" s="211">
        <v>125</v>
      </c>
      <c r="AH1076" s="157">
        <v>1964.2943718078834</v>
      </c>
      <c r="AI1076" s="176">
        <f t="shared" si="43"/>
        <v>1964.2943718078834</v>
      </c>
      <c r="AJ1076" s="976"/>
      <c r="AK1076" s="982"/>
      <c r="AL1076" s="1334"/>
      <c r="AM1076" s="440"/>
      <c r="AN1076" s="89"/>
      <c r="AO1076" s="89"/>
    </row>
    <row r="1077" spans="1:41" s="69" customFormat="1" ht="12.75" customHeight="1">
      <c r="A1077" s="1042"/>
      <c r="B1077" s="821"/>
      <c r="C1077" s="525"/>
      <c r="D1077" s="590" t="s">
        <v>794</v>
      </c>
      <c r="E1077" s="320" t="s">
        <v>64</v>
      </c>
      <c r="F1077" s="607" t="s">
        <v>64</v>
      </c>
      <c r="G1077" s="427">
        <v>222.22</v>
      </c>
      <c r="H1077" s="320" t="s">
        <v>64</v>
      </c>
      <c r="I1077" s="639" t="s">
        <v>64</v>
      </c>
      <c r="J1077" s="984"/>
      <c r="K1077" s="1104"/>
      <c r="L1077" s="7">
        <v>67.222200000000001</v>
      </c>
      <c r="M1077" s="320" t="s">
        <v>64</v>
      </c>
      <c r="N1077" s="188"/>
      <c r="O1077" s="188"/>
      <c r="P1077" s="188"/>
      <c r="Q1077" s="188"/>
      <c r="R1077" s="214"/>
      <c r="S1077" s="633">
        <v>67.222200000000001</v>
      </c>
      <c r="T1077" s="157">
        <v>528.17675648217551</v>
      </c>
      <c r="U1077" s="607" t="s">
        <v>64</v>
      </c>
      <c r="V1077" s="7"/>
      <c r="W1077" s="7">
        <v>0</v>
      </c>
      <c r="X1077" s="157">
        <v>0</v>
      </c>
      <c r="Y1077" s="7">
        <v>5.5333299999999994</v>
      </c>
      <c r="Z1077" s="157">
        <v>43.476355905422956</v>
      </c>
      <c r="AA1077" s="188"/>
      <c r="AB1077" s="214"/>
      <c r="AC1077" s="7">
        <v>22.47777</v>
      </c>
      <c r="AD1077" s="176">
        <v>176.61182840716845</v>
      </c>
      <c r="AE1077" s="943"/>
      <c r="AF1077" s="944"/>
      <c r="AG1077" s="211">
        <v>67.222200000000001</v>
      </c>
      <c r="AH1077" s="157">
        <v>1056.353512964351</v>
      </c>
      <c r="AI1077" s="176">
        <f t="shared" si="43"/>
        <v>1056.353512964351</v>
      </c>
      <c r="AJ1077" s="976"/>
      <c r="AK1077" s="982"/>
      <c r="AL1077" s="1334"/>
      <c r="AM1077" s="440"/>
      <c r="AN1077" s="89"/>
      <c r="AO1077" s="89"/>
    </row>
    <row r="1078" spans="1:41" s="69" customFormat="1" ht="12.75" customHeight="1">
      <c r="A1078" s="1042"/>
      <c r="B1078" s="821"/>
      <c r="C1078" s="525"/>
      <c r="D1078" s="590" t="s">
        <v>795</v>
      </c>
      <c r="E1078" s="320" t="s">
        <v>64</v>
      </c>
      <c r="F1078" s="607" t="s">
        <v>64</v>
      </c>
      <c r="G1078" s="427">
        <v>2222.2199999999998</v>
      </c>
      <c r="H1078" s="320" t="s">
        <v>64</v>
      </c>
      <c r="I1078" s="639" t="s">
        <v>64</v>
      </c>
      <c r="J1078" s="984"/>
      <c r="K1078" s="1104"/>
      <c r="L1078" s="7">
        <v>126.11106000000001</v>
      </c>
      <c r="M1078" s="320" t="s">
        <v>64</v>
      </c>
      <c r="N1078" s="188"/>
      <c r="O1078" s="188"/>
      <c r="P1078" s="188"/>
      <c r="Q1078" s="188"/>
      <c r="R1078" s="214"/>
      <c r="S1078" s="633">
        <v>126.11106000000001</v>
      </c>
      <c r="T1078" s="157">
        <v>990.87698152290579</v>
      </c>
      <c r="U1078" s="607" t="s">
        <v>64</v>
      </c>
      <c r="V1078" s="7"/>
      <c r="W1078" s="7">
        <v>28.888860000000001</v>
      </c>
      <c r="X1078" s="157">
        <v>226.98490042378387</v>
      </c>
      <c r="Y1078" s="7">
        <v>8.5333299999999994</v>
      </c>
      <c r="Z1078" s="157">
        <v>67.047888367117494</v>
      </c>
      <c r="AA1078" s="188"/>
      <c r="AB1078" s="214"/>
      <c r="AC1078" s="7">
        <v>32.977770000000007</v>
      </c>
      <c r="AD1078" s="176">
        <v>259.11219202309991</v>
      </c>
      <c r="AE1078" s="943"/>
      <c r="AF1078" s="944"/>
      <c r="AG1078" s="211">
        <v>126.11106000000001</v>
      </c>
      <c r="AH1078" s="157">
        <v>1981.7539630458116</v>
      </c>
      <c r="AI1078" s="176">
        <f t="shared" si="43"/>
        <v>1981.7539630458116</v>
      </c>
      <c r="AJ1078" s="976"/>
      <c r="AK1078" s="982"/>
      <c r="AL1078" s="1334"/>
      <c r="AM1078" s="440"/>
      <c r="AN1078" s="89"/>
      <c r="AO1078" s="89"/>
    </row>
    <row r="1079" spans="1:41" s="69" customFormat="1" ht="12.75" customHeight="1">
      <c r="A1079" s="1042"/>
      <c r="B1079" s="821"/>
      <c r="C1079" s="525"/>
      <c r="D1079" s="590" t="s">
        <v>796</v>
      </c>
      <c r="E1079" s="320" t="s">
        <v>64</v>
      </c>
      <c r="F1079" s="607" t="s">
        <v>64</v>
      </c>
      <c r="G1079" s="426">
        <v>1569.06</v>
      </c>
      <c r="H1079" s="320" t="s">
        <v>64</v>
      </c>
      <c r="I1079" s="639" t="s">
        <v>64</v>
      </c>
      <c r="J1079" s="984"/>
      <c r="K1079" s="1104"/>
      <c r="L1079" s="7">
        <v>111.08838</v>
      </c>
      <c r="M1079" s="320" t="s">
        <v>64</v>
      </c>
      <c r="N1079" s="188"/>
      <c r="O1079" s="188"/>
      <c r="P1079" s="188"/>
      <c r="Q1079" s="188"/>
      <c r="R1079" s="214"/>
      <c r="S1079" s="633">
        <v>111.08838</v>
      </c>
      <c r="T1079" s="157">
        <v>872.841118429022</v>
      </c>
      <c r="U1079" s="607" t="s">
        <v>64</v>
      </c>
      <c r="V1079" s="7"/>
      <c r="W1079" s="7">
        <v>20.397780000000001</v>
      </c>
      <c r="X1079" s="157">
        <v>160.26897780550186</v>
      </c>
      <c r="Y1079" s="7">
        <v>7.5535900000000007</v>
      </c>
      <c r="Z1079" s="157">
        <v>59.349897295777303</v>
      </c>
      <c r="AA1079" s="188"/>
      <c r="AB1079" s="214"/>
      <c r="AC1079" s="7">
        <v>30.69171</v>
      </c>
      <c r="AD1079" s="176">
        <v>241.15021285663892</v>
      </c>
      <c r="AE1079" s="943"/>
      <c r="AF1079" s="944"/>
      <c r="AG1079" s="211">
        <v>111.08838</v>
      </c>
      <c r="AH1079" s="157">
        <v>1745.682236858044</v>
      </c>
      <c r="AI1079" s="176">
        <f t="shared" si="43"/>
        <v>1745.682236858044</v>
      </c>
      <c r="AJ1079" s="976"/>
      <c r="AK1079" s="982"/>
      <c r="AL1079" s="1334"/>
      <c r="AM1079" s="440"/>
      <c r="AN1079" s="89"/>
      <c r="AO1079" s="89"/>
    </row>
    <row r="1080" spans="1:41" s="69" customFormat="1" ht="12.75" customHeight="1">
      <c r="A1080" s="1042"/>
      <c r="B1080" s="821"/>
      <c r="C1080" s="525"/>
      <c r="D1080" s="590" t="s">
        <v>797</v>
      </c>
      <c r="E1080" s="320" t="s">
        <v>64</v>
      </c>
      <c r="F1080" s="607" t="s">
        <v>64</v>
      </c>
      <c r="G1080" s="427">
        <v>666.66</v>
      </c>
      <c r="H1080" s="320" t="s">
        <v>64</v>
      </c>
      <c r="I1080" s="639" t="s">
        <v>64</v>
      </c>
      <c r="J1080" s="984"/>
      <c r="K1080" s="1104"/>
      <c r="L1080" s="7">
        <v>71.666600000000003</v>
      </c>
      <c r="M1080" s="320" t="s">
        <v>64</v>
      </c>
      <c r="N1080" s="188"/>
      <c r="O1080" s="188"/>
      <c r="P1080" s="188"/>
      <c r="Q1080" s="188"/>
      <c r="R1080" s="214"/>
      <c r="S1080" s="633">
        <v>71.666600000000003</v>
      </c>
      <c r="T1080" s="157">
        <v>563.09719610642833</v>
      </c>
      <c r="U1080" s="607" t="s">
        <v>64</v>
      </c>
      <c r="V1080" s="7"/>
      <c r="W1080" s="7">
        <v>0</v>
      </c>
      <c r="X1080" s="157">
        <v>0</v>
      </c>
      <c r="Y1080" s="7">
        <v>6.1999899999999997</v>
      </c>
      <c r="Z1080" s="157">
        <v>48.714421849060656</v>
      </c>
      <c r="AA1080" s="188"/>
      <c r="AB1080" s="214"/>
      <c r="AC1080" s="7">
        <v>24.03331</v>
      </c>
      <c r="AD1080" s="176">
        <v>188.83398227565664</v>
      </c>
      <c r="AE1080" s="943"/>
      <c r="AF1080" s="944"/>
      <c r="AG1080" s="211">
        <v>71.666600000000003</v>
      </c>
      <c r="AH1080" s="157">
        <v>1126.1943922128567</v>
      </c>
      <c r="AI1080" s="176">
        <f t="shared" si="43"/>
        <v>1126.1943922128567</v>
      </c>
      <c r="AJ1080" s="976"/>
      <c r="AK1080" s="982"/>
      <c r="AL1080" s="1334"/>
      <c r="AM1080" s="440"/>
      <c r="AN1080" s="89"/>
      <c r="AO1080" s="89"/>
    </row>
    <row r="1081" spans="1:41" s="69" customFormat="1" ht="12.75" customHeight="1">
      <c r="A1081" s="1042"/>
      <c r="B1081" s="821"/>
      <c r="C1081" s="525"/>
      <c r="D1081" s="590" t="s">
        <v>798</v>
      </c>
      <c r="E1081" s="320" t="s">
        <v>64</v>
      </c>
      <c r="F1081" s="607" t="s">
        <v>64</v>
      </c>
      <c r="G1081" s="427">
        <v>3333.33</v>
      </c>
      <c r="H1081" s="320" t="s">
        <v>64</v>
      </c>
      <c r="I1081" s="639" t="s">
        <v>64</v>
      </c>
      <c r="J1081" s="984"/>
      <c r="K1081" s="1104"/>
      <c r="L1081" s="7">
        <v>161.66659000000001</v>
      </c>
      <c r="M1081" s="320" t="s">
        <v>64</v>
      </c>
      <c r="N1081" s="188"/>
      <c r="O1081" s="188"/>
      <c r="P1081" s="188"/>
      <c r="Q1081" s="188"/>
      <c r="R1081" s="214"/>
      <c r="S1081" s="633">
        <v>161.66659000000001</v>
      </c>
      <c r="T1081" s="157">
        <v>1270.243091385491</v>
      </c>
      <c r="U1081" s="607" t="s">
        <v>64</v>
      </c>
      <c r="V1081" s="7"/>
      <c r="W1081" s="7">
        <v>43.333290000000005</v>
      </c>
      <c r="X1081" s="157">
        <v>340.47735063567569</v>
      </c>
      <c r="Y1081" s="7">
        <v>10.199995000000001</v>
      </c>
      <c r="Z1081" s="157">
        <v>80.143171083874293</v>
      </c>
      <c r="AA1081" s="188"/>
      <c r="AB1081" s="214"/>
      <c r="AC1081" s="7">
        <v>40.366655000000002</v>
      </c>
      <c r="AD1081" s="176">
        <v>317.16797290084213</v>
      </c>
      <c r="AE1081" s="943"/>
      <c r="AF1081" s="944"/>
      <c r="AG1081" s="211">
        <v>161.66659000000001</v>
      </c>
      <c r="AH1081" s="157">
        <v>2540.4861827709819</v>
      </c>
      <c r="AI1081" s="176">
        <f t="shared" si="43"/>
        <v>2540.4861827709819</v>
      </c>
      <c r="AJ1081" s="976"/>
      <c r="AK1081" s="982"/>
      <c r="AL1081" s="1334"/>
      <c r="AM1081" s="440"/>
      <c r="AN1081" s="89"/>
      <c r="AO1081" s="89"/>
    </row>
    <row r="1082" spans="1:41" s="69" customFormat="1" ht="12.75" customHeight="1">
      <c r="A1082" s="1042"/>
      <c r="B1082" s="821"/>
      <c r="C1082" s="525"/>
      <c r="D1082" s="590" t="s">
        <v>799</v>
      </c>
      <c r="E1082" s="320" t="s">
        <v>64</v>
      </c>
      <c r="F1082" s="607" t="s">
        <v>64</v>
      </c>
      <c r="G1082" s="427">
        <v>2222.2199999999998</v>
      </c>
      <c r="H1082" s="320" t="s">
        <v>64</v>
      </c>
      <c r="I1082" s="639" t="s">
        <v>64</v>
      </c>
      <c r="J1082" s="984"/>
      <c r="K1082" s="1104"/>
      <c r="L1082" s="7">
        <v>136.11106000000001</v>
      </c>
      <c r="M1082" s="320" t="s">
        <v>64</v>
      </c>
      <c r="N1082" s="188"/>
      <c r="O1082" s="188"/>
      <c r="P1082" s="188"/>
      <c r="Q1082" s="188"/>
      <c r="R1082" s="214"/>
      <c r="S1082" s="633">
        <v>136.11106000000001</v>
      </c>
      <c r="T1082" s="157">
        <v>1069.4487563952214</v>
      </c>
      <c r="U1082" s="607" t="s">
        <v>64</v>
      </c>
      <c r="V1082" s="7"/>
      <c r="W1082" s="7">
        <v>28.888860000000001</v>
      </c>
      <c r="X1082" s="157">
        <v>226.98490042378387</v>
      </c>
      <c r="Y1082" s="7">
        <v>8.5333299999999994</v>
      </c>
      <c r="Z1082" s="157">
        <v>67.047888367117494</v>
      </c>
      <c r="AA1082" s="188"/>
      <c r="AB1082" s="214"/>
      <c r="AC1082" s="7">
        <v>36.47777</v>
      </c>
      <c r="AD1082" s="176">
        <v>286.61231322840973</v>
      </c>
      <c r="AE1082" s="943"/>
      <c r="AF1082" s="944"/>
      <c r="AG1082" s="211">
        <v>136.11106000000001</v>
      </c>
      <c r="AH1082" s="157">
        <v>2138.8975127904428</v>
      </c>
      <c r="AI1082" s="176">
        <f t="shared" si="43"/>
        <v>2138.8975127904428</v>
      </c>
      <c r="AJ1082" s="976"/>
      <c r="AK1082" s="982"/>
      <c r="AL1082" s="1334"/>
      <c r="AM1082" s="440"/>
      <c r="AN1082" s="89"/>
      <c r="AO1082" s="89"/>
    </row>
    <row r="1083" spans="1:41" s="69" customFormat="1" ht="15" customHeight="1">
      <c r="A1083" s="1042"/>
      <c r="B1083" s="821"/>
      <c r="C1083" s="525"/>
      <c r="D1083" s="590" t="s">
        <v>739</v>
      </c>
      <c r="E1083" s="320" t="s">
        <v>64</v>
      </c>
      <c r="F1083" s="607" t="s">
        <v>64</v>
      </c>
      <c r="G1083" s="427">
        <v>6666.66</v>
      </c>
      <c r="H1083" s="320" t="s">
        <v>64</v>
      </c>
      <c r="I1083" s="639" t="s">
        <v>64</v>
      </c>
      <c r="J1083" s="984"/>
      <c r="K1083" s="1104"/>
      <c r="L1083" s="7">
        <v>238.33318000000003</v>
      </c>
      <c r="M1083" s="320" t="s">
        <v>64</v>
      </c>
      <c r="N1083" s="188"/>
      <c r="O1083" s="188"/>
      <c r="P1083" s="188"/>
      <c r="Q1083" s="188"/>
      <c r="R1083" s="214"/>
      <c r="S1083" s="633">
        <v>238.33318000000003</v>
      </c>
      <c r="T1083" s="157">
        <v>1872.6260963563047</v>
      </c>
      <c r="U1083" s="607" t="s">
        <v>64</v>
      </c>
      <c r="V1083" s="7"/>
      <c r="W1083" s="7">
        <v>86.66658000000001</v>
      </c>
      <c r="X1083" s="157">
        <v>680.95470127135138</v>
      </c>
      <c r="Y1083" s="7">
        <v>15.199990000000001</v>
      </c>
      <c r="Z1083" s="157">
        <v>119.42901923414455</v>
      </c>
      <c r="AA1083" s="188"/>
      <c r="AB1083" s="214"/>
      <c r="AC1083" s="7">
        <v>52.03331</v>
      </c>
      <c r="AD1083" s="176">
        <v>408.83495191813967</v>
      </c>
      <c r="AE1083" s="943"/>
      <c r="AF1083" s="944"/>
      <c r="AG1083" s="211">
        <v>238.33318000000003</v>
      </c>
      <c r="AH1083" s="157">
        <v>3745.2521927126095</v>
      </c>
      <c r="AI1083" s="176">
        <f t="shared" si="43"/>
        <v>3745.2521927126095</v>
      </c>
      <c r="AJ1083" s="976"/>
      <c r="AK1083" s="982"/>
      <c r="AL1083" s="1334"/>
      <c r="AM1083" s="440"/>
      <c r="AN1083" s="89"/>
      <c r="AO1083" s="89"/>
    </row>
    <row r="1084" spans="1:41" s="69" customFormat="1" ht="15" customHeight="1">
      <c r="A1084" s="1042"/>
      <c r="B1084" s="821"/>
      <c r="C1084" s="525"/>
      <c r="D1084" s="223" t="s">
        <v>740</v>
      </c>
      <c r="E1084" s="242" t="s">
        <v>0</v>
      </c>
      <c r="F1084" s="242" t="s">
        <v>0</v>
      </c>
      <c r="G1084" s="426">
        <f>3*48*20.43</f>
        <v>2941.92</v>
      </c>
      <c r="H1084" s="426">
        <f t="shared" ref="H1084:I1084" si="44">3*48*20.43</f>
        <v>2941.92</v>
      </c>
      <c r="I1084" s="872">
        <f t="shared" si="44"/>
        <v>2941.92</v>
      </c>
      <c r="J1084" s="984"/>
      <c r="K1084" s="1104"/>
      <c r="L1084" s="7">
        <v>152.66416000000001</v>
      </c>
      <c r="M1084" s="7">
        <v>228.9</v>
      </c>
      <c r="N1084" s="188"/>
      <c r="O1084" s="188"/>
      <c r="P1084" s="188"/>
      <c r="Q1084" s="188"/>
      <c r="R1084" s="214"/>
      <c r="S1084" s="633">
        <v>152.66416000000001</v>
      </c>
      <c r="T1084" s="157">
        <v>1199.5094010591142</v>
      </c>
      <c r="U1084" s="607" t="s">
        <v>64</v>
      </c>
      <c r="V1084" s="7"/>
      <c r="W1084" s="7">
        <v>38.244960000000006</v>
      </c>
      <c r="X1084" s="157">
        <v>300.49743871207085</v>
      </c>
      <c r="Y1084" s="7">
        <v>9.6128800000000005</v>
      </c>
      <c r="Z1084" s="157">
        <v>75.530104323458346</v>
      </c>
      <c r="AA1084" s="188"/>
      <c r="AB1084" s="214"/>
      <c r="AC1084" s="7">
        <v>38.996719999999996</v>
      </c>
      <c r="AD1084" s="176">
        <v>306.40415045987191</v>
      </c>
      <c r="AE1084" s="943"/>
      <c r="AF1084" s="944"/>
      <c r="AG1084" s="211">
        <v>152.66416000000001</v>
      </c>
      <c r="AH1084" s="157">
        <v>2399.0188021182285</v>
      </c>
      <c r="AI1084" s="176">
        <f t="shared" si="43"/>
        <v>2399.0188021182285</v>
      </c>
      <c r="AJ1084" s="976"/>
      <c r="AK1084" s="982"/>
      <c r="AL1084" s="1334"/>
      <c r="AM1084" s="440"/>
      <c r="AN1084" s="108"/>
      <c r="AO1084" s="89"/>
    </row>
    <row r="1085" spans="1:41" s="69" customFormat="1" ht="15" customHeight="1">
      <c r="A1085" s="1042"/>
      <c r="B1085" s="821"/>
      <c r="C1085" s="525"/>
      <c r="D1085" s="223" t="s">
        <v>809</v>
      </c>
      <c r="E1085" s="320" t="s">
        <v>64</v>
      </c>
      <c r="F1085" s="607" t="s">
        <v>64</v>
      </c>
      <c r="G1085" s="426">
        <f>48*20.43</f>
        <v>980.64</v>
      </c>
      <c r="H1085" s="320" t="s">
        <v>64</v>
      </c>
      <c r="I1085" s="639" t="s">
        <v>64</v>
      </c>
      <c r="J1085" s="984"/>
      <c r="K1085" s="1104"/>
      <c r="L1085" s="7">
        <v>84.806399999999996</v>
      </c>
      <c r="M1085" s="320" t="s">
        <v>64</v>
      </c>
      <c r="N1085" s="188"/>
      <c r="O1085" s="188"/>
      <c r="P1085" s="188"/>
      <c r="Q1085" s="188"/>
      <c r="R1085" s="214"/>
      <c r="S1085" s="633">
        <v>84.806399999999996</v>
      </c>
      <c r="T1085" s="157">
        <v>666.33893685315252</v>
      </c>
      <c r="U1085" s="607" t="s">
        <v>64</v>
      </c>
      <c r="V1085" s="7"/>
      <c r="W1085" s="7">
        <v>0</v>
      </c>
      <c r="X1085" s="157">
        <v>0</v>
      </c>
      <c r="Y1085" s="7">
        <v>6.67096</v>
      </c>
      <c r="Z1085" s="157">
        <v>52.414916730222146</v>
      </c>
      <c r="AA1085" s="188"/>
      <c r="AB1085" s="214"/>
      <c r="AC1085" s="7">
        <v>28.632239999999996</v>
      </c>
      <c r="AD1085" s="176">
        <v>224.96859153701027</v>
      </c>
      <c r="AE1085" s="943"/>
      <c r="AF1085" s="944"/>
      <c r="AG1085" s="211">
        <v>84.806399999999996</v>
      </c>
      <c r="AH1085" s="157">
        <v>1332.677873706305</v>
      </c>
      <c r="AI1085" s="176">
        <f t="shared" si="43"/>
        <v>1332.677873706305</v>
      </c>
      <c r="AJ1085" s="976"/>
      <c r="AK1085" s="982"/>
      <c r="AL1085" s="1334"/>
      <c r="AM1085" s="440"/>
      <c r="AN1085" s="108"/>
      <c r="AO1085" s="89"/>
    </row>
    <row r="1086" spans="1:41" s="69" customFormat="1" ht="15" customHeight="1">
      <c r="A1086" s="1042"/>
      <c r="B1086" s="821"/>
      <c r="C1086" s="525"/>
      <c r="D1086" s="223" t="s">
        <v>810</v>
      </c>
      <c r="E1086" s="320" t="s">
        <v>64</v>
      </c>
      <c r="F1086" s="607" t="s">
        <v>64</v>
      </c>
      <c r="G1086" s="427">
        <v>300</v>
      </c>
      <c r="H1086" s="320" t="s">
        <v>64</v>
      </c>
      <c r="I1086" s="639" t="s">
        <v>64</v>
      </c>
      <c r="J1086" s="984"/>
      <c r="K1086" s="1104"/>
      <c r="L1086" s="7">
        <v>91.9</v>
      </c>
      <c r="M1086" s="320" t="s">
        <v>64</v>
      </c>
      <c r="N1086" s="188"/>
      <c r="O1086" s="188"/>
      <c r="P1086" s="188"/>
      <c r="Q1086" s="188"/>
      <c r="R1086" s="214"/>
      <c r="S1086" s="633">
        <v>91.9</v>
      </c>
      <c r="T1086" s="157">
        <v>722.07461107657878</v>
      </c>
      <c r="U1086" s="607" t="s">
        <v>64</v>
      </c>
      <c r="V1086" s="7"/>
      <c r="W1086" s="7">
        <v>3.9000000000000004</v>
      </c>
      <c r="X1086" s="157">
        <v>30.642992200202983</v>
      </c>
      <c r="Y1086" s="7">
        <v>5.65</v>
      </c>
      <c r="Z1086" s="157">
        <v>44.393052802858172</v>
      </c>
      <c r="AA1086" s="188"/>
      <c r="AB1086" s="214"/>
      <c r="AC1086" s="7">
        <v>29.749999999999996</v>
      </c>
      <c r="AD1086" s="176">
        <v>233.75103024513837</v>
      </c>
      <c r="AE1086" s="943"/>
      <c r="AF1086" s="944"/>
      <c r="AG1086" s="211">
        <v>91.9</v>
      </c>
      <c r="AH1086" s="157">
        <v>1444.1492221531576</v>
      </c>
      <c r="AI1086" s="176">
        <f t="shared" si="43"/>
        <v>1444.1492221531576</v>
      </c>
      <c r="AJ1086" s="976"/>
      <c r="AK1086" s="982"/>
      <c r="AL1086" s="1334"/>
      <c r="AM1086" s="440"/>
      <c r="AN1086" s="108"/>
      <c r="AO1086" s="89"/>
    </row>
    <row r="1087" spans="1:41" s="69" customFormat="1" ht="12.75" customHeight="1">
      <c r="A1087" s="1042"/>
      <c r="B1087" s="821"/>
      <c r="C1087" s="525"/>
      <c r="D1087" s="223" t="s">
        <v>811</v>
      </c>
      <c r="E1087" s="320" t="s">
        <v>64</v>
      </c>
      <c r="F1087" s="607" t="s">
        <v>64</v>
      </c>
      <c r="G1087" s="427">
        <v>30</v>
      </c>
      <c r="H1087" s="320" t="s">
        <v>64</v>
      </c>
      <c r="I1087" s="639" t="s">
        <v>64</v>
      </c>
      <c r="J1087" s="984"/>
      <c r="K1087" s="1104"/>
      <c r="L1087" s="7">
        <v>75.300000000000011</v>
      </c>
      <c r="M1087" s="320" t="s">
        <v>64</v>
      </c>
      <c r="N1087" s="188"/>
      <c r="O1087" s="188"/>
      <c r="P1087" s="188"/>
      <c r="Q1087" s="188"/>
      <c r="R1087" s="214"/>
      <c r="S1087" s="633">
        <v>75.300000000000011</v>
      </c>
      <c r="T1087" s="157">
        <v>591.64546478853504</v>
      </c>
      <c r="U1087" s="607" t="s">
        <v>64</v>
      </c>
      <c r="V1087" s="7"/>
      <c r="W1087" s="7">
        <v>0</v>
      </c>
      <c r="X1087" s="157">
        <v>0</v>
      </c>
      <c r="Y1087" s="7">
        <v>5.2449999999999992</v>
      </c>
      <c r="Z1087" s="157">
        <v>41.210895920529474</v>
      </c>
      <c r="AA1087" s="188"/>
      <c r="AB1087" s="214"/>
      <c r="AC1087" s="7">
        <v>25.305000000000003</v>
      </c>
      <c r="AD1087" s="176">
        <v>198.82587631439426</v>
      </c>
      <c r="AE1087" s="943"/>
      <c r="AF1087" s="944"/>
      <c r="AG1087" s="211">
        <v>75.300000000000011</v>
      </c>
      <c r="AH1087" s="157">
        <v>1183.2909295770701</v>
      </c>
      <c r="AI1087" s="176">
        <f t="shared" si="43"/>
        <v>1183.2909295770701</v>
      </c>
      <c r="AJ1087" s="976"/>
      <c r="AK1087" s="982"/>
      <c r="AL1087" s="1334"/>
      <c r="AM1087" s="440"/>
      <c r="AN1087" s="89"/>
      <c r="AO1087" s="89"/>
    </row>
    <row r="1088" spans="1:41" s="69" customFormat="1" ht="12.75" customHeight="1">
      <c r="A1088" s="1042"/>
      <c r="B1088" s="821"/>
      <c r="C1088" s="525"/>
      <c r="D1088" s="223" t="s">
        <v>812</v>
      </c>
      <c r="E1088" s="320" t="s">
        <v>64</v>
      </c>
      <c r="F1088" s="607" t="s">
        <v>64</v>
      </c>
      <c r="G1088" s="427">
        <v>22222.22</v>
      </c>
      <c r="H1088" s="320" t="s">
        <v>64</v>
      </c>
      <c r="I1088" s="639" t="s">
        <v>64</v>
      </c>
      <c r="J1088" s="984"/>
      <c r="K1088" s="1104"/>
      <c r="L1088" s="7">
        <v>596.11105999999995</v>
      </c>
      <c r="M1088" s="320" t="s">
        <v>64</v>
      </c>
      <c r="N1088" s="188"/>
      <c r="O1088" s="188"/>
      <c r="P1088" s="188"/>
      <c r="Q1088" s="188"/>
      <c r="R1088" s="214"/>
      <c r="S1088" s="633">
        <v>596.11105999999995</v>
      </c>
      <c r="T1088" s="157">
        <v>4683.7504005217252</v>
      </c>
      <c r="U1088" s="607" t="s">
        <v>64</v>
      </c>
      <c r="V1088" s="7"/>
      <c r="W1088" s="7">
        <v>288.88886000000002</v>
      </c>
      <c r="X1088" s="157">
        <v>2269.8510471039845</v>
      </c>
      <c r="Y1088" s="7">
        <v>38.533329999999999</v>
      </c>
      <c r="Z1088" s="157">
        <v>302.76321298406361</v>
      </c>
      <c r="AA1088" s="188"/>
      <c r="AB1088" s="214"/>
      <c r="AC1088" s="7">
        <v>106.47776999999999</v>
      </c>
      <c r="AD1088" s="176">
        <v>836.6147373346173</v>
      </c>
      <c r="AE1088" s="943"/>
      <c r="AF1088" s="944"/>
      <c r="AG1088" s="211">
        <v>596.11105999999995</v>
      </c>
      <c r="AH1088" s="157">
        <v>9367.5008010434503</v>
      </c>
      <c r="AI1088" s="176">
        <f t="shared" si="43"/>
        <v>9367.5008010434503</v>
      </c>
      <c r="AJ1088" s="976"/>
      <c r="AK1088" s="982"/>
      <c r="AL1088" s="1334"/>
      <c r="AM1088" s="440"/>
      <c r="AN1088" s="89"/>
      <c r="AO1088" s="89"/>
    </row>
    <row r="1089" spans="1:41" s="69" customFormat="1" ht="12.75" customHeight="1">
      <c r="A1089" s="1042"/>
      <c r="B1089" s="821"/>
      <c r="C1089" s="525"/>
      <c r="D1089" s="223" t="s">
        <v>813</v>
      </c>
      <c r="E1089" s="320" t="s">
        <v>64</v>
      </c>
      <c r="F1089" s="607" t="s">
        <v>64</v>
      </c>
      <c r="G1089" s="426">
        <v>75000</v>
      </c>
      <c r="H1089" s="320" t="s">
        <v>64</v>
      </c>
      <c r="I1089" s="639" t="s">
        <v>64</v>
      </c>
      <c r="J1089" s="984"/>
      <c r="K1089" s="1104"/>
      <c r="L1089" s="7">
        <v>1810.0000000000002</v>
      </c>
      <c r="M1089" s="320" t="s">
        <v>64</v>
      </c>
      <c r="N1089" s="188"/>
      <c r="O1089" s="188"/>
      <c r="P1089" s="188"/>
      <c r="Q1089" s="188"/>
      <c r="R1089" s="214"/>
      <c r="S1089" s="633">
        <v>1810.0000000000002</v>
      </c>
      <c r="T1089" s="157">
        <v>14221.491251889094</v>
      </c>
      <c r="U1089" s="607" t="s">
        <v>64</v>
      </c>
      <c r="V1089" s="7"/>
      <c r="W1089" s="7">
        <v>975.00000000000011</v>
      </c>
      <c r="X1089" s="157">
        <v>7660.7480500507481</v>
      </c>
      <c r="Y1089" s="7">
        <v>117.7</v>
      </c>
      <c r="Z1089" s="157">
        <v>924.78979024715238</v>
      </c>
      <c r="AA1089" s="188"/>
      <c r="AB1089" s="214"/>
      <c r="AC1089" s="7">
        <v>291.2</v>
      </c>
      <c r="AD1089" s="176">
        <v>2288.0100842818229</v>
      </c>
      <c r="AE1089" s="943"/>
      <c r="AF1089" s="944"/>
      <c r="AG1089" s="211">
        <v>1810.0000000000002</v>
      </c>
      <c r="AH1089" s="157">
        <v>28442.982503778188</v>
      </c>
      <c r="AI1089" s="176">
        <f t="shared" si="43"/>
        <v>28442.982503778188</v>
      </c>
      <c r="AJ1089" s="976"/>
      <c r="AK1089" s="982"/>
      <c r="AL1089" s="1334"/>
      <c r="AM1089" s="440"/>
      <c r="AN1089" s="89"/>
      <c r="AO1089" s="89"/>
    </row>
    <row r="1090" spans="1:41" s="69" customFormat="1" ht="12.75" customHeight="1">
      <c r="A1090" s="1042"/>
      <c r="B1090" s="821"/>
      <c r="C1090" s="525"/>
      <c r="D1090" s="223" t="s">
        <v>814</v>
      </c>
      <c r="E1090" s="320" t="s">
        <v>64</v>
      </c>
      <c r="F1090" s="607" t="s">
        <v>64</v>
      </c>
      <c r="G1090" s="426">
        <v>7500</v>
      </c>
      <c r="H1090" s="320" t="s">
        <v>64</v>
      </c>
      <c r="I1090" s="639" t="s">
        <v>64</v>
      </c>
      <c r="J1090" s="984"/>
      <c r="K1090" s="1104"/>
      <c r="L1090" s="7">
        <v>150</v>
      </c>
      <c r="M1090" s="320" t="s">
        <v>64</v>
      </c>
      <c r="N1090" s="188"/>
      <c r="O1090" s="188"/>
      <c r="P1090" s="188"/>
      <c r="Q1090" s="188"/>
      <c r="R1090" s="214"/>
      <c r="S1090" s="633">
        <v>150</v>
      </c>
      <c r="T1090" s="157">
        <v>1178.5766230847307</v>
      </c>
      <c r="U1090" s="607" t="s">
        <v>64</v>
      </c>
      <c r="V1090" s="7"/>
      <c r="W1090" s="7">
        <v>0</v>
      </c>
      <c r="X1090" s="157">
        <v>0</v>
      </c>
      <c r="Y1090" s="7">
        <v>16.45</v>
      </c>
      <c r="Z1090" s="157">
        <v>129.25056966495885</v>
      </c>
      <c r="AA1090" s="188"/>
      <c r="AB1090" s="214"/>
      <c r="AC1090" s="7">
        <v>51.449999999999996</v>
      </c>
      <c r="AD1090" s="176">
        <v>404.2517817180626</v>
      </c>
      <c r="AE1090" s="943"/>
      <c r="AF1090" s="944"/>
      <c r="AG1090" s="211">
        <v>150</v>
      </c>
      <c r="AH1090" s="157">
        <v>2357.1532461694615</v>
      </c>
      <c r="AI1090" s="176">
        <f t="shared" si="43"/>
        <v>2357.1532461694615</v>
      </c>
      <c r="AJ1090" s="976"/>
      <c r="AK1090" s="982"/>
      <c r="AL1090" s="1334"/>
      <c r="AM1090" s="440"/>
      <c r="AN1090" s="89"/>
      <c r="AO1090" s="89"/>
    </row>
    <row r="1091" spans="1:41" s="69" customFormat="1" ht="12.75" customHeight="1">
      <c r="A1091" s="1042"/>
      <c r="B1091" s="821"/>
      <c r="C1091" s="525"/>
      <c r="D1091" s="223" t="s">
        <v>815</v>
      </c>
      <c r="E1091" s="320" t="s">
        <v>64</v>
      </c>
      <c r="F1091" s="607" t="s">
        <v>64</v>
      </c>
      <c r="G1091" s="427">
        <v>5000</v>
      </c>
      <c r="H1091" s="320" t="s">
        <v>64</v>
      </c>
      <c r="I1091" s="639" t="s">
        <v>64</v>
      </c>
      <c r="J1091" s="984"/>
      <c r="K1091" s="1104"/>
      <c r="L1091" s="7">
        <v>200</v>
      </c>
      <c r="M1091" s="320" t="s">
        <v>64</v>
      </c>
      <c r="N1091" s="188"/>
      <c r="O1091" s="188"/>
      <c r="P1091" s="188"/>
      <c r="Q1091" s="188"/>
      <c r="R1091" s="214"/>
      <c r="S1091" s="633">
        <v>200</v>
      </c>
      <c r="T1091" s="157">
        <v>1571.4354974463099</v>
      </c>
      <c r="U1091" s="607" t="s">
        <v>64</v>
      </c>
      <c r="V1091" s="7"/>
      <c r="W1091" s="7">
        <v>65</v>
      </c>
      <c r="X1091" s="157">
        <v>510.71653667004995</v>
      </c>
      <c r="Y1091" s="7">
        <v>12.7</v>
      </c>
      <c r="Z1091" s="157">
        <v>99.786154087840529</v>
      </c>
      <c r="AA1091" s="188"/>
      <c r="AB1091" s="214"/>
      <c r="AC1091" s="7">
        <v>46.199999999999996</v>
      </c>
      <c r="AD1091" s="176">
        <v>363.00159991009667</v>
      </c>
      <c r="AE1091" s="943"/>
      <c r="AF1091" s="944"/>
      <c r="AG1091" s="211">
        <v>200</v>
      </c>
      <c r="AH1091" s="157">
        <v>3142.8709948926198</v>
      </c>
      <c r="AI1091" s="176">
        <f t="shared" si="43"/>
        <v>3142.8709948926198</v>
      </c>
      <c r="AJ1091" s="976"/>
      <c r="AK1091" s="982"/>
      <c r="AL1091" s="1334"/>
      <c r="AM1091" s="440"/>
      <c r="AN1091" s="89"/>
      <c r="AO1091" s="89"/>
    </row>
    <row r="1092" spans="1:41" s="69" customFormat="1" ht="12.75" customHeight="1">
      <c r="A1092" s="1042"/>
      <c r="B1092" s="821"/>
      <c r="C1092" s="525"/>
      <c r="D1092" s="223" t="s">
        <v>816</v>
      </c>
      <c r="E1092" s="320" t="s">
        <v>64</v>
      </c>
      <c r="F1092" s="607" t="s">
        <v>64</v>
      </c>
      <c r="G1092" s="427">
        <v>15000</v>
      </c>
      <c r="H1092" s="320" t="s">
        <v>64</v>
      </c>
      <c r="I1092" s="639" t="s">
        <v>64</v>
      </c>
      <c r="J1092" s="984"/>
      <c r="K1092" s="1104"/>
      <c r="L1092" s="7">
        <v>430.00000000000006</v>
      </c>
      <c r="M1092" s="320" t="s">
        <v>64</v>
      </c>
      <c r="N1092" s="188"/>
      <c r="O1092" s="188"/>
      <c r="P1092" s="188"/>
      <c r="Q1092" s="188"/>
      <c r="R1092" s="214"/>
      <c r="S1092" s="633">
        <v>430.00000000000006</v>
      </c>
      <c r="T1092" s="157">
        <v>3378.5863195095617</v>
      </c>
      <c r="U1092" s="607" t="s">
        <v>64</v>
      </c>
      <c r="V1092" s="7"/>
      <c r="W1092" s="7">
        <v>195.00000000000003</v>
      </c>
      <c r="X1092" s="157">
        <v>1532.1496100101494</v>
      </c>
      <c r="Y1092" s="7">
        <v>27.7</v>
      </c>
      <c r="Z1092" s="157">
        <v>217.64381639631358</v>
      </c>
      <c r="AA1092" s="188"/>
      <c r="AB1092" s="214"/>
      <c r="AC1092" s="7">
        <v>81.199999999999989</v>
      </c>
      <c r="AD1092" s="176">
        <v>638.00281196320122</v>
      </c>
      <c r="AE1092" s="943"/>
      <c r="AF1092" s="944"/>
      <c r="AG1092" s="211">
        <v>430.00000000000006</v>
      </c>
      <c r="AH1092" s="157">
        <v>6757.1726390191234</v>
      </c>
      <c r="AI1092" s="176">
        <f t="shared" si="43"/>
        <v>6757.1726390191234</v>
      </c>
      <c r="AJ1092" s="976"/>
      <c r="AK1092" s="982"/>
      <c r="AL1092" s="1334"/>
      <c r="AM1092" s="440"/>
      <c r="AN1092" s="89"/>
      <c r="AO1092" s="89"/>
    </row>
    <row r="1093" spans="1:41" s="69" customFormat="1" ht="12.75" customHeight="1">
      <c r="A1093" s="1042"/>
      <c r="B1093" s="821"/>
      <c r="C1093" s="525"/>
      <c r="D1093" s="223" t="s">
        <v>820</v>
      </c>
      <c r="E1093" s="320" t="s">
        <v>64</v>
      </c>
      <c r="F1093" s="607" t="s">
        <v>64</v>
      </c>
      <c r="G1093" s="427">
        <f>G1092*40%</f>
        <v>6000</v>
      </c>
      <c r="H1093" s="320" t="s">
        <v>64</v>
      </c>
      <c r="I1093" s="639" t="s">
        <v>64</v>
      </c>
      <c r="J1093" s="984"/>
      <c r="K1093" s="1104"/>
      <c r="L1093" s="7">
        <v>135</v>
      </c>
      <c r="M1093" s="320" t="s">
        <v>64</v>
      </c>
      <c r="N1093" s="188"/>
      <c r="O1093" s="188"/>
      <c r="P1093" s="188"/>
      <c r="Q1093" s="188"/>
      <c r="R1093" s="214"/>
      <c r="S1093" s="633">
        <v>135</v>
      </c>
      <c r="T1093" s="157">
        <v>1060.7189607762573</v>
      </c>
      <c r="U1093" s="607" t="s">
        <v>64</v>
      </c>
      <c r="V1093" s="7"/>
      <c r="W1093" s="7">
        <v>0</v>
      </c>
      <c r="X1093" s="157">
        <v>0</v>
      </c>
      <c r="Y1093" s="7">
        <v>14.2</v>
      </c>
      <c r="Z1093" s="157">
        <v>111.5719203186879</v>
      </c>
      <c r="AA1093" s="188"/>
      <c r="AB1093" s="214"/>
      <c r="AC1093" s="7">
        <v>46.199999999999996</v>
      </c>
      <c r="AD1093" s="176">
        <v>363.00159991009667</v>
      </c>
      <c r="AE1093" s="943"/>
      <c r="AF1093" s="944"/>
      <c r="AG1093" s="211">
        <v>135</v>
      </c>
      <c r="AH1093" s="157">
        <v>2121.4379215525146</v>
      </c>
      <c r="AI1093" s="176">
        <f t="shared" si="43"/>
        <v>2121.4379215525146</v>
      </c>
      <c r="AJ1093" s="976"/>
      <c r="AK1093" s="982"/>
      <c r="AL1093" s="1334"/>
      <c r="AM1093" s="440"/>
      <c r="AN1093" s="89"/>
      <c r="AO1093" s="89"/>
    </row>
    <row r="1094" spans="1:41" s="69" customFormat="1" ht="12.75" customHeight="1">
      <c r="A1094" s="1042"/>
      <c r="B1094" s="821"/>
      <c r="C1094" s="525"/>
      <c r="D1094" s="223" t="s">
        <v>821</v>
      </c>
      <c r="E1094" s="320" t="s">
        <v>64</v>
      </c>
      <c r="F1094" s="607" t="s">
        <v>64</v>
      </c>
      <c r="G1094" s="427">
        <v>666.66</v>
      </c>
      <c r="H1094" s="320" t="s">
        <v>64</v>
      </c>
      <c r="I1094" s="639" t="s">
        <v>64</v>
      </c>
      <c r="J1094" s="984"/>
      <c r="K1094" s="1104"/>
      <c r="L1094" s="7">
        <v>100.33318</v>
      </c>
      <c r="M1094" s="320" t="s">
        <v>64</v>
      </c>
      <c r="N1094" s="188"/>
      <c r="O1094" s="188"/>
      <c r="P1094" s="188"/>
      <c r="Q1094" s="188"/>
      <c r="R1094" s="214"/>
      <c r="S1094" s="633">
        <v>100.33318</v>
      </c>
      <c r="T1094" s="157">
        <v>788.33560311834935</v>
      </c>
      <c r="U1094" s="607" t="s">
        <v>64</v>
      </c>
      <c r="V1094" s="7"/>
      <c r="W1094" s="7">
        <v>8.6665799999999997</v>
      </c>
      <c r="X1094" s="157">
        <v>68.09485726729109</v>
      </c>
      <c r="Y1094" s="7">
        <v>6.1999899999999997</v>
      </c>
      <c r="Z1094" s="157">
        <v>48.714421849060656</v>
      </c>
      <c r="AA1094" s="188"/>
      <c r="AB1094" s="214"/>
      <c r="AC1094" s="7">
        <v>31.03331</v>
      </c>
      <c r="AD1094" s="176">
        <v>243.83422468627742</v>
      </c>
      <c r="AE1094" s="943"/>
      <c r="AF1094" s="944"/>
      <c r="AG1094" s="211">
        <v>100.33318</v>
      </c>
      <c r="AH1094" s="157">
        <v>1576.6712062366987</v>
      </c>
      <c r="AI1094" s="176">
        <f t="shared" si="43"/>
        <v>1576.6712062366987</v>
      </c>
      <c r="AJ1094" s="976"/>
      <c r="AK1094" s="982"/>
      <c r="AL1094" s="1334"/>
      <c r="AM1094" s="440"/>
      <c r="AN1094" s="89"/>
      <c r="AO1094" s="89"/>
    </row>
    <row r="1095" spans="1:41" s="69" customFormat="1" ht="15.75" customHeight="1">
      <c r="A1095" s="1042"/>
      <c r="B1095" s="821"/>
      <c r="C1095" s="525"/>
      <c r="D1095" s="223" t="s">
        <v>822</v>
      </c>
      <c r="E1095" s="320" t="s">
        <v>64</v>
      </c>
      <c r="F1095" s="607" t="s">
        <v>64</v>
      </c>
      <c r="G1095" s="426">
        <v>1569.06</v>
      </c>
      <c r="H1095" s="320" t="s">
        <v>64</v>
      </c>
      <c r="I1095" s="639" t="s">
        <v>64</v>
      </c>
      <c r="J1095" s="984"/>
      <c r="K1095" s="1104"/>
      <c r="L1095" s="7">
        <v>121.08838</v>
      </c>
      <c r="M1095" s="320" t="s">
        <v>64</v>
      </c>
      <c r="N1095" s="188"/>
      <c r="O1095" s="188"/>
      <c r="P1095" s="188"/>
      <c r="Q1095" s="188"/>
      <c r="R1095" s="214"/>
      <c r="S1095" s="633">
        <v>121.08838</v>
      </c>
      <c r="T1095" s="157">
        <v>951.41289330133861</v>
      </c>
      <c r="U1095" s="607" t="s">
        <v>64</v>
      </c>
      <c r="V1095" s="7"/>
      <c r="W1095" s="7">
        <v>20.397780000000001</v>
      </c>
      <c r="X1095" s="157">
        <v>160.26897780550186</v>
      </c>
      <c r="Y1095" s="7">
        <v>7.5535900000000007</v>
      </c>
      <c r="Z1095" s="157">
        <v>59.349897295777303</v>
      </c>
      <c r="AA1095" s="188"/>
      <c r="AB1095" s="214"/>
      <c r="AC1095" s="7">
        <v>34.19171</v>
      </c>
      <c r="AD1095" s="176">
        <v>268.65033406194954</v>
      </c>
      <c r="AE1095" s="943"/>
      <c r="AF1095" s="944"/>
      <c r="AG1095" s="211">
        <v>121.08838</v>
      </c>
      <c r="AH1095" s="157">
        <v>1902.8257866026772</v>
      </c>
      <c r="AI1095" s="176">
        <f t="shared" si="43"/>
        <v>1902.8257866026772</v>
      </c>
      <c r="AJ1095" s="976"/>
      <c r="AK1095" s="982"/>
      <c r="AL1095" s="1334"/>
      <c r="AM1095" s="440"/>
      <c r="AN1095" s="89"/>
      <c r="AO1095" s="89"/>
    </row>
    <row r="1096" spans="1:41" s="69" customFormat="1" ht="15" customHeight="1">
      <c r="A1096" s="1042"/>
      <c r="B1096" s="821"/>
      <c r="C1096" s="525"/>
      <c r="D1096" s="223" t="s">
        <v>823</v>
      </c>
      <c r="E1096" s="320" t="s">
        <v>64</v>
      </c>
      <c r="F1096" s="607" t="s">
        <v>64</v>
      </c>
      <c r="G1096" s="427">
        <v>666.66</v>
      </c>
      <c r="H1096" s="320" t="s">
        <v>64</v>
      </c>
      <c r="I1096" s="639" t="s">
        <v>64</v>
      </c>
      <c r="J1096" s="984"/>
      <c r="K1096" s="1104"/>
      <c r="L1096" s="7">
        <v>81.666600000000003</v>
      </c>
      <c r="M1096" s="320" t="s">
        <v>64</v>
      </c>
      <c r="N1096" s="188"/>
      <c r="O1096" s="188"/>
      <c r="P1096" s="188"/>
      <c r="Q1096" s="188"/>
      <c r="R1096" s="214"/>
      <c r="S1096" s="633">
        <v>81.666600000000003</v>
      </c>
      <c r="T1096" s="157">
        <v>641.66897097874346</v>
      </c>
      <c r="U1096" s="607" t="s">
        <v>64</v>
      </c>
      <c r="V1096" s="7"/>
      <c r="W1096" s="7">
        <v>0</v>
      </c>
      <c r="X1096" s="157">
        <v>0</v>
      </c>
      <c r="Y1096" s="7">
        <v>6.1999899999999997</v>
      </c>
      <c r="Z1096" s="157">
        <v>48.714421849060656</v>
      </c>
      <c r="AA1096" s="188"/>
      <c r="AB1096" s="214"/>
      <c r="AC1096" s="7">
        <v>27.53331</v>
      </c>
      <c r="AD1096" s="176">
        <v>216.33410348096692</v>
      </c>
      <c r="AE1096" s="943"/>
      <c r="AF1096" s="944"/>
      <c r="AG1096" s="211">
        <v>81.666600000000003</v>
      </c>
      <c r="AH1096" s="157">
        <v>1283.3379419574869</v>
      </c>
      <c r="AI1096" s="176">
        <f t="shared" si="43"/>
        <v>1283.3379419574869</v>
      </c>
      <c r="AJ1096" s="976"/>
      <c r="AK1096" s="982"/>
      <c r="AL1096" s="1334"/>
      <c r="AM1096" s="440"/>
      <c r="AN1096" s="108"/>
      <c r="AO1096" s="89"/>
    </row>
    <row r="1097" spans="1:41" s="69" customFormat="1" ht="15" customHeight="1">
      <c r="A1097" s="1042"/>
      <c r="B1097" s="821"/>
      <c r="C1097" s="525"/>
      <c r="D1097" s="223" t="s">
        <v>825</v>
      </c>
      <c r="E1097" s="320" t="s">
        <v>64</v>
      </c>
      <c r="F1097" s="607" t="s">
        <v>64</v>
      </c>
      <c r="G1097" s="430">
        <v>1500</v>
      </c>
      <c r="H1097" s="320" t="s">
        <v>64</v>
      </c>
      <c r="I1097" s="639" t="s">
        <v>64</v>
      </c>
      <c r="J1097" s="984"/>
      <c r="K1097" s="1104"/>
      <c r="L1097" s="7">
        <v>90</v>
      </c>
      <c r="M1097" s="320" t="s">
        <v>64</v>
      </c>
      <c r="N1097" s="188"/>
      <c r="O1097" s="188"/>
      <c r="P1097" s="188"/>
      <c r="Q1097" s="188"/>
      <c r="R1097" s="214"/>
      <c r="S1097" s="633">
        <v>90</v>
      </c>
      <c r="T1097" s="157">
        <v>707.14597385083835</v>
      </c>
      <c r="U1097" s="607" t="s">
        <v>64</v>
      </c>
      <c r="V1097" s="7"/>
      <c r="W1097" s="7">
        <v>0</v>
      </c>
      <c r="X1097" s="157">
        <v>0</v>
      </c>
      <c r="Y1097" s="7">
        <v>7.4499999999999993</v>
      </c>
      <c r="Z1097" s="157">
        <v>58.535972279874933</v>
      </c>
      <c r="AA1097" s="188"/>
      <c r="AB1097" s="214"/>
      <c r="AC1097" s="7">
        <v>30.45</v>
      </c>
      <c r="AD1097" s="176">
        <v>239.25105448620022</v>
      </c>
      <c r="AE1097" s="943"/>
      <c r="AF1097" s="944"/>
      <c r="AG1097" s="211">
        <v>90</v>
      </c>
      <c r="AH1097" s="157">
        <v>1414.2919477016767</v>
      </c>
      <c r="AI1097" s="176">
        <f t="shared" si="43"/>
        <v>1414.2919477016767</v>
      </c>
      <c r="AJ1097" s="976"/>
      <c r="AK1097" s="982"/>
      <c r="AL1097" s="1334"/>
      <c r="AM1097" s="440"/>
      <c r="AN1097" s="108"/>
      <c r="AO1097" s="89"/>
    </row>
    <row r="1098" spans="1:41" s="69" customFormat="1" ht="15" customHeight="1" thickBot="1">
      <c r="A1098" s="1042"/>
      <c r="B1098" s="745"/>
      <c r="C1098" s="527"/>
      <c r="D1098" s="224" t="s">
        <v>826</v>
      </c>
      <c r="E1098" s="226" t="s">
        <v>64</v>
      </c>
      <c r="F1098" s="229" t="s">
        <v>64</v>
      </c>
      <c r="G1098" s="429">
        <v>1111.1099999999999</v>
      </c>
      <c r="H1098" s="226" t="s">
        <v>64</v>
      </c>
      <c r="I1098" s="641" t="s">
        <v>64</v>
      </c>
      <c r="J1098" s="985"/>
      <c r="K1098" s="1105"/>
      <c r="L1098" s="28">
        <v>110.55552999999999</v>
      </c>
      <c r="M1098" s="226" t="s">
        <v>64</v>
      </c>
      <c r="N1098" s="116"/>
      <c r="O1098" s="116"/>
      <c r="P1098" s="116"/>
      <c r="Q1098" s="116"/>
      <c r="R1098" s="175"/>
      <c r="S1098" s="677">
        <v>110.55552999999999</v>
      </c>
      <c r="T1098" s="118">
        <v>813.68504197467894</v>
      </c>
      <c r="U1098" s="229" t="s">
        <v>64</v>
      </c>
      <c r="V1098" s="28"/>
      <c r="W1098" s="28">
        <v>14.444430000000001</v>
      </c>
      <c r="X1098" s="118">
        <v>106.31052676288873</v>
      </c>
      <c r="Y1098" s="28">
        <v>6.8666649999999994</v>
      </c>
      <c r="Z1098" s="118">
        <v>53.952605650360766</v>
      </c>
      <c r="AA1098" s="116"/>
      <c r="AB1098" s="175"/>
      <c r="AC1098" s="28">
        <v>32.588884999999998</v>
      </c>
      <c r="AD1098" s="180">
        <v>239.85311507378287</v>
      </c>
      <c r="AE1098" s="943"/>
      <c r="AF1098" s="944"/>
      <c r="AG1098" s="199">
        <v>110.55552999999999</v>
      </c>
      <c r="AH1098" s="118">
        <v>1627.3700839493579</v>
      </c>
      <c r="AI1098" s="180">
        <f t="shared" si="43"/>
        <v>1627.3700839493579</v>
      </c>
      <c r="AJ1098" s="976"/>
      <c r="AK1098" s="983"/>
      <c r="AL1098" s="1334"/>
      <c r="AM1098" s="440"/>
      <c r="AN1098" s="108"/>
      <c r="AO1098" s="89"/>
    </row>
    <row r="1099" spans="1:41" s="69" customFormat="1" ht="15" customHeight="1">
      <c r="A1099" s="1042"/>
      <c r="B1099" s="465" t="s">
        <v>151</v>
      </c>
      <c r="C1099" s="386" t="s">
        <v>151</v>
      </c>
      <c r="D1099" s="222" t="s">
        <v>741</v>
      </c>
      <c r="E1099" s="240" t="s">
        <v>0</v>
      </c>
      <c r="F1099" s="240" t="s">
        <v>0</v>
      </c>
      <c r="G1099" s="426">
        <f>3*74*21.753</f>
        <v>4829.1660000000002</v>
      </c>
      <c r="H1099" s="225" t="s">
        <v>221</v>
      </c>
      <c r="I1099" s="640">
        <v>249.45</v>
      </c>
      <c r="J1099" s="989" t="s">
        <v>743</v>
      </c>
      <c r="K1099" s="1103" t="s">
        <v>668</v>
      </c>
      <c r="L1099" s="120">
        <v>377.87081800000004</v>
      </c>
      <c r="M1099" s="120">
        <v>36.5</v>
      </c>
      <c r="N1099" s="115"/>
      <c r="O1099" s="115"/>
      <c r="P1099" s="115"/>
      <c r="Q1099" s="115"/>
      <c r="R1099" s="174"/>
      <c r="S1099" s="676">
        <v>341.37081800000004</v>
      </c>
      <c r="T1099" s="117">
        <v>2512.4779228434918</v>
      </c>
      <c r="U1099" s="120">
        <v>3.24</v>
      </c>
      <c r="V1099" s="120"/>
      <c r="W1099" s="120">
        <v>62.77915800000001</v>
      </c>
      <c r="X1099" s="117">
        <v>462.05252520941434</v>
      </c>
      <c r="Y1099" s="120">
        <v>14.543749</v>
      </c>
      <c r="Z1099" s="117">
        <v>107.0415113159354</v>
      </c>
      <c r="AA1099" s="115"/>
      <c r="AB1099" s="174"/>
      <c r="AC1099" s="120">
        <v>123.34124700000002</v>
      </c>
      <c r="AD1099" s="177">
        <v>907.78749595252714</v>
      </c>
      <c r="AE1099" s="943"/>
      <c r="AF1099" s="944"/>
      <c r="AG1099" s="209">
        <v>341.37081800000004</v>
      </c>
      <c r="AH1099" s="117">
        <v>5024.9558456869836</v>
      </c>
      <c r="AI1099" s="177">
        <f t="shared" si="43"/>
        <v>5024.9558456869836</v>
      </c>
      <c r="AJ1099" s="976"/>
      <c r="AK1099" s="981">
        <f>SUM(AI1099:AI1109)</f>
        <v>18462.752553299044</v>
      </c>
      <c r="AL1099" s="1334"/>
      <c r="AM1099" s="440"/>
      <c r="AN1099" s="108"/>
      <c r="AO1099" s="89"/>
    </row>
    <row r="1100" spans="1:41" s="69" customFormat="1" ht="15" customHeight="1">
      <c r="A1100" s="1042"/>
      <c r="B1100" s="589"/>
      <c r="C1100" s="525"/>
      <c r="D1100" s="223" t="s">
        <v>809</v>
      </c>
      <c r="E1100" s="320" t="s">
        <v>64</v>
      </c>
      <c r="F1100" s="607" t="s">
        <v>64</v>
      </c>
      <c r="G1100" s="426">
        <f>74*21.753</f>
        <v>1609.722</v>
      </c>
      <c r="H1100" s="320" t="s">
        <v>64</v>
      </c>
      <c r="I1100" s="639" t="s">
        <v>64</v>
      </c>
      <c r="J1100" s="990"/>
      <c r="K1100" s="1104"/>
      <c r="L1100" s="7">
        <v>65.097219999999993</v>
      </c>
      <c r="M1100" s="320" t="s">
        <v>64</v>
      </c>
      <c r="N1100" s="188"/>
      <c r="O1100" s="188"/>
      <c r="P1100" s="188"/>
      <c r="Q1100" s="188"/>
      <c r="R1100" s="214"/>
      <c r="S1100" s="633">
        <v>65.097219999999993</v>
      </c>
      <c r="T1100" s="157">
        <v>479.11338481336071</v>
      </c>
      <c r="U1100" s="607" t="s">
        <v>64</v>
      </c>
      <c r="V1100" s="7"/>
      <c r="W1100" s="7">
        <v>0</v>
      </c>
      <c r="X1100" s="157">
        <v>0</v>
      </c>
      <c r="Y1100" s="7">
        <v>8.6145829999999997</v>
      </c>
      <c r="Z1100" s="157">
        <v>63.403045781150581</v>
      </c>
      <c r="AA1100" s="188"/>
      <c r="AB1100" s="214"/>
      <c r="AC1100" s="7">
        <v>27.493748999999998</v>
      </c>
      <c r="AD1100" s="176">
        <v>202.3530827368505</v>
      </c>
      <c r="AE1100" s="943"/>
      <c r="AF1100" s="944"/>
      <c r="AG1100" s="211">
        <v>65.097219999999993</v>
      </c>
      <c r="AH1100" s="157">
        <v>958.22676962672142</v>
      </c>
      <c r="AI1100" s="176">
        <f t="shared" si="43"/>
        <v>958.22676962672142</v>
      </c>
      <c r="AJ1100" s="976"/>
      <c r="AK1100" s="982"/>
      <c r="AL1100" s="1334"/>
      <c r="AM1100" s="440"/>
      <c r="AN1100" s="108"/>
      <c r="AO1100" s="89"/>
    </row>
    <row r="1101" spans="1:41" s="69" customFormat="1" ht="12.75" customHeight="1">
      <c r="A1101" s="1042"/>
      <c r="B1101" s="589"/>
      <c r="C1101" s="525"/>
      <c r="D1101" s="223" t="s">
        <v>810</v>
      </c>
      <c r="E1101" s="320" t="s">
        <v>64</v>
      </c>
      <c r="F1101" s="607" t="s">
        <v>64</v>
      </c>
      <c r="G1101" s="426">
        <f>2*G1100</f>
        <v>3219.444</v>
      </c>
      <c r="H1101" s="320" t="s">
        <v>64</v>
      </c>
      <c r="I1101" s="639" t="s">
        <v>64</v>
      </c>
      <c r="J1101" s="990"/>
      <c r="K1101" s="1104"/>
      <c r="L1101" s="7">
        <v>81.19444</v>
      </c>
      <c r="M1101" s="320" t="s">
        <v>64</v>
      </c>
      <c r="N1101" s="188"/>
      <c r="O1101" s="188"/>
      <c r="P1101" s="188"/>
      <c r="Q1101" s="188"/>
      <c r="R1101" s="214"/>
      <c r="S1101" s="7">
        <v>81.19444</v>
      </c>
      <c r="T1101" s="157">
        <v>597.58839127731312</v>
      </c>
      <c r="U1101" s="607" t="s">
        <v>64</v>
      </c>
      <c r="V1101" s="7"/>
      <c r="W1101" s="7">
        <v>0</v>
      </c>
      <c r="X1101" s="157">
        <v>0</v>
      </c>
      <c r="Y1101" s="7">
        <v>11.029166</v>
      </c>
      <c r="Z1101" s="157">
        <v>81.17429675074338</v>
      </c>
      <c r="AA1101" s="188"/>
      <c r="AB1101" s="214"/>
      <c r="AC1101" s="7">
        <v>34.737498000000002</v>
      </c>
      <c r="AD1101" s="176">
        <v>255.66683564562888</v>
      </c>
      <c r="AE1101" s="943"/>
      <c r="AF1101" s="944"/>
      <c r="AG1101" s="192">
        <v>81.19444</v>
      </c>
      <c r="AH1101" s="157">
        <v>1195.1767825546262</v>
      </c>
      <c r="AI1101" s="176">
        <f>R1101+X1101+Z1101+AH1101</f>
        <v>1276.3510793053697</v>
      </c>
      <c r="AJ1101" s="976"/>
      <c r="AK1101" s="982"/>
      <c r="AL1101" s="1334"/>
      <c r="AM1101" s="440"/>
      <c r="AN1101" s="89"/>
      <c r="AO1101" s="89"/>
    </row>
    <row r="1102" spans="1:41" s="69" customFormat="1" ht="12.75" customHeight="1">
      <c r="A1102" s="1042"/>
      <c r="B1102" s="589"/>
      <c r="C1102" s="525"/>
      <c r="D1102" s="223" t="s">
        <v>811</v>
      </c>
      <c r="E1102" s="320" t="s">
        <v>64</v>
      </c>
      <c r="F1102" s="607" t="s">
        <v>64</v>
      </c>
      <c r="G1102" s="426">
        <f>3*G1100</f>
        <v>4829.1660000000002</v>
      </c>
      <c r="H1102" s="320" t="s">
        <v>64</v>
      </c>
      <c r="I1102" s="639" t="s">
        <v>64</v>
      </c>
      <c r="J1102" s="990"/>
      <c r="K1102" s="1104"/>
      <c r="L1102" s="7">
        <v>87.291660000000007</v>
      </c>
      <c r="M1102" s="320" t="s">
        <v>64</v>
      </c>
      <c r="N1102" s="188"/>
      <c r="O1102" s="188"/>
      <c r="P1102" s="188"/>
      <c r="Q1102" s="188"/>
      <c r="R1102" s="214"/>
      <c r="S1102" s="633">
        <v>87.291660000000007</v>
      </c>
      <c r="T1102" s="157">
        <v>642.46372869036577</v>
      </c>
      <c r="U1102" s="607" t="s">
        <v>64</v>
      </c>
      <c r="V1102" s="7"/>
      <c r="W1102" s="7">
        <v>0</v>
      </c>
      <c r="X1102" s="157">
        <v>0</v>
      </c>
      <c r="Y1102" s="7">
        <v>12.443749</v>
      </c>
      <c r="Z1102" s="157">
        <v>91.585580815246345</v>
      </c>
      <c r="AA1102" s="188"/>
      <c r="AB1102" s="214"/>
      <c r="AC1102" s="7">
        <v>37.931247000000006</v>
      </c>
      <c r="AD1102" s="176">
        <v>279.17272258879331</v>
      </c>
      <c r="AE1102" s="943"/>
      <c r="AF1102" s="944"/>
      <c r="AG1102" s="211">
        <v>87.291660000000007</v>
      </c>
      <c r="AH1102" s="157">
        <v>1284.9274573807315</v>
      </c>
      <c r="AI1102" s="176">
        <f t="shared" ref="AI1102:AI1121" si="45">AH1102</f>
        <v>1284.9274573807315</v>
      </c>
      <c r="AJ1102" s="976"/>
      <c r="AK1102" s="982"/>
      <c r="AL1102" s="1334"/>
      <c r="AM1102" s="440"/>
      <c r="AN1102" s="89"/>
      <c r="AO1102" s="89"/>
    </row>
    <row r="1103" spans="1:41" s="69" customFormat="1" ht="12.75" customHeight="1">
      <c r="A1103" s="1042"/>
      <c r="B1103" s="589"/>
      <c r="C1103" s="525"/>
      <c r="D1103" s="223" t="s">
        <v>812</v>
      </c>
      <c r="E1103" s="320" t="s">
        <v>64</v>
      </c>
      <c r="F1103" s="607" t="s">
        <v>64</v>
      </c>
      <c r="G1103" s="426">
        <v>3200</v>
      </c>
      <c r="H1103" s="320" t="s">
        <v>64</v>
      </c>
      <c r="I1103" s="639" t="s">
        <v>64</v>
      </c>
      <c r="J1103" s="990"/>
      <c r="K1103" s="1104"/>
      <c r="L1103" s="7">
        <v>122.6</v>
      </c>
      <c r="M1103" s="320" t="s">
        <v>64</v>
      </c>
      <c r="N1103" s="188"/>
      <c r="O1103" s="188"/>
      <c r="P1103" s="188"/>
      <c r="Q1103" s="188"/>
      <c r="R1103" s="214"/>
      <c r="S1103" s="633">
        <v>122.6</v>
      </c>
      <c r="T1103" s="157">
        <v>902.33194256402999</v>
      </c>
      <c r="U1103" s="607" t="s">
        <v>64</v>
      </c>
      <c r="V1103" s="7"/>
      <c r="W1103" s="7">
        <v>41.6</v>
      </c>
      <c r="X1103" s="157">
        <v>306.17462325174262</v>
      </c>
      <c r="Y1103" s="7">
        <v>10</v>
      </c>
      <c r="Z1103" s="157">
        <v>73.599669050899607</v>
      </c>
      <c r="AA1103" s="188"/>
      <c r="AB1103" s="214"/>
      <c r="AC1103" s="7">
        <v>35.1</v>
      </c>
      <c r="AD1103" s="176">
        <v>258.33483836865759</v>
      </c>
      <c r="AE1103" s="943"/>
      <c r="AF1103" s="944"/>
      <c r="AG1103" s="211">
        <v>122.6</v>
      </c>
      <c r="AH1103" s="157">
        <v>1804.66388512806</v>
      </c>
      <c r="AI1103" s="176">
        <f t="shared" si="45"/>
        <v>1804.66388512806</v>
      </c>
      <c r="AJ1103" s="976"/>
      <c r="AK1103" s="982"/>
      <c r="AL1103" s="1334"/>
      <c r="AM1103" s="440"/>
      <c r="AN1103" s="89"/>
      <c r="AO1103" s="89"/>
    </row>
    <row r="1104" spans="1:41" s="69" customFormat="1" ht="12.75" customHeight="1">
      <c r="A1104" s="1042"/>
      <c r="B1104" s="589"/>
      <c r="C1104" s="525"/>
      <c r="D1104" s="223" t="s">
        <v>813</v>
      </c>
      <c r="E1104" s="320" t="s">
        <v>64</v>
      </c>
      <c r="F1104" s="607" t="s">
        <v>64</v>
      </c>
      <c r="G1104" s="426">
        <f>2*G1103</f>
        <v>6400</v>
      </c>
      <c r="H1104" s="320" t="s">
        <v>64</v>
      </c>
      <c r="I1104" s="639" t="s">
        <v>64</v>
      </c>
      <c r="J1104" s="990"/>
      <c r="K1104" s="1104"/>
      <c r="L1104" s="7">
        <v>196.20000000000002</v>
      </c>
      <c r="M1104" s="320" t="s">
        <v>64</v>
      </c>
      <c r="N1104" s="188"/>
      <c r="O1104" s="188"/>
      <c r="P1104" s="188"/>
      <c r="Q1104" s="188"/>
      <c r="R1104" s="214"/>
      <c r="S1104" s="633">
        <v>196.20000000000002</v>
      </c>
      <c r="T1104" s="157">
        <v>1444.0255067786509</v>
      </c>
      <c r="U1104" s="607" t="s">
        <v>64</v>
      </c>
      <c r="V1104" s="7"/>
      <c r="W1104" s="7">
        <v>83.2</v>
      </c>
      <c r="X1104" s="157">
        <v>612.34924650348523</v>
      </c>
      <c r="Y1104" s="7">
        <v>14.8</v>
      </c>
      <c r="Z1104" s="157">
        <v>108.92751019533145</v>
      </c>
      <c r="AA1104" s="188"/>
      <c r="AB1104" s="214"/>
      <c r="AC1104" s="7">
        <v>49.5</v>
      </c>
      <c r="AD1104" s="176">
        <v>364.31836180195342</v>
      </c>
      <c r="AE1104" s="943"/>
      <c r="AF1104" s="944"/>
      <c r="AG1104" s="211">
        <v>196.20000000000002</v>
      </c>
      <c r="AH1104" s="157">
        <v>2888.0510135573018</v>
      </c>
      <c r="AI1104" s="176">
        <f t="shared" si="45"/>
        <v>2888.0510135573018</v>
      </c>
      <c r="AJ1104" s="976"/>
      <c r="AK1104" s="982"/>
      <c r="AL1104" s="1334"/>
      <c r="AM1104" s="440"/>
      <c r="AN1104" s="89"/>
      <c r="AO1104" s="89"/>
    </row>
    <row r="1105" spans="1:42" s="69" customFormat="1" ht="12.75" customHeight="1">
      <c r="A1105" s="1042"/>
      <c r="B1105" s="589"/>
      <c r="C1105" s="525"/>
      <c r="D1105" s="223" t="s">
        <v>814</v>
      </c>
      <c r="E1105" s="320" t="s">
        <v>64</v>
      </c>
      <c r="F1105" s="607" t="s">
        <v>64</v>
      </c>
      <c r="G1105" s="426">
        <f>G1103/3*10%</f>
        <v>106.66666666666669</v>
      </c>
      <c r="H1105" s="320" t="s">
        <v>64</v>
      </c>
      <c r="I1105" s="639" t="s">
        <v>64</v>
      </c>
      <c r="J1105" s="990"/>
      <c r="K1105" s="1104"/>
      <c r="L1105" s="7">
        <v>40.066666666666663</v>
      </c>
      <c r="M1105" s="320" t="s">
        <v>64</v>
      </c>
      <c r="N1105" s="188"/>
      <c r="O1105" s="188"/>
      <c r="P1105" s="188"/>
      <c r="Q1105" s="188"/>
      <c r="R1105" s="214"/>
      <c r="S1105" s="633">
        <v>40.066666666666663</v>
      </c>
      <c r="T1105" s="157">
        <v>294.88934066393796</v>
      </c>
      <c r="U1105" s="607" t="s">
        <v>64</v>
      </c>
      <c r="V1105" s="7"/>
      <c r="W1105" s="7">
        <v>0</v>
      </c>
      <c r="X1105" s="157">
        <v>0</v>
      </c>
      <c r="Y1105" s="7">
        <v>5.36</v>
      </c>
      <c r="Z1105" s="157">
        <v>39.449422611282188</v>
      </c>
      <c r="AA1105" s="188"/>
      <c r="AB1105" s="214"/>
      <c r="AC1105" s="7">
        <v>16.68</v>
      </c>
      <c r="AD1105" s="176">
        <v>122.76424797690062</v>
      </c>
      <c r="AE1105" s="943"/>
      <c r="AF1105" s="944"/>
      <c r="AG1105" s="211">
        <v>40.066666666666663</v>
      </c>
      <c r="AH1105" s="157">
        <v>589.77868132787592</v>
      </c>
      <c r="AI1105" s="176">
        <f t="shared" si="45"/>
        <v>589.77868132787592</v>
      </c>
      <c r="AJ1105" s="976"/>
      <c r="AK1105" s="982"/>
      <c r="AL1105" s="1334"/>
      <c r="AM1105" s="440"/>
      <c r="AN1105" s="89"/>
      <c r="AO1105" s="89"/>
    </row>
    <row r="1106" spans="1:42" s="69" customFormat="1" ht="12.75" customHeight="1">
      <c r="A1106" s="1042"/>
      <c r="B1106" s="589"/>
      <c r="C1106" s="525"/>
      <c r="D1106" s="223" t="s">
        <v>815</v>
      </c>
      <c r="E1106" s="320" t="s">
        <v>64</v>
      </c>
      <c r="F1106" s="607" t="s">
        <v>64</v>
      </c>
      <c r="G1106" s="426">
        <f>2*G1105</f>
        <v>213.33333333333337</v>
      </c>
      <c r="H1106" s="320" t="s">
        <v>64</v>
      </c>
      <c r="I1106" s="639" t="s">
        <v>64</v>
      </c>
      <c r="J1106" s="990"/>
      <c r="K1106" s="1104"/>
      <c r="L1106" s="7">
        <v>41.133333333333333</v>
      </c>
      <c r="M1106" s="320" t="s">
        <v>64</v>
      </c>
      <c r="N1106" s="188"/>
      <c r="O1106" s="188"/>
      <c r="P1106" s="188"/>
      <c r="Q1106" s="188"/>
      <c r="R1106" s="214"/>
      <c r="S1106" s="633">
        <v>41.133333333333333</v>
      </c>
      <c r="T1106" s="157">
        <v>302.73997202936681</v>
      </c>
      <c r="U1106" s="607" t="s">
        <v>64</v>
      </c>
      <c r="V1106" s="7"/>
      <c r="W1106" s="7">
        <v>0</v>
      </c>
      <c r="X1106" s="157">
        <v>0</v>
      </c>
      <c r="Y1106" s="7">
        <v>5.52</v>
      </c>
      <c r="Z1106" s="157">
        <v>40.627017316096591</v>
      </c>
      <c r="AA1106" s="188"/>
      <c r="AB1106" s="214"/>
      <c r="AC1106" s="7">
        <v>17.16</v>
      </c>
      <c r="AD1106" s="176">
        <v>126.29703209134375</v>
      </c>
      <c r="AE1106" s="943"/>
      <c r="AF1106" s="944"/>
      <c r="AG1106" s="211">
        <v>41.133333333333333</v>
      </c>
      <c r="AH1106" s="157">
        <v>605.47994405873362</v>
      </c>
      <c r="AI1106" s="176">
        <f t="shared" si="45"/>
        <v>605.47994405873362</v>
      </c>
      <c r="AJ1106" s="976"/>
      <c r="AK1106" s="982"/>
      <c r="AL1106" s="1334"/>
      <c r="AM1106" s="440"/>
      <c r="AN1106" s="89"/>
      <c r="AO1106" s="89"/>
    </row>
    <row r="1107" spans="1:42" s="69" customFormat="1" ht="12.75" customHeight="1">
      <c r="A1107" s="1042"/>
      <c r="B1107" s="589"/>
      <c r="C1107" s="525"/>
      <c r="D1107" s="223" t="s">
        <v>816</v>
      </c>
      <c r="E1107" s="225" t="s">
        <v>64</v>
      </c>
      <c r="F1107" s="607" t="s">
        <v>64</v>
      </c>
      <c r="G1107" s="426">
        <f>G1105*3</f>
        <v>320.00000000000006</v>
      </c>
      <c r="H1107" s="320" t="s">
        <v>64</v>
      </c>
      <c r="I1107" s="639" t="s">
        <v>64</v>
      </c>
      <c r="J1107" s="990"/>
      <c r="K1107" s="1001"/>
      <c r="L1107" s="209">
        <v>42.199999999999996</v>
      </c>
      <c r="M1107" s="225" t="s">
        <v>64</v>
      </c>
      <c r="N1107" s="115"/>
      <c r="O1107" s="115"/>
      <c r="P1107" s="115"/>
      <c r="Q1107" s="115"/>
      <c r="R1107" s="174"/>
      <c r="S1107" s="676">
        <v>42.199999999999996</v>
      </c>
      <c r="T1107" s="117">
        <v>310.59060339479691</v>
      </c>
      <c r="U1107" s="607" t="s">
        <v>64</v>
      </c>
      <c r="V1107" s="120"/>
      <c r="W1107" s="7">
        <v>0</v>
      </c>
      <c r="X1107" s="157">
        <v>0</v>
      </c>
      <c r="Y1107" s="120">
        <v>5.68</v>
      </c>
      <c r="Z1107" s="117">
        <v>41.804612020910973</v>
      </c>
      <c r="AA1107" s="115"/>
      <c r="AB1107" s="174"/>
      <c r="AC1107" s="120">
        <v>17.639999999999997</v>
      </c>
      <c r="AD1107" s="177">
        <v>129.8298162057869</v>
      </c>
      <c r="AE1107" s="943"/>
      <c r="AF1107" s="944"/>
      <c r="AG1107" s="209">
        <v>42.199999999999996</v>
      </c>
      <c r="AH1107" s="117">
        <v>621.18120678959383</v>
      </c>
      <c r="AI1107" s="177">
        <f t="shared" si="45"/>
        <v>621.18120678959383</v>
      </c>
      <c r="AJ1107" s="976"/>
      <c r="AK1107" s="982"/>
      <c r="AL1107" s="1334"/>
      <c r="AM1107" s="440"/>
      <c r="AN1107" s="89"/>
      <c r="AO1107" s="89"/>
    </row>
    <row r="1108" spans="1:42" s="69" customFormat="1" ht="12.75" customHeight="1">
      <c r="A1108" s="1042"/>
      <c r="B1108" s="589"/>
      <c r="C1108" s="525"/>
      <c r="D1108" s="223" t="s">
        <v>820</v>
      </c>
      <c r="E1108" s="225" t="s">
        <v>64</v>
      </c>
      <c r="F1108" s="607" t="s">
        <v>64</v>
      </c>
      <c r="G1108" s="426">
        <f>6400+6400*40%</f>
        <v>8960</v>
      </c>
      <c r="H1108" s="320" t="s">
        <v>64</v>
      </c>
      <c r="I1108" s="639" t="s">
        <v>64</v>
      </c>
      <c r="J1108" s="990"/>
      <c r="K1108" s="1001"/>
      <c r="L1108" s="211">
        <v>128.60000000000002</v>
      </c>
      <c r="M1108" s="320" t="s">
        <v>64</v>
      </c>
      <c r="N1108" s="188"/>
      <c r="O1108" s="188"/>
      <c r="P1108" s="188"/>
      <c r="Q1108" s="188"/>
      <c r="R1108" s="214"/>
      <c r="S1108" s="633">
        <v>128.60000000000002</v>
      </c>
      <c r="T1108" s="157">
        <v>946.49174399456979</v>
      </c>
      <c r="U1108" s="607" t="s">
        <v>64</v>
      </c>
      <c r="V1108" s="7"/>
      <c r="W1108" s="7">
        <v>0</v>
      </c>
      <c r="X1108" s="157">
        <v>0</v>
      </c>
      <c r="Y1108" s="7">
        <v>18.64</v>
      </c>
      <c r="Z1108" s="157">
        <v>137.18978311087682</v>
      </c>
      <c r="AA1108" s="188"/>
      <c r="AB1108" s="214"/>
      <c r="AC1108" s="7">
        <v>56.52</v>
      </c>
      <c r="AD1108" s="176">
        <v>415.98532947568486</v>
      </c>
      <c r="AE1108" s="943"/>
      <c r="AF1108" s="944"/>
      <c r="AG1108" s="211">
        <v>128.60000000000002</v>
      </c>
      <c r="AH1108" s="157">
        <v>1892.9834879891396</v>
      </c>
      <c r="AI1108" s="176">
        <f t="shared" si="45"/>
        <v>1892.9834879891396</v>
      </c>
      <c r="AJ1108" s="976"/>
      <c r="AK1108" s="982"/>
      <c r="AL1108" s="1334"/>
      <c r="AM1108" s="440"/>
      <c r="AN1108" s="89"/>
      <c r="AO1108" s="89"/>
    </row>
    <row r="1109" spans="1:42" s="69" customFormat="1" ht="12.75" customHeight="1" thickBot="1">
      <c r="A1109" s="1042"/>
      <c r="B1109" s="593"/>
      <c r="C1109" s="527"/>
      <c r="D1109" s="224" t="s">
        <v>821</v>
      </c>
      <c r="E1109" s="226" t="s">
        <v>64</v>
      </c>
      <c r="F1109" s="229" t="s">
        <v>64</v>
      </c>
      <c r="G1109" s="432">
        <v>6400</v>
      </c>
      <c r="H1109" s="226" t="s">
        <v>64</v>
      </c>
      <c r="I1109" s="641" t="s">
        <v>64</v>
      </c>
      <c r="J1109" s="991"/>
      <c r="K1109" s="1002"/>
      <c r="L1109" s="547">
        <v>103</v>
      </c>
      <c r="M1109" s="226" t="s">
        <v>64</v>
      </c>
      <c r="N1109" s="116"/>
      <c r="O1109" s="116"/>
      <c r="P1109" s="116"/>
      <c r="Q1109" s="116"/>
      <c r="R1109" s="175"/>
      <c r="S1109" s="677">
        <v>103</v>
      </c>
      <c r="T1109" s="118">
        <v>758.07659122426594</v>
      </c>
      <c r="U1109" s="229" t="s">
        <v>64</v>
      </c>
      <c r="V1109" s="28"/>
      <c r="W1109" s="28">
        <v>0</v>
      </c>
      <c r="X1109" s="118">
        <v>0</v>
      </c>
      <c r="Y1109" s="28">
        <v>14.8</v>
      </c>
      <c r="Z1109" s="118">
        <v>108.92751019533145</v>
      </c>
      <c r="AA1109" s="116"/>
      <c r="AB1109" s="175"/>
      <c r="AC1109" s="28">
        <v>45</v>
      </c>
      <c r="AD1109" s="180">
        <v>331.19851072904868</v>
      </c>
      <c r="AE1109" s="943"/>
      <c r="AF1109" s="944"/>
      <c r="AG1109" s="199">
        <v>103</v>
      </c>
      <c r="AH1109" s="118">
        <v>1516.1531824485319</v>
      </c>
      <c r="AI1109" s="180">
        <f t="shared" si="45"/>
        <v>1516.1531824485319</v>
      </c>
      <c r="AJ1109" s="977"/>
      <c r="AK1109" s="983"/>
      <c r="AL1109" s="1334"/>
      <c r="AM1109" s="440"/>
      <c r="AN1109" s="89"/>
      <c r="AO1109" s="89"/>
    </row>
    <row r="1110" spans="1:42" s="10" customFormat="1" ht="15" customHeight="1">
      <c r="A1110" s="1042"/>
      <c r="B1110" s="232" t="s">
        <v>151</v>
      </c>
      <c r="C1110" s="912" t="s">
        <v>151</v>
      </c>
      <c r="D1110" s="222" t="s">
        <v>754</v>
      </c>
      <c r="E1110" s="242" t="s">
        <v>1</v>
      </c>
      <c r="F1110" s="223" t="s">
        <v>0</v>
      </c>
      <c r="G1110" s="426">
        <f>3*74*21.753</f>
        <v>4829.1660000000002</v>
      </c>
      <c r="H1110" s="225" t="s">
        <v>221</v>
      </c>
      <c r="I1110" s="640">
        <v>3500</v>
      </c>
      <c r="J1110" s="992" t="s">
        <v>755</v>
      </c>
      <c r="K1110" s="141"/>
      <c r="L1110" s="120">
        <v>335.62484800000004</v>
      </c>
      <c r="M1110" s="120">
        <v>86.53</v>
      </c>
      <c r="N1110" s="115"/>
      <c r="O1110" s="115"/>
      <c r="P1110" s="115"/>
      <c r="Q1110" s="115"/>
      <c r="R1110" s="174"/>
      <c r="S1110" s="676">
        <v>249.09484800000004</v>
      </c>
      <c r="T1110" s="117">
        <v>1505.5890460152498</v>
      </c>
      <c r="U1110" s="607" t="s">
        <v>64</v>
      </c>
      <c r="V1110" s="120"/>
      <c r="W1110" s="120">
        <v>57.367440000000009</v>
      </c>
      <c r="X1110" s="117">
        <v>346.74257599232635</v>
      </c>
      <c r="Y1110" s="120">
        <v>10.579320000000001</v>
      </c>
      <c r="Z1110" s="117">
        <v>63.943949199182271</v>
      </c>
      <c r="AA1110" s="120">
        <v>26.718608000000003</v>
      </c>
      <c r="AB1110" s="117">
        <v>161.49367942598073</v>
      </c>
      <c r="AC1110" s="120">
        <v>28.981584000000002</v>
      </c>
      <c r="AD1110" s="177">
        <v>175.17164950184278</v>
      </c>
      <c r="AE1110" s="943"/>
      <c r="AF1110" s="944"/>
      <c r="AG1110" s="209">
        <v>249.09484800000004</v>
      </c>
      <c r="AH1110" s="117">
        <v>3011.1780920304996</v>
      </c>
      <c r="AI1110" s="177">
        <f t="shared" si="45"/>
        <v>3011.1780920304996</v>
      </c>
      <c r="AJ1110" s="975">
        <v>46251</v>
      </c>
      <c r="AK1110" s="978">
        <f>SUM(AI1110:AI1121)</f>
        <v>12092.464789595679</v>
      </c>
      <c r="AL1110" s="1334"/>
      <c r="AM1110" s="440"/>
      <c r="AN1110" s="107"/>
      <c r="AO1110" s="86"/>
      <c r="AP1110" s="104"/>
    </row>
    <row r="1111" spans="1:42" s="10" customFormat="1" ht="15" customHeight="1">
      <c r="A1111" s="1042"/>
      <c r="B1111" s="821"/>
      <c r="C1111" s="525"/>
      <c r="D1111" s="223" t="s">
        <v>809</v>
      </c>
      <c r="E1111" s="320" t="s">
        <v>64</v>
      </c>
      <c r="F1111" s="607" t="s">
        <v>64</v>
      </c>
      <c r="G1111" s="426">
        <f>74*21.753</f>
        <v>1609.722</v>
      </c>
      <c r="H1111" s="320" t="s">
        <v>64</v>
      </c>
      <c r="I1111" s="639" t="s">
        <v>64</v>
      </c>
      <c r="J1111" s="984"/>
      <c r="K1111" s="141"/>
      <c r="L1111" s="7">
        <v>59.343136000000008</v>
      </c>
      <c r="M1111" s="320" t="s">
        <v>64</v>
      </c>
      <c r="N1111" s="188"/>
      <c r="O1111" s="188"/>
      <c r="P1111" s="188"/>
      <c r="Q1111" s="188"/>
      <c r="R1111" s="214"/>
      <c r="S1111" s="633">
        <v>59.343136000000008</v>
      </c>
      <c r="T1111" s="157">
        <v>358.68415679875147</v>
      </c>
      <c r="U1111" s="607" t="s">
        <v>64</v>
      </c>
      <c r="V1111" s="7"/>
      <c r="W1111" s="7">
        <v>0</v>
      </c>
      <c r="X1111" s="157">
        <v>0</v>
      </c>
      <c r="Y1111" s="7">
        <v>5.4064399999999999</v>
      </c>
      <c r="Z1111" s="157">
        <v>32.67782094770056</v>
      </c>
      <c r="AA1111" s="7">
        <v>7.6335360000000021</v>
      </c>
      <c r="AB1111" s="157">
        <v>46.138923692083196</v>
      </c>
      <c r="AC1111" s="7">
        <v>8.587728000000002</v>
      </c>
      <c r="AD1111" s="176">
        <v>51.906289153593569</v>
      </c>
      <c r="AE1111" s="943"/>
      <c r="AF1111" s="944"/>
      <c r="AG1111" s="211">
        <v>59.343136000000008</v>
      </c>
      <c r="AH1111" s="157">
        <v>717.36831359750295</v>
      </c>
      <c r="AI1111" s="176">
        <f t="shared" si="45"/>
        <v>717.36831359750295</v>
      </c>
      <c r="AJ1111" s="1003"/>
      <c r="AK1111" s="979"/>
      <c r="AL1111" s="1334"/>
      <c r="AM1111" s="440"/>
      <c r="AN1111" s="107"/>
      <c r="AO1111" s="86"/>
      <c r="AP1111" s="104"/>
    </row>
    <row r="1112" spans="1:42" s="10" customFormat="1" ht="15.75" customHeight="1">
      <c r="A1112" s="1042"/>
      <c r="B1112" s="821"/>
      <c r="C1112" s="525"/>
      <c r="D1112" s="223" t="s">
        <v>810</v>
      </c>
      <c r="E1112" s="320" t="s">
        <v>64</v>
      </c>
      <c r="F1112" s="607" t="s">
        <v>64</v>
      </c>
      <c r="G1112" s="426">
        <f>2*G1111</f>
        <v>3219.444</v>
      </c>
      <c r="H1112" s="320" t="s">
        <v>64</v>
      </c>
      <c r="I1112" s="639" t="s">
        <v>64</v>
      </c>
      <c r="J1112" s="984"/>
      <c r="K1112" s="141"/>
      <c r="L1112" s="7">
        <v>65.030848000000006</v>
      </c>
      <c r="M1112" s="320" t="s">
        <v>64</v>
      </c>
      <c r="N1112" s="188"/>
      <c r="O1112" s="188"/>
      <c r="P1112" s="188"/>
      <c r="Q1112" s="188"/>
      <c r="R1112" s="214"/>
      <c r="S1112" s="633">
        <v>65.030848000000006</v>
      </c>
      <c r="T1112" s="157">
        <v>393.06205322192278</v>
      </c>
      <c r="U1112" s="607" t="s">
        <v>64</v>
      </c>
      <c r="V1112" s="7"/>
      <c r="W1112" s="7">
        <v>0</v>
      </c>
      <c r="X1112" s="157">
        <v>0</v>
      </c>
      <c r="Y1112" s="7">
        <v>6.1419199999999998</v>
      </c>
      <c r="Z1112" s="157">
        <v>37.123238588627828</v>
      </c>
      <c r="AA1112" s="7">
        <v>8.4180480000000006</v>
      </c>
      <c r="AB1112" s="157">
        <v>50.880702509072265</v>
      </c>
      <c r="AC1112" s="7">
        <v>9.4703040000000005</v>
      </c>
      <c r="AD1112" s="176">
        <v>57.240790322706331</v>
      </c>
      <c r="AE1112" s="943"/>
      <c r="AF1112" s="944"/>
      <c r="AG1112" s="211">
        <v>65.030848000000006</v>
      </c>
      <c r="AH1112" s="157">
        <v>786.12410644384556</v>
      </c>
      <c r="AI1112" s="176">
        <f t="shared" si="45"/>
        <v>786.12410644384556</v>
      </c>
      <c r="AJ1112" s="1003"/>
      <c r="AK1112" s="979"/>
      <c r="AL1112" s="1334"/>
      <c r="AM1112" s="440"/>
      <c r="AN1112" s="107"/>
      <c r="AO1112" s="86"/>
      <c r="AP1112" s="104"/>
    </row>
    <row r="1113" spans="1:42" s="69" customFormat="1" ht="15" customHeight="1">
      <c r="A1113" s="1042"/>
      <c r="B1113" s="821"/>
      <c r="C1113" s="525"/>
      <c r="D1113" s="223" t="s">
        <v>811</v>
      </c>
      <c r="E1113" s="320" t="s">
        <v>64</v>
      </c>
      <c r="F1113" s="607" t="s">
        <v>64</v>
      </c>
      <c r="G1113" s="426">
        <f>3*G1111</f>
        <v>4829.1660000000002</v>
      </c>
      <c r="H1113" s="320" t="s">
        <v>64</v>
      </c>
      <c r="I1113" s="639" t="s">
        <v>64</v>
      </c>
      <c r="J1113" s="984"/>
      <c r="K1113" s="141"/>
      <c r="L1113" s="7">
        <v>67.286271999999997</v>
      </c>
      <c r="M1113" s="320" t="s">
        <v>64</v>
      </c>
      <c r="N1113" s="188"/>
      <c r="O1113" s="188"/>
      <c r="P1113" s="188"/>
      <c r="Q1113" s="188"/>
      <c r="R1113" s="214"/>
      <c r="S1113" s="633">
        <v>67.286271999999997</v>
      </c>
      <c r="T1113" s="157">
        <v>406.6943771972455</v>
      </c>
      <c r="U1113" s="607" t="s">
        <v>64</v>
      </c>
      <c r="V1113" s="7"/>
      <c r="W1113" s="7">
        <v>0</v>
      </c>
      <c r="X1113" s="157">
        <v>0</v>
      </c>
      <c r="Y1113" s="7">
        <v>6.6128800000000005</v>
      </c>
      <c r="Z1113" s="157">
        <v>39.969833862695232</v>
      </c>
      <c r="AA1113" s="7">
        <v>8.8670720000000003</v>
      </c>
      <c r="AB1113" s="157">
        <v>53.594711334328892</v>
      </c>
      <c r="AC1113" s="7">
        <v>9.9754559999999994</v>
      </c>
      <c r="AD1113" s="176">
        <v>60.294050251120034</v>
      </c>
      <c r="AE1113" s="943"/>
      <c r="AF1113" s="944"/>
      <c r="AG1113" s="211">
        <v>67.286271999999997</v>
      </c>
      <c r="AH1113" s="157">
        <v>813.388754394491</v>
      </c>
      <c r="AI1113" s="176">
        <f t="shared" si="45"/>
        <v>813.388754394491</v>
      </c>
      <c r="AJ1113" s="1003"/>
      <c r="AK1113" s="979"/>
      <c r="AL1113" s="1334"/>
      <c r="AM1113" s="440"/>
      <c r="AN1113" s="90"/>
      <c r="AO1113" s="128"/>
      <c r="AP1113" s="106"/>
    </row>
    <row r="1114" spans="1:42" s="69" customFormat="1" ht="15" customHeight="1">
      <c r="A1114" s="1042"/>
      <c r="B1114" s="821"/>
      <c r="C1114" s="525"/>
      <c r="D1114" s="223" t="s">
        <v>812</v>
      </c>
      <c r="E1114" s="320" t="s">
        <v>64</v>
      </c>
      <c r="F1114" s="607" t="s">
        <v>64</v>
      </c>
      <c r="G1114" s="426">
        <v>3200</v>
      </c>
      <c r="H1114" s="320" t="s">
        <v>64</v>
      </c>
      <c r="I1114" s="639" t="s">
        <v>64</v>
      </c>
      <c r="J1114" s="984"/>
      <c r="K1114" s="141"/>
      <c r="L1114" s="7">
        <v>52.14</v>
      </c>
      <c r="M1114" s="320" t="s">
        <v>64</v>
      </c>
      <c r="N1114" s="188"/>
      <c r="O1114" s="188"/>
      <c r="P1114" s="188"/>
      <c r="Q1114" s="188"/>
      <c r="R1114" s="214"/>
      <c r="S1114" s="633">
        <v>52.14</v>
      </c>
      <c r="T1114" s="157">
        <v>315.14667400602019</v>
      </c>
      <c r="U1114" s="607" t="s">
        <v>64</v>
      </c>
      <c r="V1114" s="7"/>
      <c r="W1114" s="7">
        <v>3.9000000000000004</v>
      </c>
      <c r="X1114" s="157">
        <v>23.57253603036974</v>
      </c>
      <c r="Y1114" s="7">
        <v>2.65</v>
      </c>
      <c r="Z1114" s="157">
        <v>16.017236020635831</v>
      </c>
      <c r="AA1114" s="7">
        <v>6.24</v>
      </c>
      <c r="AB1114" s="157">
        <v>37.716057648591551</v>
      </c>
      <c r="AC1114" s="7">
        <v>7.02</v>
      </c>
      <c r="AD1114" s="176">
        <v>42.430564854665512</v>
      </c>
      <c r="AE1114" s="943"/>
      <c r="AF1114" s="944"/>
      <c r="AG1114" s="211">
        <v>52.14</v>
      </c>
      <c r="AH1114" s="157">
        <v>630.29334801204038</v>
      </c>
      <c r="AI1114" s="176">
        <f t="shared" si="45"/>
        <v>630.29334801204038</v>
      </c>
      <c r="AJ1114" s="1003"/>
      <c r="AK1114" s="979"/>
      <c r="AL1114" s="1334"/>
      <c r="AM1114" s="440"/>
      <c r="AN1114" s="90"/>
      <c r="AO1114" s="128"/>
      <c r="AP1114" s="106"/>
    </row>
    <row r="1115" spans="1:42" s="69" customFormat="1" ht="15" customHeight="1">
      <c r="A1115" s="1042"/>
      <c r="B1115" s="821"/>
      <c r="C1115" s="525"/>
      <c r="D1115" s="223" t="s">
        <v>813</v>
      </c>
      <c r="E1115" s="320" t="s">
        <v>64</v>
      </c>
      <c r="F1115" s="607" t="s">
        <v>64</v>
      </c>
      <c r="G1115" s="426">
        <f>G1114/3*2</f>
        <v>2133.3333333333335</v>
      </c>
      <c r="H1115" s="320" t="s">
        <v>64</v>
      </c>
      <c r="I1115" s="639" t="s">
        <v>64</v>
      </c>
      <c r="J1115" s="984"/>
      <c r="K1115" s="141"/>
      <c r="L1115" s="7">
        <v>59.52</v>
      </c>
      <c r="M1115" s="320" t="s">
        <v>64</v>
      </c>
      <c r="N1115" s="188"/>
      <c r="O1115" s="188"/>
      <c r="P1115" s="188"/>
      <c r="Q1115" s="188"/>
      <c r="R1115" s="214"/>
      <c r="S1115" s="633">
        <v>59.52</v>
      </c>
      <c r="T1115" s="157">
        <v>359.75316526348894</v>
      </c>
      <c r="U1115" s="607" t="s">
        <v>64</v>
      </c>
      <c r="V1115" s="7"/>
      <c r="W1115" s="7">
        <v>7.8000000000000007</v>
      </c>
      <c r="X1115" s="157">
        <v>47.14507206073948</v>
      </c>
      <c r="Y1115" s="7">
        <v>3.0999999999999996</v>
      </c>
      <c r="Z1115" s="157">
        <v>18.737144024140051</v>
      </c>
      <c r="AA1115" s="7">
        <v>6.7200000000000006</v>
      </c>
      <c r="AB1115" s="157">
        <v>40.617292852329435</v>
      </c>
      <c r="AC1115" s="7">
        <v>7.56</v>
      </c>
      <c r="AD1115" s="176">
        <v>45.694454458870574</v>
      </c>
      <c r="AE1115" s="943"/>
      <c r="AF1115" s="944"/>
      <c r="AG1115" s="211">
        <v>59.52</v>
      </c>
      <c r="AH1115" s="157">
        <v>719.50633052697788</v>
      </c>
      <c r="AI1115" s="176">
        <f t="shared" si="45"/>
        <v>719.50633052697788</v>
      </c>
      <c r="AJ1115" s="1003"/>
      <c r="AK1115" s="979"/>
      <c r="AL1115" s="1334"/>
      <c r="AM1115" s="440"/>
      <c r="AN1115" s="90"/>
      <c r="AO1115" s="128"/>
      <c r="AP1115" s="106"/>
    </row>
    <row r="1116" spans="1:42" s="69" customFormat="1" ht="15" customHeight="1">
      <c r="A1116" s="1042"/>
      <c r="B1116" s="821"/>
      <c r="C1116" s="525"/>
      <c r="D1116" s="223" t="s">
        <v>814</v>
      </c>
      <c r="E1116" s="320" t="s">
        <v>64</v>
      </c>
      <c r="F1116" s="607" t="s">
        <v>64</v>
      </c>
      <c r="G1116" s="426">
        <f>G1114/3*10%</f>
        <v>106.66666666666669</v>
      </c>
      <c r="H1116" s="320" t="s">
        <v>64</v>
      </c>
      <c r="I1116" s="639" t="s">
        <v>64</v>
      </c>
      <c r="J1116" s="984"/>
      <c r="K1116" s="141"/>
      <c r="L1116" s="7">
        <v>33.507999999999996</v>
      </c>
      <c r="M1116" s="320" t="s">
        <v>64</v>
      </c>
      <c r="N1116" s="188"/>
      <c r="O1116" s="188"/>
      <c r="P1116" s="188"/>
      <c r="Q1116" s="188"/>
      <c r="R1116" s="214"/>
      <c r="S1116" s="633">
        <v>33.507999999999996</v>
      </c>
      <c r="T1116" s="157">
        <v>202.53039418093033</v>
      </c>
      <c r="U1116" s="607" t="s">
        <v>64</v>
      </c>
      <c r="V1116" s="7"/>
      <c r="W1116" s="7">
        <v>0</v>
      </c>
      <c r="X1116" s="157">
        <v>0</v>
      </c>
      <c r="Y1116" s="7">
        <v>2.2449999999999997</v>
      </c>
      <c r="Z1116" s="157">
        <v>13.569318817482069</v>
      </c>
      <c r="AA1116" s="7">
        <v>4.2080000000000002</v>
      </c>
      <c r="AB1116" s="157">
        <v>25.434161952768171</v>
      </c>
      <c r="AC1116" s="7">
        <v>4.734</v>
      </c>
      <c r="AD1116" s="176">
        <v>28.613432196864178</v>
      </c>
      <c r="AE1116" s="943"/>
      <c r="AF1116" s="944"/>
      <c r="AG1116" s="211">
        <v>33.507999999999996</v>
      </c>
      <c r="AH1116" s="157">
        <v>405.06078836186066</v>
      </c>
      <c r="AI1116" s="176">
        <f t="shared" si="45"/>
        <v>405.06078836186066</v>
      </c>
      <c r="AJ1116" s="1003"/>
      <c r="AK1116" s="979"/>
      <c r="AL1116" s="1334"/>
      <c r="AM1116" s="440"/>
      <c r="AN1116" s="90"/>
      <c r="AO1116" s="128"/>
      <c r="AP1116" s="106"/>
    </row>
    <row r="1117" spans="1:42" s="69" customFormat="1" ht="15" customHeight="1">
      <c r="A1117" s="1042"/>
      <c r="B1117" s="821"/>
      <c r="C1117" s="525"/>
      <c r="D1117" s="223" t="s">
        <v>815</v>
      </c>
      <c r="E1117" s="320" t="s">
        <v>64</v>
      </c>
      <c r="F1117" s="607" t="s">
        <v>64</v>
      </c>
      <c r="G1117" s="426">
        <f>2*G1116</f>
        <v>213.33333333333337</v>
      </c>
      <c r="H1117" s="320" t="s">
        <v>64</v>
      </c>
      <c r="I1117" s="639" t="s">
        <v>64</v>
      </c>
      <c r="J1117" s="984"/>
      <c r="K1117" s="141"/>
      <c r="L1117" s="7">
        <v>33.856000000000002</v>
      </c>
      <c r="M1117" s="320" t="s">
        <v>64</v>
      </c>
      <c r="N1117" s="188"/>
      <c r="O1117" s="188"/>
      <c r="P1117" s="188"/>
      <c r="Q1117" s="188"/>
      <c r="R1117" s="214"/>
      <c r="S1117" s="633">
        <v>33.856000000000002</v>
      </c>
      <c r="T1117" s="157">
        <v>204.63378970364045</v>
      </c>
      <c r="U1117" s="607" t="s">
        <v>64</v>
      </c>
      <c r="V1117" s="7"/>
      <c r="W1117" s="7">
        <v>0</v>
      </c>
      <c r="X1117" s="157">
        <v>0</v>
      </c>
      <c r="Y1117" s="7">
        <v>2.29</v>
      </c>
      <c r="Z1117" s="157">
        <v>13.841309617832488</v>
      </c>
      <c r="AA1117" s="7">
        <v>4.2560000000000002</v>
      </c>
      <c r="AB1117" s="157">
        <v>25.724285473141943</v>
      </c>
      <c r="AC1117" s="7">
        <v>4.7880000000000003</v>
      </c>
      <c r="AD1117" s="176">
        <v>28.939821157284712</v>
      </c>
      <c r="AE1117" s="943"/>
      <c r="AF1117" s="944"/>
      <c r="AG1117" s="211">
        <v>33.856000000000002</v>
      </c>
      <c r="AH1117" s="157">
        <v>409.26757940728089</v>
      </c>
      <c r="AI1117" s="176">
        <f t="shared" si="45"/>
        <v>409.26757940728089</v>
      </c>
      <c r="AJ1117" s="1003"/>
      <c r="AK1117" s="979"/>
      <c r="AL1117" s="1334"/>
      <c r="AM1117" s="440"/>
      <c r="AN1117" s="90"/>
      <c r="AO1117" s="128"/>
      <c r="AP1117" s="106"/>
    </row>
    <row r="1118" spans="1:42" s="69" customFormat="1" ht="15" customHeight="1">
      <c r="A1118" s="1042"/>
      <c r="B1118" s="821"/>
      <c r="C1118" s="525"/>
      <c r="D1118" s="223" t="s">
        <v>816</v>
      </c>
      <c r="E1118" s="320" t="s">
        <v>64</v>
      </c>
      <c r="F1118" s="607" t="s">
        <v>64</v>
      </c>
      <c r="G1118" s="426">
        <f>3*G1116</f>
        <v>320.00000000000006</v>
      </c>
      <c r="H1118" s="320" t="s">
        <v>64</v>
      </c>
      <c r="I1118" s="639" t="s">
        <v>64</v>
      </c>
      <c r="J1118" s="984"/>
      <c r="K1118" s="141"/>
      <c r="L1118" s="7">
        <v>34.204000000000001</v>
      </c>
      <c r="M1118" s="320" t="s">
        <v>64</v>
      </c>
      <c r="N1118" s="188"/>
      <c r="O1118" s="188"/>
      <c r="P1118" s="188"/>
      <c r="Q1118" s="188"/>
      <c r="R1118" s="214"/>
      <c r="S1118" s="633">
        <v>34.204000000000001</v>
      </c>
      <c r="T1118" s="157">
        <v>206.73718522635042</v>
      </c>
      <c r="U1118" s="607" t="s">
        <v>64</v>
      </c>
      <c r="V1118" s="7"/>
      <c r="W1118" s="7">
        <v>0</v>
      </c>
      <c r="X1118" s="157">
        <v>0</v>
      </c>
      <c r="Y1118" s="7">
        <v>2.335</v>
      </c>
      <c r="Z1118" s="157">
        <v>14.113300418182915</v>
      </c>
      <c r="AA1118" s="7">
        <v>4.3040000000000003</v>
      </c>
      <c r="AB1118" s="157">
        <v>26.014408993515744</v>
      </c>
      <c r="AC1118" s="7">
        <v>4.8419999999999996</v>
      </c>
      <c r="AD1118" s="176">
        <v>29.266210117705185</v>
      </c>
      <c r="AE1118" s="943"/>
      <c r="AF1118" s="944"/>
      <c r="AG1118" s="211">
        <v>34.204000000000001</v>
      </c>
      <c r="AH1118" s="157">
        <v>413.47437045270084</v>
      </c>
      <c r="AI1118" s="176">
        <f t="shared" si="45"/>
        <v>413.47437045270084</v>
      </c>
      <c r="AJ1118" s="1003"/>
      <c r="AK1118" s="979"/>
      <c r="AL1118" s="1334"/>
      <c r="AM1118" s="440"/>
      <c r="AN1118" s="90"/>
      <c r="AO1118" s="128"/>
      <c r="AP1118" s="106"/>
    </row>
    <row r="1119" spans="1:42" s="69" customFormat="1" ht="15" customHeight="1">
      <c r="A1119" s="1042"/>
      <c r="B1119" s="821"/>
      <c r="C1119" s="525"/>
      <c r="D1119" s="223" t="s">
        <v>820</v>
      </c>
      <c r="E1119" s="320" t="s">
        <v>64</v>
      </c>
      <c r="F1119" s="607" t="s">
        <v>64</v>
      </c>
      <c r="G1119" s="426">
        <v>3800</v>
      </c>
      <c r="H1119" s="320" t="s">
        <v>64</v>
      </c>
      <c r="I1119" s="639" t="s">
        <v>64</v>
      </c>
      <c r="J1119" s="984"/>
      <c r="K1119" s="141"/>
      <c r="L1119" s="7">
        <v>120.16</v>
      </c>
      <c r="M1119" s="320" t="s">
        <v>64</v>
      </c>
      <c r="N1119" s="188"/>
      <c r="O1119" s="188"/>
      <c r="P1119" s="188"/>
      <c r="Q1119" s="188"/>
      <c r="R1119" s="214"/>
      <c r="S1119" s="633">
        <v>120.16</v>
      </c>
      <c r="T1119" s="157">
        <v>726.27587933569987</v>
      </c>
      <c r="U1119" s="607" t="s">
        <v>64</v>
      </c>
      <c r="V1119" s="7"/>
      <c r="W1119" s="7">
        <v>0</v>
      </c>
      <c r="X1119" s="157">
        <v>0</v>
      </c>
      <c r="Y1119" s="7">
        <v>13.45</v>
      </c>
      <c r="Z1119" s="157">
        <v>81.295028104736645</v>
      </c>
      <c r="AA1119" s="7">
        <v>16.16</v>
      </c>
      <c r="AB1119" s="157">
        <v>97.674918525839786</v>
      </c>
      <c r="AC1119" s="7">
        <v>18.18</v>
      </c>
      <c r="AD1119" s="176">
        <v>109.88428334156976</v>
      </c>
      <c r="AE1119" s="943"/>
      <c r="AF1119" s="944"/>
      <c r="AG1119" s="211">
        <v>120.16</v>
      </c>
      <c r="AH1119" s="157">
        <v>1452.5517586713997</v>
      </c>
      <c r="AI1119" s="176">
        <f t="shared" si="45"/>
        <v>1452.5517586713997</v>
      </c>
      <c r="AJ1119" s="1003"/>
      <c r="AK1119" s="979"/>
      <c r="AL1119" s="1334"/>
      <c r="AM1119" s="440"/>
      <c r="AN1119" s="90"/>
      <c r="AO1119" s="128"/>
      <c r="AP1119" s="106"/>
    </row>
    <row r="1120" spans="1:42" s="69" customFormat="1" ht="15.75" customHeight="1">
      <c r="A1120" s="1042"/>
      <c r="B1120" s="821"/>
      <c r="C1120" s="525"/>
      <c r="D1120" s="223" t="s">
        <v>821</v>
      </c>
      <c r="E1120" s="320" t="s">
        <v>64</v>
      </c>
      <c r="F1120" s="607" t="s">
        <v>64</v>
      </c>
      <c r="G1120" s="427">
        <v>3333.33</v>
      </c>
      <c r="H1120" s="320" t="s">
        <v>64</v>
      </c>
      <c r="I1120" s="639" t="s">
        <v>64</v>
      </c>
      <c r="J1120" s="984"/>
      <c r="K1120" s="141"/>
      <c r="L1120" s="7">
        <v>126.75991800000001</v>
      </c>
      <c r="M1120" s="320" t="s">
        <v>64</v>
      </c>
      <c r="N1120" s="188"/>
      <c r="O1120" s="188"/>
      <c r="P1120" s="188"/>
      <c r="Q1120" s="188"/>
      <c r="R1120" s="214"/>
      <c r="S1120" s="633">
        <v>126.75991800000001</v>
      </c>
      <c r="T1120" s="157">
        <v>766.16736775941399</v>
      </c>
      <c r="U1120" s="607" t="s">
        <v>64</v>
      </c>
      <c r="V1120" s="7"/>
      <c r="W1120" s="7">
        <v>43.333290000000005</v>
      </c>
      <c r="X1120" s="157">
        <v>261.91680508704121</v>
      </c>
      <c r="Y1120" s="7">
        <v>7.1999950000000004</v>
      </c>
      <c r="Z1120" s="157">
        <v>43.518497834867162</v>
      </c>
      <c r="AA1120" s="7">
        <v>11.093328</v>
      </c>
      <c r="AB1120" s="157">
        <v>67.050736917104985</v>
      </c>
      <c r="AC1120" s="7">
        <v>12.479994000000001</v>
      </c>
      <c r="AD1120" s="176">
        <v>75.432079031743129</v>
      </c>
      <c r="AE1120" s="943"/>
      <c r="AF1120" s="944"/>
      <c r="AG1120" s="211">
        <v>126.75991800000001</v>
      </c>
      <c r="AH1120" s="157">
        <v>1532.334735518828</v>
      </c>
      <c r="AI1120" s="176">
        <f t="shared" si="45"/>
        <v>1532.334735518828</v>
      </c>
      <c r="AJ1120" s="1003"/>
      <c r="AK1120" s="979"/>
      <c r="AL1120" s="1334"/>
      <c r="AM1120" s="440"/>
      <c r="AN1120" s="90"/>
      <c r="AO1120" s="128"/>
      <c r="AP1120" s="106"/>
    </row>
    <row r="1121" spans="1:42" s="69" customFormat="1" ht="15" customHeight="1" thickBot="1">
      <c r="A1121" s="1043"/>
      <c r="B1121" s="745"/>
      <c r="C1121" s="527"/>
      <c r="D1121" s="224" t="s">
        <v>822</v>
      </c>
      <c r="E1121" s="226" t="s">
        <v>64</v>
      </c>
      <c r="F1121" s="229" t="s">
        <v>64</v>
      </c>
      <c r="G1121" s="429">
        <v>2222.2199999999998</v>
      </c>
      <c r="H1121" s="226" t="s">
        <v>64</v>
      </c>
      <c r="I1121" s="641" t="s">
        <v>64</v>
      </c>
      <c r="J1121" s="985"/>
      <c r="K1121" s="141"/>
      <c r="L1121" s="28">
        <v>99.426612000000006</v>
      </c>
      <c r="M1121" s="226" t="s">
        <v>64</v>
      </c>
      <c r="N1121" s="116"/>
      <c r="O1121" s="116"/>
      <c r="P1121" s="116"/>
      <c r="Q1121" s="116"/>
      <c r="R1121" s="175"/>
      <c r="S1121" s="677">
        <v>99.426612000000006</v>
      </c>
      <c r="T1121" s="118">
        <v>600.95830608912627</v>
      </c>
      <c r="U1121" s="229" t="s">
        <v>64</v>
      </c>
      <c r="V1121" s="28"/>
      <c r="W1121" s="28">
        <v>28.888860000000001</v>
      </c>
      <c r="X1121" s="118">
        <v>174.61120339136087</v>
      </c>
      <c r="Y1121" s="28">
        <v>5.5333299999999994</v>
      </c>
      <c r="Z1121" s="118">
        <v>33.444774562288643</v>
      </c>
      <c r="AA1121" s="28">
        <v>9.3155520000000003</v>
      </c>
      <c r="AB1121" s="118">
        <v>56.305432093021238</v>
      </c>
      <c r="AC1121" s="28">
        <v>10.479996</v>
      </c>
      <c r="AD1121" s="180">
        <v>63.343611104648879</v>
      </c>
      <c r="AE1121" s="945"/>
      <c r="AF1121" s="946"/>
      <c r="AG1121" s="199">
        <v>99.426612000000006</v>
      </c>
      <c r="AH1121" s="118">
        <v>1201.9166121782525</v>
      </c>
      <c r="AI1121" s="180">
        <f t="shared" si="45"/>
        <v>1201.9166121782525</v>
      </c>
      <c r="AJ1121" s="1004"/>
      <c r="AK1121" s="980"/>
      <c r="AL1121" s="1334"/>
      <c r="AM1121" s="151"/>
      <c r="AN1121" s="90"/>
      <c r="AO1121" s="128"/>
      <c r="AP1121" s="106"/>
    </row>
    <row r="1122" spans="1:42" s="69" customFormat="1">
      <c r="A1122" s="66"/>
      <c r="B1122" s="66"/>
      <c r="C1122" s="67"/>
      <c r="D1122" s="128"/>
      <c r="E1122" s="128"/>
      <c r="F1122" s="128"/>
      <c r="G1122" s="59"/>
      <c r="H1122" s="59"/>
      <c r="I1122" s="59"/>
      <c r="J1122" s="128"/>
      <c r="K1122" s="128"/>
      <c r="L1122" s="61"/>
      <c r="M1122" s="60"/>
      <c r="N1122" s="61"/>
      <c r="O1122" s="61"/>
      <c r="P1122" s="61"/>
      <c r="Q1122" s="61"/>
      <c r="R1122" s="160"/>
      <c r="S1122" s="61"/>
      <c r="T1122" s="160"/>
      <c r="U1122" s="61"/>
      <c r="V1122" s="61"/>
      <c r="W1122" s="61"/>
      <c r="X1122" s="151"/>
      <c r="Y1122" s="60"/>
      <c r="Z1122" s="151"/>
      <c r="AA1122" s="60"/>
      <c r="AB1122" s="60"/>
      <c r="AC1122" s="60"/>
      <c r="AD1122" s="60"/>
      <c r="AE1122" s="60"/>
      <c r="AF1122" s="60"/>
      <c r="AG1122" s="60"/>
      <c r="AH1122" s="151"/>
      <c r="AI1122" s="151"/>
      <c r="AJ1122" s="60"/>
      <c r="AM1122" s="850"/>
      <c r="AN1122" s="128"/>
      <c r="AO1122" s="106"/>
    </row>
    <row r="1123" spans="1:42" s="144" customFormat="1">
      <c r="A1123" s="139"/>
      <c r="B1123" s="139"/>
      <c r="C1123" s="140"/>
      <c r="D1123" s="141"/>
      <c r="E1123" s="141"/>
      <c r="F1123" s="141"/>
      <c r="G1123" s="142"/>
      <c r="H1123" s="142"/>
      <c r="I1123" s="142"/>
      <c r="J1123" s="141"/>
      <c r="K1123" s="141"/>
      <c r="L1123" s="143"/>
      <c r="M1123" s="137"/>
      <c r="N1123" s="143"/>
      <c r="O1123" s="143"/>
      <c r="P1123" s="143"/>
      <c r="Q1123" s="143"/>
      <c r="R1123" s="169"/>
      <c r="S1123" s="143"/>
      <c r="T1123" s="169"/>
      <c r="U1123" s="143"/>
      <c r="V1123" s="143"/>
      <c r="W1123" s="143"/>
      <c r="X1123" s="155"/>
      <c r="Y1123" s="137"/>
      <c r="Z1123" s="155"/>
      <c r="AA1123" s="137"/>
      <c r="AB1123" s="137"/>
      <c r="AC1123" s="137"/>
      <c r="AD1123" s="137"/>
      <c r="AE1123" s="137"/>
      <c r="AF1123" s="137"/>
      <c r="AG1123" s="137"/>
      <c r="AH1123" s="155"/>
      <c r="AI1123" s="155"/>
      <c r="AJ1123" s="137"/>
      <c r="AM1123" s="851"/>
      <c r="AN1123" s="141"/>
      <c r="AO1123" s="145"/>
    </row>
    <row r="1124" spans="1:42" s="69" customFormat="1" ht="13.5" thickBot="1">
      <c r="A1124" s="66"/>
      <c r="B1124" s="66"/>
      <c r="C1124" s="67"/>
      <c r="D1124" s="128"/>
      <c r="E1124" s="128"/>
      <c r="F1124" s="128"/>
      <c r="G1124" s="59"/>
      <c r="H1124" s="62"/>
      <c r="I1124" s="59"/>
      <c r="J1124" s="128"/>
      <c r="K1124" s="128"/>
      <c r="L1124" s="61"/>
      <c r="M1124" s="60"/>
      <c r="N1124" s="61"/>
      <c r="O1124" s="61"/>
      <c r="P1124" s="61"/>
      <c r="Q1124" s="61"/>
      <c r="R1124" s="160"/>
      <c r="S1124" s="61"/>
      <c r="T1124" s="160"/>
      <c r="U1124" s="61"/>
      <c r="V1124" s="61"/>
      <c r="W1124" s="61"/>
      <c r="X1124" s="151"/>
      <c r="Y1124" s="60"/>
      <c r="Z1124" s="151"/>
      <c r="AA1124" s="60"/>
      <c r="AB1124" s="60"/>
      <c r="AC1124" s="60"/>
      <c r="AD1124" s="60"/>
      <c r="AE1124" s="60"/>
      <c r="AF1124" s="60"/>
      <c r="AG1124" s="60"/>
      <c r="AH1124" s="151"/>
      <c r="AI1124" s="151"/>
      <c r="AJ1124" s="60"/>
      <c r="AM1124" s="850"/>
      <c r="AN1124" s="128"/>
      <c r="AO1124" s="106"/>
    </row>
    <row r="1125" spans="1:42" s="69" customFormat="1" ht="12.75" customHeight="1">
      <c r="A1125" s="1262" t="s">
        <v>321</v>
      </c>
      <c r="B1125" s="919">
        <v>5637</v>
      </c>
      <c r="C1125" s="48">
        <v>30028</v>
      </c>
      <c r="D1125" s="57"/>
      <c r="E1125" s="450" t="s">
        <v>66</v>
      </c>
      <c r="F1125" s="450"/>
      <c r="G1125" s="451"/>
      <c r="H1125" s="320" t="s">
        <v>221</v>
      </c>
      <c r="I1125" s="58"/>
      <c r="J1125" s="1139" t="s">
        <v>65</v>
      </c>
      <c r="K1125" s="1127" t="s">
        <v>494</v>
      </c>
      <c r="L1125" s="51"/>
      <c r="M1125" s="517"/>
      <c r="N1125" s="51"/>
      <c r="O1125" s="51"/>
      <c r="P1125" s="51"/>
      <c r="Q1125" s="51"/>
      <c r="R1125" s="170"/>
      <c r="S1125" s="51"/>
      <c r="T1125" s="170"/>
      <c r="U1125" s="51" t="s">
        <v>50</v>
      </c>
      <c r="V1125" s="51"/>
      <c r="W1125" s="51"/>
      <c r="X1125" s="158"/>
      <c r="Y1125" s="53"/>
      <c r="Z1125" s="158"/>
      <c r="AA1125" s="53"/>
      <c r="AB1125" s="53"/>
      <c r="AC1125" s="53"/>
      <c r="AD1125" s="53"/>
      <c r="AE1125" s="1142" t="s">
        <v>19</v>
      </c>
      <c r="AF1125" s="1143"/>
      <c r="AG1125" s="53"/>
      <c r="AH1125" s="158"/>
      <c r="AI1125" s="212"/>
      <c r="AJ1125" s="975">
        <v>45918</v>
      </c>
      <c r="AK1125" s="994">
        <f>SUM(AI1126:AI1151)</f>
        <v>2516963.0661429456</v>
      </c>
      <c r="AM1125" s="440"/>
      <c r="AN1125" s="90"/>
      <c r="AO1125" s="128"/>
    </row>
    <row r="1126" spans="1:42" s="69" customFormat="1" ht="15" customHeight="1">
      <c r="A1126" s="1263"/>
      <c r="B1126" s="921"/>
      <c r="C1126" s="95"/>
      <c r="D1126" s="223" t="s">
        <v>336</v>
      </c>
      <c r="E1126" s="320" t="s">
        <v>64</v>
      </c>
      <c r="F1126" s="513" t="s">
        <v>151</v>
      </c>
      <c r="G1126" s="39">
        <v>5881.1298606016144</v>
      </c>
      <c r="H1126" s="320" t="s">
        <v>64</v>
      </c>
      <c r="I1126" s="204"/>
      <c r="J1126" s="1140"/>
      <c r="K1126" s="1128"/>
      <c r="L1126" s="7">
        <v>145.36136463683053</v>
      </c>
      <c r="M1126" s="37">
        <v>1.28</v>
      </c>
      <c r="N1126" s="115"/>
      <c r="O1126" s="115"/>
      <c r="P1126" s="115"/>
      <c r="Q1126" s="115"/>
      <c r="R1126" s="174"/>
      <c r="S1126" s="120">
        <v>144.08183418928834</v>
      </c>
      <c r="T1126" s="117">
        <v>263939.87773463927</v>
      </c>
      <c r="U1126" s="217" t="s">
        <v>50</v>
      </c>
      <c r="V1126" s="120">
        <v>76.454688187820992</v>
      </c>
      <c r="W1126" s="120">
        <v>76.454688187820992</v>
      </c>
      <c r="X1126" s="117">
        <v>140055.41480005457</v>
      </c>
      <c r="Y1126" s="120">
        <v>9.3117901687454143</v>
      </c>
      <c r="Z1126" s="117">
        <v>17058.033529753626</v>
      </c>
      <c r="AA1126" s="115"/>
      <c r="AB1126" s="174"/>
      <c r="AC1126" s="120">
        <v>20.332164343360237</v>
      </c>
      <c r="AD1126" s="117">
        <v>37245.979002577595</v>
      </c>
      <c r="AE1126" s="1144"/>
      <c r="AF1126" s="1145"/>
      <c r="AG1126" s="120">
        <v>144.08183418928834</v>
      </c>
      <c r="AH1126" s="117">
        <v>527879.75546927855</v>
      </c>
      <c r="AI1126" s="177">
        <f>AH1126</f>
        <v>527879.75546927855</v>
      </c>
      <c r="AJ1126" s="1003"/>
      <c r="AK1126" s="995"/>
      <c r="AM1126" s="440"/>
      <c r="AN1126" s="128"/>
      <c r="AO1126" s="128"/>
    </row>
    <row r="1127" spans="1:42" s="69" customFormat="1" ht="15" customHeight="1">
      <c r="A1127" s="1263"/>
      <c r="B1127" s="921"/>
      <c r="C1127" s="96"/>
      <c r="D1127" s="223" t="s">
        <v>337</v>
      </c>
      <c r="E1127" s="320" t="s">
        <v>64</v>
      </c>
      <c r="F1127" s="515" t="s">
        <v>151</v>
      </c>
      <c r="G1127" s="39">
        <v>1630.3888481291269</v>
      </c>
      <c r="H1127" s="320" t="s">
        <v>64</v>
      </c>
      <c r="I1127" s="205"/>
      <c r="J1127" s="1140"/>
      <c r="K1127" s="1128"/>
      <c r="L1127" s="7">
        <v>41.575245781364643</v>
      </c>
      <c r="M1127" s="225" t="s">
        <v>64</v>
      </c>
      <c r="N1127" s="115"/>
      <c r="O1127" s="115"/>
      <c r="P1127" s="115"/>
      <c r="Q1127" s="115"/>
      <c r="R1127" s="174"/>
      <c r="S1127" s="120">
        <v>41.575245781364643</v>
      </c>
      <c r="T1127" s="117">
        <v>76160.644053882992</v>
      </c>
      <c r="U1127" s="217" t="s">
        <v>50</v>
      </c>
      <c r="V1127" s="120">
        <v>21.195055025678652</v>
      </c>
      <c r="W1127" s="120">
        <v>21.195055025678652</v>
      </c>
      <c r="X1127" s="117">
        <v>38826.6866779829</v>
      </c>
      <c r="Y1127" s="120">
        <v>3.3846881878209829</v>
      </c>
      <c r="Z1127" s="117">
        <v>6200.3249159758789</v>
      </c>
      <c r="AA1127" s="115"/>
      <c r="AB1127" s="174"/>
      <c r="AC1127" s="120">
        <v>5.9476595744680854</v>
      </c>
      <c r="AD1127" s="117">
        <v>10895.367550846115</v>
      </c>
      <c r="AE1127" s="1144"/>
      <c r="AF1127" s="1145"/>
      <c r="AG1127" s="120">
        <v>41.575245781364643</v>
      </c>
      <c r="AH1127" s="117">
        <v>152321.28810776598</v>
      </c>
      <c r="AI1127" s="177">
        <f t="shared" ref="AI1127:AI1151" si="46">AH1127</f>
        <v>152321.28810776598</v>
      </c>
      <c r="AJ1127" s="1003"/>
      <c r="AK1127" s="995"/>
      <c r="AM1127" s="440"/>
      <c r="AN1127" s="90"/>
      <c r="AO1127" s="128"/>
    </row>
    <row r="1128" spans="1:42" s="69" customFormat="1" ht="15" customHeight="1">
      <c r="A1128" s="1263"/>
      <c r="B1128" s="921"/>
      <c r="C1128" s="36"/>
      <c r="D1128" s="518" t="s">
        <v>863</v>
      </c>
      <c r="E1128" s="320" t="s">
        <v>64</v>
      </c>
      <c r="F1128" s="515" t="s">
        <v>151</v>
      </c>
      <c r="G1128" s="39">
        <v>30.814380044020542</v>
      </c>
      <c r="H1128" s="320" t="s">
        <v>64</v>
      </c>
      <c r="I1128" s="204"/>
      <c r="J1128" s="1140"/>
      <c r="K1128" s="1128"/>
      <c r="L1128" s="7">
        <v>5.6507703595011005</v>
      </c>
      <c r="M1128" s="225" t="s">
        <v>64</v>
      </c>
      <c r="N1128" s="115"/>
      <c r="O1128" s="115"/>
      <c r="P1128" s="115"/>
      <c r="Q1128" s="115"/>
      <c r="R1128" s="174"/>
      <c r="S1128" s="120">
        <v>5.6507703595011005</v>
      </c>
      <c r="T1128" s="117">
        <v>10351.503686674536</v>
      </c>
      <c r="U1128" s="217" t="s">
        <v>50</v>
      </c>
      <c r="V1128" s="120">
        <v>0.40058694057226707</v>
      </c>
      <c r="W1128" s="120">
        <v>0.40058694057226707</v>
      </c>
      <c r="X1128" s="117">
        <v>733.82511203898684</v>
      </c>
      <c r="Y1128" s="120">
        <v>1.1151870873074101</v>
      </c>
      <c r="Z1128" s="117">
        <v>2042.8830957861933</v>
      </c>
      <c r="AA1128" s="115"/>
      <c r="AB1128" s="174"/>
      <c r="AC1128" s="120">
        <v>1.4086573734409391</v>
      </c>
      <c r="AD1128" s="117">
        <v>2580.4839104667662</v>
      </c>
      <c r="AE1128" s="1144"/>
      <c r="AF1128" s="1145"/>
      <c r="AG1128" s="120">
        <v>5.6507703595011005</v>
      </c>
      <c r="AH1128" s="117">
        <v>20703.007373349072</v>
      </c>
      <c r="AI1128" s="177">
        <f t="shared" si="46"/>
        <v>20703.007373349072</v>
      </c>
      <c r="AJ1128" s="1003"/>
      <c r="AK1128" s="995"/>
      <c r="AM1128" s="440">
        <v>2516963</v>
      </c>
      <c r="AN1128" s="69" t="s">
        <v>68</v>
      </c>
      <c r="AO1128" s="128"/>
    </row>
    <row r="1129" spans="1:42" s="69" customFormat="1" ht="15" customHeight="1">
      <c r="A1129" s="1263"/>
      <c r="B1129" s="921"/>
      <c r="C1129" s="100"/>
      <c r="D1129" s="518" t="s">
        <v>864</v>
      </c>
      <c r="E1129" s="320" t="s">
        <v>64</v>
      </c>
      <c r="F1129" s="515" t="s">
        <v>151</v>
      </c>
      <c r="G1129" s="123">
        <v>30.814380044020542</v>
      </c>
      <c r="H1129" s="320" t="s">
        <v>64</v>
      </c>
      <c r="I1129" s="206"/>
      <c r="J1129" s="1140"/>
      <c r="K1129" s="1128"/>
      <c r="L1129" s="7">
        <v>5.6507703595011005</v>
      </c>
      <c r="M1129" s="225" t="s">
        <v>64</v>
      </c>
      <c r="N1129" s="197"/>
      <c r="O1129" s="197"/>
      <c r="P1129" s="197"/>
      <c r="Q1129" s="197"/>
      <c r="R1129" s="213"/>
      <c r="S1129" s="24">
        <v>5.6507703595011005</v>
      </c>
      <c r="T1129" s="159">
        <v>10351.503686674536</v>
      </c>
      <c r="U1129" s="217" t="s">
        <v>50</v>
      </c>
      <c r="V1129" s="24">
        <v>0.40058694057226707</v>
      </c>
      <c r="W1129" s="24">
        <v>0.40058694057226707</v>
      </c>
      <c r="X1129" s="159">
        <v>733.82511203898684</v>
      </c>
      <c r="Y1129" s="24">
        <v>1.1151870873074101</v>
      </c>
      <c r="Z1129" s="159">
        <v>2042.8830957861933</v>
      </c>
      <c r="AA1129" s="197"/>
      <c r="AB1129" s="213"/>
      <c r="AC1129" s="24">
        <v>1.4086573734409391</v>
      </c>
      <c r="AD1129" s="159">
        <v>2580.4839104667662</v>
      </c>
      <c r="AE1129" s="1144"/>
      <c r="AF1129" s="1145"/>
      <c r="AG1129" s="24">
        <v>5.6507703595011005</v>
      </c>
      <c r="AH1129" s="159">
        <v>20703.007373349072</v>
      </c>
      <c r="AI1129" s="177">
        <f t="shared" si="46"/>
        <v>20703.007373349072</v>
      </c>
      <c r="AJ1129" s="1003"/>
      <c r="AK1129" s="995"/>
      <c r="AM1129" s="440"/>
      <c r="AN1129" s="90"/>
      <c r="AO1129" s="128"/>
    </row>
    <row r="1130" spans="1:42" s="69" customFormat="1" ht="15" customHeight="1">
      <c r="A1130" s="1263"/>
      <c r="B1130" s="921"/>
      <c r="C1130" s="5"/>
      <c r="D1130" s="518" t="s">
        <v>865</v>
      </c>
      <c r="E1130" s="320" t="s">
        <v>64</v>
      </c>
      <c r="F1130" s="515" t="s">
        <v>151</v>
      </c>
      <c r="G1130" s="19">
        <v>1760.8217168011738</v>
      </c>
      <c r="H1130" s="320" t="s">
        <v>64</v>
      </c>
      <c r="I1130" s="207"/>
      <c r="J1130" s="1140"/>
      <c r="K1130" s="1128"/>
      <c r="L1130" s="7">
        <v>44.57520176082172</v>
      </c>
      <c r="M1130" s="225" t="s">
        <v>64</v>
      </c>
      <c r="N1130" s="188"/>
      <c r="O1130" s="188"/>
      <c r="P1130" s="188"/>
      <c r="Q1130" s="188"/>
      <c r="R1130" s="214"/>
      <c r="S1130" s="7">
        <v>44.57520176082172</v>
      </c>
      <c r="T1130" s="157">
        <v>81656.18774183291</v>
      </c>
      <c r="U1130" s="217" t="s">
        <v>50</v>
      </c>
      <c r="V1130" s="7">
        <v>22.890682318415262</v>
      </c>
      <c r="W1130" s="7">
        <v>22.890682318415262</v>
      </c>
      <c r="X1130" s="157">
        <v>41932.863545085027</v>
      </c>
      <c r="Y1130" s="7">
        <v>3.5803374908290535</v>
      </c>
      <c r="Z1130" s="157">
        <v>6558.7299391030447</v>
      </c>
      <c r="AA1130" s="188"/>
      <c r="AB1130" s="214"/>
      <c r="AC1130" s="7">
        <v>6.3389581804842257</v>
      </c>
      <c r="AD1130" s="157">
        <v>11612.177597100464</v>
      </c>
      <c r="AE1130" s="1144"/>
      <c r="AF1130" s="1145"/>
      <c r="AG1130" s="7">
        <v>44.57520176082172</v>
      </c>
      <c r="AH1130" s="157">
        <v>163312.37548366582</v>
      </c>
      <c r="AI1130" s="177">
        <f t="shared" si="46"/>
        <v>163312.37548366582</v>
      </c>
      <c r="AJ1130" s="1003"/>
      <c r="AK1130" s="995"/>
      <c r="AM1130" s="440"/>
      <c r="AN1130" s="90"/>
      <c r="AO1130" s="128"/>
    </row>
    <row r="1131" spans="1:42" s="69" customFormat="1" ht="15" customHeight="1">
      <c r="A1131" s="1263"/>
      <c r="B1131" s="921"/>
      <c r="C1131" s="511"/>
      <c r="D1131" s="518" t="s">
        <v>866</v>
      </c>
      <c r="E1131" s="320" t="s">
        <v>64</v>
      </c>
      <c r="F1131" s="515" t="s">
        <v>151</v>
      </c>
      <c r="G1131" s="514">
        <v>176.0821716801174</v>
      </c>
      <c r="H1131" s="320" t="s">
        <v>64</v>
      </c>
      <c r="I1131" s="512"/>
      <c r="J1131" s="1140"/>
      <c r="K1131" s="1128"/>
      <c r="L1131" s="7">
        <v>8.1261922230374175</v>
      </c>
      <c r="M1131" s="225" t="s">
        <v>64</v>
      </c>
      <c r="N1131" s="188"/>
      <c r="O1131" s="188"/>
      <c r="P1131" s="188"/>
      <c r="Q1131" s="188"/>
      <c r="R1131" s="214"/>
      <c r="S1131" s="7">
        <v>8.1261922230374175</v>
      </c>
      <c r="T1131" s="157">
        <v>14886.1665585052</v>
      </c>
      <c r="U1131" s="217" t="s">
        <v>50</v>
      </c>
      <c r="V1131" s="7">
        <v>2.2890682318415263</v>
      </c>
      <c r="W1131" s="7">
        <v>2.2890682318415263</v>
      </c>
      <c r="X1131" s="157">
        <v>4193.2863545085002</v>
      </c>
      <c r="Y1131" s="7">
        <v>1.2032281731474688</v>
      </c>
      <c r="Z1131" s="159">
        <v>2204.1633401903678</v>
      </c>
      <c r="AA1131" s="188"/>
      <c r="AB1131" s="214"/>
      <c r="AC1131" s="24">
        <v>1.5847395451210564</v>
      </c>
      <c r="AD1131" s="159">
        <v>2903.0443992751161</v>
      </c>
      <c r="AE1131" s="1144"/>
      <c r="AF1131" s="1145"/>
      <c r="AG1131" s="24">
        <v>8.1261922230374175</v>
      </c>
      <c r="AH1131" s="187">
        <v>29772.333117010399</v>
      </c>
      <c r="AI1131" s="177">
        <f t="shared" si="46"/>
        <v>29772.333117010399</v>
      </c>
      <c r="AJ1131" s="1003"/>
      <c r="AK1131" s="995"/>
      <c r="AM1131" s="440"/>
      <c r="AN1131" s="90"/>
      <c r="AO1131" s="128"/>
    </row>
    <row r="1132" spans="1:42" s="69" customFormat="1" ht="15" customHeight="1">
      <c r="A1132" s="1263"/>
      <c r="B1132" s="921"/>
      <c r="C1132" s="511"/>
      <c r="D1132" s="518" t="s">
        <v>867</v>
      </c>
      <c r="E1132" s="320" t="s">
        <v>64</v>
      </c>
      <c r="F1132" s="515" t="s">
        <v>151</v>
      </c>
      <c r="G1132" s="514">
        <v>176.0821716801174</v>
      </c>
      <c r="H1132" s="320" t="s">
        <v>64</v>
      </c>
      <c r="I1132" s="512"/>
      <c r="J1132" s="1140"/>
      <c r="K1132" s="1128"/>
      <c r="L1132" s="7">
        <v>8.1261922230374175</v>
      </c>
      <c r="M1132" s="225" t="s">
        <v>64</v>
      </c>
      <c r="N1132" s="188"/>
      <c r="O1132" s="188"/>
      <c r="P1132" s="188"/>
      <c r="Q1132" s="188"/>
      <c r="R1132" s="214"/>
      <c r="S1132" s="7">
        <v>8.1261922230374175</v>
      </c>
      <c r="T1132" s="157">
        <v>14886.1665585052</v>
      </c>
      <c r="U1132" s="217" t="s">
        <v>50</v>
      </c>
      <c r="V1132" s="7">
        <v>2.2890682318415263</v>
      </c>
      <c r="W1132" s="7">
        <v>2.2890682318415263</v>
      </c>
      <c r="X1132" s="157">
        <v>4193.2863545085002</v>
      </c>
      <c r="Y1132" s="7">
        <v>1.2032281731474688</v>
      </c>
      <c r="Z1132" s="157">
        <v>2204.1633401903678</v>
      </c>
      <c r="AA1132" s="188"/>
      <c r="AB1132" s="214"/>
      <c r="AC1132" s="7">
        <v>1.5847395451210564</v>
      </c>
      <c r="AD1132" s="157">
        <v>2903.0443992751161</v>
      </c>
      <c r="AE1132" s="1144"/>
      <c r="AF1132" s="1145"/>
      <c r="AG1132" s="7">
        <v>8.1261922230374175</v>
      </c>
      <c r="AH1132" s="157">
        <v>29772.333117010399</v>
      </c>
      <c r="AI1132" s="177">
        <f t="shared" si="46"/>
        <v>29772.333117010399</v>
      </c>
      <c r="AJ1132" s="1003"/>
      <c r="AK1132" s="995"/>
      <c r="AM1132" s="440"/>
      <c r="AN1132" s="90"/>
      <c r="AO1132" s="128"/>
    </row>
    <row r="1133" spans="1:42" s="69" customFormat="1" ht="15" customHeight="1">
      <c r="A1133" s="1263"/>
      <c r="B1133" s="921"/>
      <c r="C1133" s="511"/>
      <c r="D1133" s="518" t="s">
        <v>868</v>
      </c>
      <c r="E1133" s="320" t="s">
        <v>64</v>
      </c>
      <c r="F1133" s="515" t="s">
        <v>151</v>
      </c>
      <c r="G1133" s="514">
        <v>6521.5612619222302</v>
      </c>
      <c r="H1133" s="320" t="s">
        <v>64</v>
      </c>
      <c r="I1133" s="512"/>
      <c r="J1133" s="1140"/>
      <c r="K1133" s="1128"/>
      <c r="L1133" s="7">
        <v>154.07221129860602</v>
      </c>
      <c r="M1133" s="225" t="s">
        <v>64</v>
      </c>
      <c r="N1133" s="188"/>
      <c r="O1133" s="188"/>
      <c r="P1133" s="188"/>
      <c r="Q1133" s="188"/>
      <c r="R1133" s="214"/>
      <c r="S1133" s="7">
        <v>154.07221129860602</v>
      </c>
      <c r="T1133" s="157">
        <v>282240.9975641669</v>
      </c>
      <c r="U1133" s="217" t="s">
        <v>50</v>
      </c>
      <c r="V1133" s="7">
        <v>84.780296404989002</v>
      </c>
      <c r="W1133" s="7">
        <v>84.780296404989002</v>
      </c>
      <c r="X1133" s="157">
        <v>155306.88648814338</v>
      </c>
      <c r="Y1133" s="7">
        <v>10.72144680851064</v>
      </c>
      <c r="Z1133" s="157">
        <v>19640.347970994386</v>
      </c>
      <c r="AA1133" s="188"/>
      <c r="AB1133" s="214"/>
      <c r="AC1133" s="7">
        <v>20.621176815847395</v>
      </c>
      <c r="AD1133" s="157">
        <v>37775.413660883118</v>
      </c>
      <c r="AE1133" s="1144"/>
      <c r="AF1133" s="1145"/>
      <c r="AG1133" s="7">
        <v>154.07221129860602</v>
      </c>
      <c r="AH1133" s="157">
        <v>564481.9951283338</v>
      </c>
      <c r="AI1133" s="177">
        <f t="shared" si="46"/>
        <v>564481.9951283338</v>
      </c>
      <c r="AJ1133" s="1003"/>
      <c r="AK1133" s="995"/>
      <c r="AM1133" s="440"/>
      <c r="AN1133" s="90"/>
      <c r="AO1133" s="128"/>
    </row>
    <row r="1134" spans="1:42" s="69" customFormat="1" ht="15" customHeight="1">
      <c r="A1134" s="1263"/>
      <c r="B1134" s="921"/>
      <c r="C1134" s="511"/>
      <c r="D1134" s="518" t="s">
        <v>869</v>
      </c>
      <c r="E1134" s="320" t="s">
        <v>64</v>
      </c>
      <c r="F1134" s="515" t="s">
        <v>151</v>
      </c>
      <c r="G1134" s="514">
        <v>652.15612619222304</v>
      </c>
      <c r="H1134" s="320" t="s">
        <v>64</v>
      </c>
      <c r="I1134" s="512"/>
      <c r="J1134" s="1140"/>
      <c r="K1134" s="1128"/>
      <c r="L1134" s="7">
        <v>19.07589317681585</v>
      </c>
      <c r="M1134" s="225" t="s">
        <v>64</v>
      </c>
      <c r="N1134" s="188"/>
      <c r="O1134" s="188"/>
      <c r="P1134" s="188"/>
      <c r="Q1134" s="188"/>
      <c r="R1134" s="214"/>
      <c r="S1134" s="7">
        <v>19.07589317681585</v>
      </c>
      <c r="T1134" s="157">
        <v>34944.647540738544</v>
      </c>
      <c r="U1134" s="217" t="s">
        <v>50</v>
      </c>
      <c r="V1134" s="7">
        <v>8.4780296404988995</v>
      </c>
      <c r="W1134" s="7">
        <v>8.4780296404988995</v>
      </c>
      <c r="X1134" s="157">
        <v>15530.68864881433</v>
      </c>
      <c r="Y1134" s="7">
        <v>1.9173391049156274</v>
      </c>
      <c r="Z1134" s="157">
        <v>3512.3251433795017</v>
      </c>
      <c r="AA1134" s="188"/>
      <c r="AB1134" s="214"/>
      <c r="AC1134" s="7">
        <v>3.0129614086573739</v>
      </c>
      <c r="AD1134" s="157">
        <v>5519.3680056533876</v>
      </c>
      <c r="AE1134" s="1144"/>
      <c r="AF1134" s="1145"/>
      <c r="AG1134" s="7">
        <v>19.07589317681585</v>
      </c>
      <c r="AH1134" s="157">
        <v>69889.295081477088</v>
      </c>
      <c r="AI1134" s="177">
        <f t="shared" si="46"/>
        <v>69889.295081477088</v>
      </c>
      <c r="AJ1134" s="1003"/>
      <c r="AK1134" s="995"/>
      <c r="AM1134" s="440"/>
      <c r="AN1134" s="90"/>
      <c r="AO1134" s="128"/>
    </row>
    <row r="1135" spans="1:42" s="69" customFormat="1" ht="15" customHeight="1">
      <c r="A1135" s="1263"/>
      <c r="B1135" s="921"/>
      <c r="C1135" s="511"/>
      <c r="D1135" s="518" t="s">
        <v>870</v>
      </c>
      <c r="E1135" s="320" t="s">
        <v>64</v>
      </c>
      <c r="F1135" s="515" t="s">
        <v>151</v>
      </c>
      <c r="G1135" s="514">
        <v>652.15553925165079</v>
      </c>
      <c r="H1135" s="320" t="s">
        <v>64</v>
      </c>
      <c r="I1135" s="512"/>
      <c r="J1135" s="1140"/>
      <c r="K1135" s="1128"/>
      <c r="L1135" s="7">
        <v>19.075879677182687</v>
      </c>
      <c r="M1135" s="225" t="s">
        <v>64</v>
      </c>
      <c r="N1135" s="188"/>
      <c r="O1135" s="188"/>
      <c r="P1135" s="188"/>
      <c r="Q1135" s="188"/>
      <c r="R1135" s="214"/>
      <c r="S1135" s="7">
        <v>19.075879677182687</v>
      </c>
      <c r="T1135" s="157">
        <v>34944.622811101101</v>
      </c>
      <c r="U1135" s="217" t="s">
        <v>50</v>
      </c>
      <c r="V1135" s="7">
        <v>8.4780220102714612</v>
      </c>
      <c r="W1135" s="7">
        <v>8.4780220102714612</v>
      </c>
      <c r="X1135" s="157">
        <v>15530.674671193126</v>
      </c>
      <c r="Y1135" s="7">
        <v>1.9173382245047692</v>
      </c>
      <c r="Z1135" s="157">
        <v>3512.3235305770518</v>
      </c>
      <c r="AA1135" s="188"/>
      <c r="AB1135" s="214"/>
      <c r="AC1135" s="7">
        <v>3.0129596478356566</v>
      </c>
      <c r="AD1135" s="157">
        <v>5519.364780048496</v>
      </c>
      <c r="AE1135" s="1144"/>
      <c r="AF1135" s="1145"/>
      <c r="AG1135" s="7">
        <v>19.075879677182687</v>
      </c>
      <c r="AH1135" s="157">
        <v>69889.245622202201</v>
      </c>
      <c r="AI1135" s="177">
        <f t="shared" si="46"/>
        <v>69889.245622202201</v>
      </c>
      <c r="AJ1135" s="1003"/>
      <c r="AK1135" s="995"/>
      <c r="AM1135" s="440"/>
      <c r="AN1135" s="90"/>
      <c r="AO1135" s="128"/>
    </row>
    <row r="1136" spans="1:42" s="69" customFormat="1" ht="15" customHeight="1">
      <c r="A1136" s="1263"/>
      <c r="B1136" s="921"/>
      <c r="C1136" s="511"/>
      <c r="D1136" s="518" t="s">
        <v>793</v>
      </c>
      <c r="E1136" s="320" t="s">
        <v>64</v>
      </c>
      <c r="F1136" s="515" t="s">
        <v>151</v>
      </c>
      <c r="G1136" s="514">
        <v>326.0777696258254</v>
      </c>
      <c r="H1136" s="320" t="s">
        <v>64</v>
      </c>
      <c r="I1136" s="512"/>
      <c r="J1136" s="1140"/>
      <c r="K1136" s="1128"/>
      <c r="L1136" s="7">
        <v>11.576090975788704</v>
      </c>
      <c r="M1136" s="225" t="s">
        <v>64</v>
      </c>
      <c r="N1136" s="188"/>
      <c r="O1136" s="188"/>
      <c r="P1136" s="188"/>
      <c r="Q1136" s="188"/>
      <c r="R1136" s="214"/>
      <c r="S1136" s="7">
        <v>11.576090975788704</v>
      </c>
      <c r="T1136" s="157">
        <v>21205.949063507163</v>
      </c>
      <c r="U1136" s="217" t="s">
        <v>50</v>
      </c>
      <c r="V1136" s="7">
        <v>4.2390110051357306</v>
      </c>
      <c r="W1136" s="7">
        <v>4.2390110051357306</v>
      </c>
      <c r="X1136" s="157">
        <v>7765.3373355965632</v>
      </c>
      <c r="Y1136" s="7">
        <v>1.428221570066031</v>
      </c>
      <c r="Z1136" s="157">
        <v>2616.323068777453</v>
      </c>
      <c r="AA1136" s="188"/>
      <c r="AB1136" s="214"/>
      <c r="AC1136" s="7">
        <v>2.0347263389581802</v>
      </c>
      <c r="AD1136" s="157">
        <v>3727.3638564492821</v>
      </c>
      <c r="AE1136" s="1144"/>
      <c r="AF1136" s="1145"/>
      <c r="AG1136" s="7">
        <v>11.576090975788704</v>
      </c>
      <c r="AH1136" s="157">
        <v>42411.898127014327</v>
      </c>
      <c r="AI1136" s="177">
        <f t="shared" si="46"/>
        <v>42411.898127014327</v>
      </c>
      <c r="AJ1136" s="1003"/>
      <c r="AK1136" s="995"/>
      <c r="AM1136" s="440"/>
      <c r="AN1136" s="90"/>
      <c r="AO1136" s="128"/>
    </row>
    <row r="1137" spans="1:41" s="69" customFormat="1" ht="15" customHeight="1">
      <c r="A1137" s="1263"/>
      <c r="B1137" s="921"/>
      <c r="C1137" s="511"/>
      <c r="D1137" s="518" t="s">
        <v>794</v>
      </c>
      <c r="E1137" s="320" t="s">
        <v>64</v>
      </c>
      <c r="F1137" s="515" t="s">
        <v>151</v>
      </c>
      <c r="G1137" s="514">
        <v>3260.7806309611151</v>
      </c>
      <c r="H1137" s="320" t="s">
        <v>64</v>
      </c>
      <c r="I1137" s="512"/>
      <c r="J1137" s="1140"/>
      <c r="K1137" s="1128"/>
      <c r="L1137" s="7">
        <v>79.074256786500371</v>
      </c>
      <c r="M1137" s="225" t="s">
        <v>64</v>
      </c>
      <c r="N1137" s="188"/>
      <c r="O1137" s="188"/>
      <c r="P1137" s="188"/>
      <c r="Q1137" s="188"/>
      <c r="R1137" s="214"/>
      <c r="S1137" s="7">
        <v>79.074256786500371</v>
      </c>
      <c r="T1137" s="157">
        <v>144854.13644003996</v>
      </c>
      <c r="U1137" s="217" t="s">
        <v>50</v>
      </c>
      <c r="V1137" s="7">
        <v>42.390148202494501</v>
      </c>
      <c r="W1137" s="7">
        <v>42.390148202494501</v>
      </c>
      <c r="X1137" s="157">
        <v>77653.443244071692</v>
      </c>
      <c r="Y1137" s="7">
        <v>5.8302758620689659</v>
      </c>
      <c r="Z1137" s="157">
        <v>10680.335288986125</v>
      </c>
      <c r="AA1137" s="188"/>
      <c r="AB1137" s="214"/>
      <c r="AC1137" s="7">
        <v>10.83883492296405</v>
      </c>
      <c r="AD1137" s="157">
        <v>19855.388296866564</v>
      </c>
      <c r="AE1137" s="1144"/>
      <c r="AF1137" s="1145"/>
      <c r="AG1137" s="7">
        <v>79.074256786500371</v>
      </c>
      <c r="AH1137" s="157">
        <v>289708.27288007992</v>
      </c>
      <c r="AI1137" s="177">
        <f t="shared" si="46"/>
        <v>289708.27288007992</v>
      </c>
      <c r="AJ1137" s="1003"/>
      <c r="AK1137" s="995"/>
      <c r="AM1137" s="440"/>
      <c r="AN1137" s="90"/>
      <c r="AO1137" s="128"/>
    </row>
    <row r="1138" spans="1:41" s="69" customFormat="1" ht="15" customHeight="1">
      <c r="A1138" s="1263"/>
      <c r="B1138" s="921"/>
      <c r="C1138" s="511"/>
      <c r="D1138" s="518" t="s">
        <v>795</v>
      </c>
      <c r="E1138" s="320" t="s">
        <v>64</v>
      </c>
      <c r="F1138" s="515" t="s">
        <v>151</v>
      </c>
      <c r="G1138" s="514">
        <v>326.07806309611152</v>
      </c>
      <c r="H1138" s="320" t="s">
        <v>64</v>
      </c>
      <c r="I1138" s="512"/>
      <c r="J1138" s="1140"/>
      <c r="K1138" s="1128"/>
      <c r="L1138" s="7">
        <v>11.576097725605283</v>
      </c>
      <c r="M1138" s="225" t="s">
        <v>64</v>
      </c>
      <c r="N1138" s="188"/>
      <c r="O1138" s="188"/>
      <c r="P1138" s="188"/>
      <c r="Q1138" s="188"/>
      <c r="R1138" s="214"/>
      <c r="S1138" s="7">
        <v>11.576097725605283</v>
      </c>
      <c r="T1138" s="157">
        <v>21205.961428325882</v>
      </c>
      <c r="U1138" s="217" t="s">
        <v>50</v>
      </c>
      <c r="V1138" s="7">
        <v>4.2390148202494498</v>
      </c>
      <c r="W1138" s="7">
        <v>4.2390148202494498</v>
      </c>
      <c r="X1138" s="157">
        <v>7765.344324407165</v>
      </c>
      <c r="Y1138" s="7">
        <v>1.42822201027146</v>
      </c>
      <c r="Z1138" s="157">
        <v>2616.3238751786766</v>
      </c>
      <c r="AA1138" s="188"/>
      <c r="AB1138" s="214"/>
      <c r="AC1138" s="7">
        <v>2.0347272193690391</v>
      </c>
      <c r="AD1138" s="157">
        <v>3727.3654692517362</v>
      </c>
      <c r="AE1138" s="1144"/>
      <c r="AF1138" s="1145"/>
      <c r="AG1138" s="7">
        <v>11.576097725605283</v>
      </c>
      <c r="AH1138" s="157">
        <v>42411.922856651763</v>
      </c>
      <c r="AI1138" s="177">
        <f t="shared" si="46"/>
        <v>42411.922856651763</v>
      </c>
      <c r="AJ1138" s="1003"/>
      <c r="AK1138" s="995"/>
      <c r="AM1138" s="440"/>
      <c r="AN1138" s="90"/>
      <c r="AO1138" s="128"/>
    </row>
    <row r="1139" spans="1:41" s="69" customFormat="1" ht="15" customHeight="1">
      <c r="A1139" s="1263"/>
      <c r="B1139" s="921"/>
      <c r="C1139" s="511"/>
      <c r="D1139" s="518" t="s">
        <v>796</v>
      </c>
      <c r="E1139" s="320" t="s">
        <v>64</v>
      </c>
      <c r="F1139" s="515" t="s">
        <v>151</v>
      </c>
      <c r="G1139" s="514">
        <v>168.13499633162144</v>
      </c>
      <c r="H1139" s="320" t="s">
        <v>64</v>
      </c>
      <c r="I1139" s="512"/>
      <c r="J1139" s="1140"/>
      <c r="K1139" s="1128"/>
      <c r="L1139" s="7">
        <v>7.9434071900220111</v>
      </c>
      <c r="M1139" s="225" t="s">
        <v>64</v>
      </c>
      <c r="N1139" s="188"/>
      <c r="O1139" s="188"/>
      <c r="P1139" s="188"/>
      <c r="Q1139" s="188"/>
      <c r="R1139" s="214"/>
      <c r="S1139" s="7">
        <v>7.9434071900220111</v>
      </c>
      <c r="T1139" s="157">
        <v>14551.327267089539</v>
      </c>
      <c r="U1139" s="217" t="s">
        <v>50</v>
      </c>
      <c r="V1139" s="7">
        <v>2.1857549523110786</v>
      </c>
      <c r="W1139" s="7">
        <v>2.1857549523110786</v>
      </c>
      <c r="X1139" s="157">
        <v>4004.0293637083537</v>
      </c>
      <c r="Y1139" s="7">
        <v>1.1913074101247247</v>
      </c>
      <c r="Z1139" s="157">
        <v>2182.3259950980432</v>
      </c>
      <c r="AA1139" s="188"/>
      <c r="AB1139" s="214"/>
      <c r="AC1139" s="7">
        <v>1.5608980190755686</v>
      </c>
      <c r="AD1139" s="157">
        <v>2859.3697090904639</v>
      </c>
      <c r="AE1139" s="1144"/>
      <c r="AF1139" s="1145"/>
      <c r="AG1139" s="7">
        <v>7.9434071900220111</v>
      </c>
      <c r="AH1139" s="157">
        <v>29102.654534179077</v>
      </c>
      <c r="AI1139" s="177">
        <f t="shared" si="46"/>
        <v>29102.654534179077</v>
      </c>
      <c r="AJ1139" s="1003"/>
      <c r="AK1139" s="995"/>
      <c r="AM1139" s="440"/>
      <c r="AN1139" s="90"/>
      <c r="AO1139" s="128"/>
    </row>
    <row r="1140" spans="1:41" s="69" customFormat="1" ht="15" customHeight="1">
      <c r="A1140" s="1263"/>
      <c r="B1140" s="921"/>
      <c r="C1140" s="511"/>
      <c r="D1140" s="518" t="s">
        <v>797</v>
      </c>
      <c r="E1140" s="320" t="s">
        <v>64</v>
      </c>
      <c r="F1140" s="515" t="s">
        <v>151</v>
      </c>
      <c r="G1140" s="514">
        <v>3.2604548789435071</v>
      </c>
      <c r="H1140" s="320" t="s">
        <v>64</v>
      </c>
      <c r="I1140" s="512"/>
      <c r="J1140" s="1140"/>
      <c r="K1140" s="1128"/>
      <c r="L1140" s="7">
        <v>5.2925693323550993</v>
      </c>
      <c r="M1140" s="225" t="s">
        <v>64</v>
      </c>
      <c r="N1140" s="188"/>
      <c r="O1140" s="188"/>
      <c r="P1140" s="188"/>
      <c r="Q1140" s="188"/>
      <c r="R1140" s="214"/>
      <c r="S1140" s="7">
        <v>5.2925693323550993</v>
      </c>
      <c r="T1140" s="157">
        <v>9695.3242602998434</v>
      </c>
      <c r="U1140" s="217" t="s">
        <v>50</v>
      </c>
      <c r="V1140" s="7">
        <v>4.2385913426265596E-2</v>
      </c>
      <c r="W1140" s="7">
        <v>4.2385913426265596E-2</v>
      </c>
      <c r="X1140" s="157">
        <v>77.645685664315934</v>
      </c>
      <c r="Y1140" s="7">
        <v>1.1151870873074101</v>
      </c>
      <c r="Z1140" s="157">
        <v>2042.8830957861933</v>
      </c>
      <c r="AA1140" s="188"/>
      <c r="AB1140" s="214"/>
      <c r="AC1140" s="7">
        <v>1.4086573734409391</v>
      </c>
      <c r="AD1140" s="157">
        <v>2580.4839104667662</v>
      </c>
      <c r="AE1140" s="1144"/>
      <c r="AF1140" s="1145"/>
      <c r="AG1140" s="7">
        <v>5.2925693323550993</v>
      </c>
      <c r="AH1140" s="157">
        <v>19390.648520599687</v>
      </c>
      <c r="AI1140" s="177">
        <f t="shared" si="46"/>
        <v>19390.648520599687</v>
      </c>
      <c r="AJ1140" s="1003"/>
      <c r="AK1140" s="995"/>
      <c r="AM1140" s="440"/>
      <c r="AN1140" s="90"/>
      <c r="AO1140" s="128"/>
    </row>
    <row r="1141" spans="1:41" s="69" customFormat="1" ht="15" customHeight="1">
      <c r="A1141" s="1263"/>
      <c r="B1141" s="921"/>
      <c r="C1141" s="511"/>
      <c r="D1141" s="518" t="s">
        <v>798</v>
      </c>
      <c r="E1141" s="320" t="s">
        <v>64</v>
      </c>
      <c r="F1141" s="515" t="s">
        <v>151</v>
      </c>
      <c r="G1141" s="514">
        <v>19.562729273661041</v>
      </c>
      <c r="H1141" s="320" t="s">
        <v>64</v>
      </c>
      <c r="I1141" s="512"/>
      <c r="J1141" s="1140"/>
      <c r="K1141" s="1128"/>
      <c r="L1141" s="7">
        <v>5.5044988994864266</v>
      </c>
      <c r="M1141" s="225" t="s">
        <v>64</v>
      </c>
      <c r="N1141" s="188"/>
      <c r="O1141" s="188"/>
      <c r="P1141" s="188"/>
      <c r="Q1141" s="188"/>
      <c r="R1141" s="214"/>
      <c r="S1141" s="7">
        <v>5.5044988994864266</v>
      </c>
      <c r="T1141" s="157">
        <v>10083.552688621425</v>
      </c>
      <c r="U1141" s="217" t="s">
        <v>50</v>
      </c>
      <c r="V1141" s="7">
        <v>0.25431548055759357</v>
      </c>
      <c r="W1141" s="7">
        <v>0.25431548055759357</v>
      </c>
      <c r="X1141" s="157">
        <v>465.87411398589472</v>
      </c>
      <c r="Y1141" s="7">
        <v>1.1151870873074101</v>
      </c>
      <c r="Z1141" s="157">
        <v>2042.8830957861933</v>
      </c>
      <c r="AA1141" s="188"/>
      <c r="AB1141" s="214"/>
      <c r="AC1141" s="7">
        <v>1.4086573734409391</v>
      </c>
      <c r="AD1141" s="157">
        <v>2580.4839104667662</v>
      </c>
      <c r="AE1141" s="1144"/>
      <c r="AF1141" s="1145"/>
      <c r="AG1141" s="7">
        <v>5.5044988994864266</v>
      </c>
      <c r="AH1141" s="157">
        <v>20167.105377242849</v>
      </c>
      <c r="AI1141" s="177">
        <f t="shared" si="46"/>
        <v>20167.105377242849</v>
      </c>
      <c r="AJ1141" s="1003"/>
      <c r="AK1141" s="995"/>
      <c r="AM1141" s="440"/>
      <c r="AN1141" s="90"/>
      <c r="AO1141" s="128"/>
    </row>
    <row r="1142" spans="1:41" s="69" customFormat="1" ht="15" customHeight="1">
      <c r="A1142" s="1263"/>
      <c r="B1142" s="921"/>
      <c r="C1142" s="511"/>
      <c r="D1142" s="518" t="s">
        <v>799</v>
      </c>
      <c r="E1142" s="320" t="s">
        <v>64</v>
      </c>
      <c r="F1142" s="515" t="s">
        <v>151</v>
      </c>
      <c r="G1142" s="514">
        <v>3.2604548789435071</v>
      </c>
      <c r="H1142" s="320" t="s">
        <v>64</v>
      </c>
      <c r="I1142" s="512"/>
      <c r="J1142" s="1140"/>
      <c r="K1142" s="1128"/>
      <c r="L1142" s="7">
        <v>5.2925693323550993</v>
      </c>
      <c r="M1142" s="225" t="s">
        <v>64</v>
      </c>
      <c r="N1142" s="188"/>
      <c r="O1142" s="188"/>
      <c r="P1142" s="188"/>
      <c r="Q1142" s="188"/>
      <c r="R1142" s="214"/>
      <c r="S1142" s="7">
        <v>5.2925693323550993</v>
      </c>
      <c r="T1142" s="157">
        <v>9695.3242602998434</v>
      </c>
      <c r="U1142" s="217" t="s">
        <v>50</v>
      </c>
      <c r="V1142" s="7">
        <v>4.2385913426265596E-2</v>
      </c>
      <c r="W1142" s="7">
        <v>4.2385913426265596E-2</v>
      </c>
      <c r="X1142" s="157">
        <v>77.645685664315934</v>
      </c>
      <c r="Y1142" s="7">
        <v>1.1151870873074101</v>
      </c>
      <c r="Z1142" s="157">
        <v>2042.8830957861933</v>
      </c>
      <c r="AA1142" s="188"/>
      <c r="AB1142" s="214"/>
      <c r="AC1142" s="7">
        <v>1.4086573734409391</v>
      </c>
      <c r="AD1142" s="157">
        <v>2580.4839104667662</v>
      </c>
      <c r="AE1142" s="1144"/>
      <c r="AF1142" s="1145"/>
      <c r="AG1142" s="7">
        <v>5.2925693323550993</v>
      </c>
      <c r="AH1142" s="157">
        <v>19390.648520599687</v>
      </c>
      <c r="AI1142" s="177">
        <f t="shared" si="46"/>
        <v>19390.648520599687</v>
      </c>
      <c r="AJ1142" s="1003"/>
      <c r="AK1142" s="995"/>
      <c r="AM1142" s="440"/>
      <c r="AN1142" s="90"/>
      <c r="AO1142" s="128"/>
    </row>
    <row r="1143" spans="1:41" s="69" customFormat="1" ht="15" customHeight="1">
      <c r="A1143" s="1263"/>
      <c r="B1143" s="921"/>
      <c r="C1143" s="511"/>
      <c r="D1143" s="223" t="s">
        <v>341</v>
      </c>
      <c r="E1143" s="320" t="s">
        <v>64</v>
      </c>
      <c r="F1143" s="515" t="s">
        <v>151</v>
      </c>
      <c r="G1143" s="119">
        <v>567.45414526779166</v>
      </c>
      <c r="H1143" s="320" t="s">
        <v>64</v>
      </c>
      <c r="I1143" s="512"/>
      <c r="J1143" s="1140"/>
      <c r="K1143" s="1128"/>
      <c r="L1143" s="7">
        <v>20.209185619955981</v>
      </c>
      <c r="M1143" s="225" t="s">
        <v>64</v>
      </c>
      <c r="N1143" s="188"/>
      <c r="O1143" s="188"/>
      <c r="P1143" s="188"/>
      <c r="Q1143" s="188"/>
      <c r="R1143" s="214"/>
      <c r="S1143" s="7">
        <v>20.209185619955981</v>
      </c>
      <c r="T1143" s="157">
        <v>37020.697381185644</v>
      </c>
      <c r="U1143" s="217" t="s">
        <v>50</v>
      </c>
      <c r="V1143" s="7">
        <v>7.3769038884812925</v>
      </c>
      <c r="W1143" s="7">
        <v>7.3769038884812925</v>
      </c>
      <c r="X1143" s="157">
        <v>13513.564158462734</v>
      </c>
      <c r="Y1143" s="7">
        <v>1.9194130594277332</v>
      </c>
      <c r="Z1143" s="157">
        <v>3516.1243683368507</v>
      </c>
      <c r="AA1143" s="188"/>
      <c r="AB1143" s="214"/>
      <c r="AC1143" s="7">
        <v>3.6832868672046959</v>
      </c>
      <c r="AD1143" s="157">
        <v>6747.3203048929854</v>
      </c>
      <c r="AE1143" s="1144"/>
      <c r="AF1143" s="1145"/>
      <c r="AG1143" s="7">
        <v>20.209185619955981</v>
      </c>
      <c r="AH1143" s="157">
        <v>74041.394762371288</v>
      </c>
      <c r="AI1143" s="177">
        <f t="shared" si="46"/>
        <v>74041.394762371288</v>
      </c>
      <c r="AJ1143" s="1003"/>
      <c r="AK1143" s="995"/>
      <c r="AM1143" s="440"/>
      <c r="AN1143" s="90"/>
      <c r="AO1143" s="128"/>
    </row>
    <row r="1144" spans="1:41" s="69" customFormat="1" ht="15" customHeight="1">
      <c r="A1144" s="1263"/>
      <c r="B1144" s="921"/>
      <c r="C1144" s="511"/>
      <c r="D1144" s="223" t="s">
        <v>809</v>
      </c>
      <c r="E1144" s="320" t="s">
        <v>64</v>
      </c>
      <c r="F1144" s="515" t="s">
        <v>151</v>
      </c>
      <c r="G1144" s="514">
        <v>13.206162876008804</v>
      </c>
      <c r="H1144" s="320" t="s">
        <v>64</v>
      </c>
      <c r="I1144" s="512"/>
      <c r="J1144" s="1140"/>
      <c r="K1144" s="1128"/>
      <c r="L1144" s="7">
        <v>5.4218635363169483</v>
      </c>
      <c r="M1144" s="225" t="s">
        <v>64</v>
      </c>
      <c r="N1144" s="188"/>
      <c r="O1144" s="188"/>
      <c r="P1144" s="188"/>
      <c r="Q1144" s="188"/>
      <c r="R1144" s="214"/>
      <c r="S1144" s="7">
        <v>5.4218635363169483</v>
      </c>
      <c r="T1144" s="157">
        <v>9932.1750512236667</v>
      </c>
      <c r="U1144" s="217" t="s">
        <v>50</v>
      </c>
      <c r="V1144" s="7">
        <v>0.17168011738811448</v>
      </c>
      <c r="W1144" s="7">
        <v>0.17168011738811448</v>
      </c>
      <c r="X1144" s="157">
        <v>314.49647658813785</v>
      </c>
      <c r="Y1144" s="7">
        <v>1.1151870873074101</v>
      </c>
      <c r="Z1144" s="157">
        <v>2042.8830957861933</v>
      </c>
      <c r="AA1144" s="188"/>
      <c r="AB1144" s="214"/>
      <c r="AC1144" s="7">
        <v>1.4086573734409391</v>
      </c>
      <c r="AD1144" s="157">
        <v>2580.4839104667662</v>
      </c>
      <c r="AE1144" s="1144"/>
      <c r="AF1144" s="1145"/>
      <c r="AG1144" s="7">
        <v>5.4218635363169483</v>
      </c>
      <c r="AH1144" s="157">
        <v>19864.350102447333</v>
      </c>
      <c r="AI1144" s="177">
        <f t="shared" si="46"/>
        <v>19864.350102447333</v>
      </c>
      <c r="AJ1144" s="1003"/>
      <c r="AK1144" s="995"/>
      <c r="AM1144" s="440"/>
      <c r="AN1144" s="90"/>
      <c r="AO1144" s="128"/>
    </row>
    <row r="1145" spans="1:41" s="69" customFormat="1" ht="15" customHeight="1">
      <c r="A1145" s="1263"/>
      <c r="B1145" s="921"/>
      <c r="C1145" s="511"/>
      <c r="D1145" s="223" t="s">
        <v>810</v>
      </c>
      <c r="E1145" s="320" t="s">
        <v>64</v>
      </c>
      <c r="F1145" s="515" t="s">
        <v>151</v>
      </c>
      <c r="G1145" s="514">
        <v>326.07806309611152</v>
      </c>
      <c r="H1145" s="320" t="s">
        <v>64</v>
      </c>
      <c r="I1145" s="512"/>
      <c r="J1145" s="1140"/>
      <c r="K1145" s="1128"/>
      <c r="L1145" s="7">
        <v>11.576097725605283</v>
      </c>
      <c r="M1145" s="225" t="s">
        <v>64</v>
      </c>
      <c r="N1145" s="188"/>
      <c r="O1145" s="188"/>
      <c r="P1145" s="188"/>
      <c r="Q1145" s="188"/>
      <c r="R1145" s="214"/>
      <c r="S1145" s="7">
        <v>11.576097725605283</v>
      </c>
      <c r="T1145" s="157">
        <v>21205.961428325882</v>
      </c>
      <c r="U1145" s="217" t="s">
        <v>50</v>
      </c>
      <c r="V1145" s="7">
        <v>4.2390148202494498</v>
      </c>
      <c r="W1145" s="7">
        <v>4.2390148202494498</v>
      </c>
      <c r="X1145" s="157">
        <v>7765.344324407165</v>
      </c>
      <c r="Y1145" s="7">
        <v>1.42822201027146</v>
      </c>
      <c r="Z1145" s="157">
        <v>2616.3238751786766</v>
      </c>
      <c r="AA1145" s="188"/>
      <c r="AB1145" s="214"/>
      <c r="AC1145" s="7">
        <v>2.0347272193690391</v>
      </c>
      <c r="AD1145" s="157">
        <v>3727.3654692517362</v>
      </c>
      <c r="AE1145" s="1144"/>
      <c r="AF1145" s="1145"/>
      <c r="AG1145" s="7">
        <v>11.576097725605283</v>
      </c>
      <c r="AH1145" s="157">
        <v>42411.922856651763</v>
      </c>
      <c r="AI1145" s="177">
        <f t="shared" si="46"/>
        <v>42411.922856651763</v>
      </c>
      <c r="AJ1145" s="1003"/>
      <c r="AK1145" s="995"/>
      <c r="AM1145" s="440"/>
      <c r="AN1145" s="90"/>
      <c r="AO1145" s="128"/>
    </row>
    <row r="1146" spans="1:41" s="69" customFormat="1" ht="15" customHeight="1">
      <c r="A1146" s="1263"/>
      <c r="B1146" s="921"/>
      <c r="C1146" s="511"/>
      <c r="D1146" s="223" t="s">
        <v>811</v>
      </c>
      <c r="E1146" s="320" t="s">
        <v>64</v>
      </c>
      <c r="F1146" s="515" t="s">
        <v>151</v>
      </c>
      <c r="G1146" s="514">
        <v>16.305209097578871</v>
      </c>
      <c r="H1146" s="320" t="s">
        <v>64</v>
      </c>
      <c r="I1146" s="512"/>
      <c r="J1146" s="1140"/>
      <c r="K1146" s="1128"/>
      <c r="L1146" s="7">
        <v>5.4621511371973588</v>
      </c>
      <c r="M1146" s="225" t="s">
        <v>64</v>
      </c>
      <c r="N1146" s="188"/>
      <c r="O1146" s="188"/>
      <c r="P1146" s="188"/>
      <c r="Q1146" s="188"/>
      <c r="R1146" s="214"/>
      <c r="S1146" s="7">
        <v>5.4621511371973588</v>
      </c>
      <c r="T1146" s="157">
        <v>10005.976891063005</v>
      </c>
      <c r="U1146" s="217" t="s">
        <v>50</v>
      </c>
      <c r="V1146" s="7">
        <v>0.21196771826852534</v>
      </c>
      <c r="W1146" s="7">
        <v>0.21196771826852534</v>
      </c>
      <c r="X1146" s="157">
        <v>388.29831642748672</v>
      </c>
      <c r="Y1146" s="7">
        <v>1.1151870873074101</v>
      </c>
      <c r="Z1146" s="157">
        <v>2042.8830957861933</v>
      </c>
      <c r="AA1146" s="188"/>
      <c r="AB1146" s="214"/>
      <c r="AC1146" s="7">
        <v>1.4086573734409391</v>
      </c>
      <c r="AD1146" s="157">
        <v>2580.4839104667662</v>
      </c>
      <c r="AE1146" s="1144"/>
      <c r="AF1146" s="1145"/>
      <c r="AG1146" s="7">
        <v>5.4621511371973588</v>
      </c>
      <c r="AH1146" s="157">
        <v>20011.953782126009</v>
      </c>
      <c r="AI1146" s="177">
        <f t="shared" si="46"/>
        <v>20011.953782126009</v>
      </c>
      <c r="AJ1146" s="1003"/>
      <c r="AK1146" s="995"/>
      <c r="AM1146" s="440"/>
      <c r="AN1146" s="90"/>
      <c r="AO1146" s="128"/>
    </row>
    <row r="1147" spans="1:41" s="69" customFormat="1" ht="15" customHeight="1">
      <c r="A1147" s="1263"/>
      <c r="B1147" s="921"/>
      <c r="C1147" s="511"/>
      <c r="D1147" s="223" t="s">
        <v>812</v>
      </c>
      <c r="E1147" s="320" t="s">
        <v>64</v>
      </c>
      <c r="F1147" s="515" t="s">
        <v>151</v>
      </c>
      <c r="G1147" s="514">
        <v>163.03741746148202</v>
      </c>
      <c r="H1147" s="320" t="s">
        <v>64</v>
      </c>
      <c r="I1147" s="512"/>
      <c r="J1147" s="1140"/>
      <c r="K1147" s="1128"/>
      <c r="L1147" s="7">
        <v>7.8261628760088033</v>
      </c>
      <c r="M1147" s="225" t="s">
        <v>64</v>
      </c>
      <c r="N1147" s="188"/>
      <c r="O1147" s="188"/>
      <c r="P1147" s="188"/>
      <c r="Q1147" s="188"/>
      <c r="R1147" s="214"/>
      <c r="S1147" s="7">
        <v>7.8261628760088033</v>
      </c>
      <c r="T1147" s="157">
        <v>14344</v>
      </c>
      <c r="U1147" s="217" t="s">
        <v>50</v>
      </c>
      <c r="V1147" s="7">
        <v>2.1194864269992664</v>
      </c>
      <c r="W1147" s="7">
        <v>2.1194864269992664</v>
      </c>
      <c r="X1147" s="157">
        <v>3884</v>
      </c>
      <c r="Y1147" s="7">
        <v>1.1836610418195157</v>
      </c>
      <c r="Z1147" s="157">
        <v>5163</v>
      </c>
      <c r="AA1147" s="188"/>
      <c r="AB1147" s="214"/>
      <c r="AC1147" s="7">
        <v>1.5456052824651503</v>
      </c>
      <c r="AD1147" s="157">
        <v>2839</v>
      </c>
      <c r="AE1147" s="1144"/>
      <c r="AF1147" s="1145"/>
      <c r="AG1147" s="7">
        <v>7.8261628760088033</v>
      </c>
      <c r="AH1147" s="157">
        <v>29103</v>
      </c>
      <c r="AI1147" s="177">
        <f t="shared" si="46"/>
        <v>29103</v>
      </c>
      <c r="AJ1147" s="1003"/>
      <c r="AK1147" s="995"/>
      <c r="AM1147" s="440"/>
      <c r="AN1147" s="90"/>
      <c r="AO1147" s="128"/>
    </row>
    <row r="1148" spans="1:41" s="69" customFormat="1" ht="15" customHeight="1">
      <c r="A1148" s="1263"/>
      <c r="B1148" s="921"/>
      <c r="C1148" s="511"/>
      <c r="D1148" s="223" t="s">
        <v>813</v>
      </c>
      <c r="E1148" s="320" t="s">
        <v>64</v>
      </c>
      <c r="F1148" s="515" t="s">
        <v>151</v>
      </c>
      <c r="G1148" s="514">
        <v>1630.3888481291269</v>
      </c>
      <c r="H1148" s="320" t="s">
        <v>64</v>
      </c>
      <c r="I1148" s="512"/>
      <c r="J1148" s="1140"/>
      <c r="K1148" s="1128"/>
      <c r="L1148" s="7">
        <v>41.575245781364643</v>
      </c>
      <c r="M1148" s="225" t="s">
        <v>64</v>
      </c>
      <c r="N1148" s="188"/>
      <c r="O1148" s="188"/>
      <c r="P1148" s="188"/>
      <c r="Q1148" s="188"/>
      <c r="R1148" s="214"/>
      <c r="S1148" s="7">
        <v>41.575245781364643</v>
      </c>
      <c r="T1148" s="157">
        <v>76169</v>
      </c>
      <c r="U1148" s="217" t="s">
        <v>50</v>
      </c>
      <c r="V1148" s="7">
        <v>21.195055025678652</v>
      </c>
      <c r="W1148" s="7">
        <v>21.195055025678652</v>
      </c>
      <c r="X1148" s="157">
        <v>38836</v>
      </c>
      <c r="Y1148" s="7">
        <v>3.3846881878209829</v>
      </c>
      <c r="Z1148" s="157">
        <v>6193</v>
      </c>
      <c r="AA1148" s="188"/>
      <c r="AB1148" s="214"/>
      <c r="AC1148" s="7">
        <v>5.9476595744680854</v>
      </c>
      <c r="AD1148" s="157">
        <v>10900</v>
      </c>
      <c r="AE1148" s="1144"/>
      <c r="AF1148" s="1145"/>
      <c r="AG1148" s="7">
        <v>41.575245781364643</v>
      </c>
      <c r="AH1148" s="157">
        <v>152338.7063741615</v>
      </c>
      <c r="AI1148" s="177">
        <f t="shared" si="46"/>
        <v>152338.7063741615</v>
      </c>
      <c r="AJ1148" s="1003"/>
      <c r="AK1148" s="995"/>
      <c r="AM1148" s="440"/>
      <c r="AN1148" s="90"/>
      <c r="AO1148" s="128"/>
    </row>
    <row r="1149" spans="1:41" s="69" customFormat="1" ht="15" customHeight="1">
      <c r="A1149" s="1263"/>
      <c r="B1149" s="921"/>
      <c r="C1149" s="511"/>
      <c r="D1149" s="223" t="s">
        <v>814</v>
      </c>
      <c r="E1149" s="320" t="s">
        <v>64</v>
      </c>
      <c r="F1149" s="515" t="s">
        <v>151</v>
      </c>
      <c r="G1149" s="514">
        <v>168.13499633162144</v>
      </c>
      <c r="H1149" s="320" t="s">
        <v>64</v>
      </c>
      <c r="I1149" s="512"/>
      <c r="J1149" s="1140"/>
      <c r="K1149" s="1128"/>
      <c r="L1149" s="7">
        <v>7.9434071900220111</v>
      </c>
      <c r="M1149" s="225" t="s">
        <v>64</v>
      </c>
      <c r="N1149" s="188"/>
      <c r="O1149" s="188"/>
      <c r="P1149" s="188"/>
      <c r="Q1149" s="188"/>
      <c r="R1149" s="214"/>
      <c r="S1149" s="7">
        <v>7.9434071900220111</v>
      </c>
      <c r="T1149" s="157">
        <v>14551.327267089539</v>
      </c>
      <c r="U1149" s="217" t="s">
        <v>50</v>
      </c>
      <c r="V1149" s="7">
        <v>2.1857549523110786</v>
      </c>
      <c r="W1149" s="7">
        <v>2.1857549523110786</v>
      </c>
      <c r="X1149" s="157">
        <v>4012</v>
      </c>
      <c r="Y1149" s="7">
        <v>1.1913074101247247</v>
      </c>
      <c r="Z1149" s="157">
        <v>2182.3259950980432</v>
      </c>
      <c r="AA1149" s="188"/>
      <c r="AB1149" s="214"/>
      <c r="AC1149" s="7">
        <v>1.5608980190755686</v>
      </c>
      <c r="AD1149" s="157">
        <v>2859.3697090904639</v>
      </c>
      <c r="AE1149" s="1144"/>
      <c r="AF1149" s="1145"/>
      <c r="AG1149" s="24">
        <v>7.9434071900220111</v>
      </c>
      <c r="AH1149" s="187">
        <v>29102.654534179077</v>
      </c>
      <c r="AI1149" s="177">
        <f t="shared" si="46"/>
        <v>29102.654534179077</v>
      </c>
      <c r="AJ1149" s="1003"/>
      <c r="AK1149" s="995"/>
      <c r="AM1149" s="440"/>
      <c r="AN1149" s="90"/>
      <c r="AO1149" s="128"/>
    </row>
    <row r="1150" spans="1:41" s="69" customFormat="1" ht="15" customHeight="1">
      <c r="A1150" s="1263"/>
      <c r="B1150" s="921"/>
      <c r="C1150" s="511"/>
      <c r="D1150" s="223" t="s">
        <v>815</v>
      </c>
      <c r="E1150" s="320" t="s">
        <v>64</v>
      </c>
      <c r="F1150" s="515" t="s">
        <v>151</v>
      </c>
      <c r="G1150" s="514">
        <v>3.2604548789435071</v>
      </c>
      <c r="H1150" s="320" t="s">
        <v>64</v>
      </c>
      <c r="I1150" s="512"/>
      <c r="J1150" s="1140"/>
      <c r="K1150" s="1128"/>
      <c r="L1150" s="7">
        <v>5.2925693323550993</v>
      </c>
      <c r="M1150" s="225" t="s">
        <v>64</v>
      </c>
      <c r="N1150" s="188"/>
      <c r="O1150" s="188"/>
      <c r="P1150" s="188"/>
      <c r="Q1150" s="188"/>
      <c r="R1150" s="214"/>
      <c r="S1150" s="7">
        <v>5.2925693323550993</v>
      </c>
      <c r="T1150" s="157">
        <v>9695.3242602998434</v>
      </c>
      <c r="U1150" s="217" t="s">
        <v>50</v>
      </c>
      <c r="V1150" s="7">
        <v>4.2385913426265596E-2</v>
      </c>
      <c r="W1150" s="7">
        <v>4.2385913426265596E-2</v>
      </c>
      <c r="X1150" s="157">
        <v>77.645685664315934</v>
      </c>
      <c r="Y1150" s="7">
        <v>1.1151870873074101</v>
      </c>
      <c r="Z1150" s="157">
        <v>2042.8830957861933</v>
      </c>
      <c r="AA1150" s="188"/>
      <c r="AB1150" s="214"/>
      <c r="AC1150" s="7">
        <v>1.4086573734409391</v>
      </c>
      <c r="AD1150" s="157">
        <v>2580.4839104667662</v>
      </c>
      <c r="AE1150" s="1144"/>
      <c r="AF1150" s="1145"/>
      <c r="AG1150" s="7">
        <v>5.2925693323550993</v>
      </c>
      <c r="AH1150" s="157">
        <v>19390.648520599687</v>
      </c>
      <c r="AI1150" s="177">
        <f t="shared" si="46"/>
        <v>19390.648520599687</v>
      </c>
      <c r="AJ1150" s="1003"/>
      <c r="AK1150" s="995"/>
      <c r="AM1150" s="440"/>
      <c r="AN1150" s="90"/>
      <c r="AO1150" s="128"/>
    </row>
    <row r="1151" spans="1:41" s="69" customFormat="1" ht="15.75" customHeight="1" thickBot="1">
      <c r="A1151" s="1264"/>
      <c r="B1151" s="920"/>
      <c r="C1151" s="33"/>
      <c r="D1151" s="224" t="s">
        <v>816</v>
      </c>
      <c r="E1151" s="226" t="s">
        <v>64</v>
      </c>
      <c r="F1151" s="516" t="s">
        <v>151</v>
      </c>
      <c r="G1151" s="94">
        <v>3.2604548789435071</v>
      </c>
      <c r="H1151" s="226" t="s">
        <v>64</v>
      </c>
      <c r="I1151" s="208"/>
      <c r="J1151" s="1141"/>
      <c r="K1151" s="1129"/>
      <c r="L1151" s="28">
        <v>5.2925693323550993</v>
      </c>
      <c r="M1151" s="226" t="s">
        <v>64</v>
      </c>
      <c r="N1151" s="215"/>
      <c r="O1151" s="215"/>
      <c r="P1151" s="215"/>
      <c r="Q1151" s="215"/>
      <c r="R1151" s="216"/>
      <c r="S1151" s="47">
        <v>5.2925693323550993</v>
      </c>
      <c r="T1151" s="125">
        <v>9695.3242602998434</v>
      </c>
      <c r="U1151" s="218" t="s">
        <v>50</v>
      </c>
      <c r="V1151" s="46">
        <v>4.2385913426265596E-2</v>
      </c>
      <c r="W1151" s="46">
        <v>4.2385913426265596E-2</v>
      </c>
      <c r="X1151" s="125">
        <v>77.645685664315934</v>
      </c>
      <c r="Y1151" s="47">
        <v>1.1151870873074101</v>
      </c>
      <c r="Z1151" s="125">
        <v>2042.8830957861933</v>
      </c>
      <c r="AA1151" s="215"/>
      <c r="AB1151" s="216"/>
      <c r="AC1151" s="47">
        <v>1.4086573734409391</v>
      </c>
      <c r="AD1151" s="125">
        <v>2580.4839104667662</v>
      </c>
      <c r="AE1151" s="1146"/>
      <c r="AF1151" s="1147"/>
      <c r="AG1151" s="47">
        <v>5.2925693323550993</v>
      </c>
      <c r="AH1151" s="122">
        <v>19390.648520599687</v>
      </c>
      <c r="AI1151" s="178">
        <f t="shared" si="46"/>
        <v>19390.648520599687</v>
      </c>
      <c r="AJ1151" s="1004"/>
      <c r="AK1151" s="996"/>
      <c r="AM1151" s="440"/>
      <c r="AN1151" s="200"/>
      <c r="AO1151" s="200"/>
    </row>
    <row r="1152" spans="1:41" s="69" customFormat="1">
      <c r="A1152" s="1014" t="s">
        <v>67</v>
      </c>
      <c r="B1152" s="465" t="s">
        <v>151</v>
      </c>
      <c r="C1152" s="386" t="s">
        <v>151</v>
      </c>
      <c r="D1152" s="498" t="s">
        <v>277</v>
      </c>
      <c r="E1152" s="472" t="s">
        <v>297</v>
      </c>
      <c r="F1152" s="323"/>
      <c r="G1152" s="433">
        <v>0</v>
      </c>
      <c r="H1152" s="320"/>
      <c r="I1152" s="261"/>
      <c r="J1152" s="1203" t="s">
        <v>320</v>
      </c>
      <c r="K1152" s="1057" t="s">
        <v>502</v>
      </c>
      <c r="L1152" s="957" t="s">
        <v>323</v>
      </c>
      <c r="M1152" s="958"/>
      <c r="N1152" s="959"/>
      <c r="O1152" s="730"/>
      <c r="P1152" s="730"/>
      <c r="Q1152" s="730"/>
      <c r="R1152" s="957" t="s">
        <v>323</v>
      </c>
      <c r="S1152" s="958"/>
      <c r="T1152" s="959"/>
      <c r="U1152" s="957" t="s">
        <v>323</v>
      </c>
      <c r="V1152" s="958"/>
      <c r="W1152" s="959"/>
      <c r="X1152" s="957" t="s">
        <v>323</v>
      </c>
      <c r="Y1152" s="958"/>
      <c r="Z1152" s="959"/>
      <c r="AA1152" s="957" t="s">
        <v>323</v>
      </c>
      <c r="AB1152" s="958"/>
      <c r="AC1152" s="958"/>
      <c r="AD1152" s="958"/>
      <c r="AE1152" s="941" t="s">
        <v>19</v>
      </c>
      <c r="AF1152" s="942"/>
      <c r="AG1152" s="958" t="s">
        <v>323</v>
      </c>
      <c r="AH1152" s="958"/>
      <c r="AI1152" s="958"/>
      <c r="AJ1152" s="975">
        <v>46153</v>
      </c>
      <c r="AK1152" s="981">
        <f>SUM(AI1152:AI1189)</f>
        <v>0</v>
      </c>
      <c r="AM1152" s="440"/>
      <c r="AN1152" s="89"/>
      <c r="AO1152" s="89"/>
    </row>
    <row r="1153" spans="1:41" s="69" customFormat="1">
      <c r="A1153" s="1015"/>
      <c r="B1153" s="466"/>
      <c r="C1153" s="388"/>
      <c r="D1153" s="223" t="s">
        <v>808</v>
      </c>
      <c r="E1153" s="472" t="s">
        <v>298</v>
      </c>
      <c r="F1153" s="261"/>
      <c r="G1153" s="431">
        <v>0</v>
      </c>
      <c r="H1153" s="320"/>
      <c r="I1153" s="261"/>
      <c r="J1153" s="1166"/>
      <c r="K1153" s="1057"/>
      <c r="L1153" s="960"/>
      <c r="M1153" s="951"/>
      <c r="N1153" s="952"/>
      <c r="O1153" s="737"/>
      <c r="P1153" s="737"/>
      <c r="Q1153" s="737"/>
      <c r="R1153" s="960"/>
      <c r="S1153" s="951"/>
      <c r="T1153" s="952"/>
      <c r="U1153" s="960"/>
      <c r="V1153" s="951"/>
      <c r="W1153" s="952"/>
      <c r="X1153" s="960"/>
      <c r="Y1153" s="951"/>
      <c r="Z1153" s="952"/>
      <c r="AA1153" s="960"/>
      <c r="AB1153" s="951"/>
      <c r="AC1153" s="951"/>
      <c r="AD1153" s="951"/>
      <c r="AE1153" s="943"/>
      <c r="AF1153" s="944"/>
      <c r="AG1153" s="951"/>
      <c r="AH1153" s="951"/>
      <c r="AI1153" s="951"/>
      <c r="AJ1153" s="1003"/>
      <c r="AK1153" s="982"/>
      <c r="AM1153" s="440"/>
      <c r="AN1153" s="89"/>
      <c r="AO1153" s="89"/>
    </row>
    <row r="1154" spans="1:41" s="69" customFormat="1">
      <c r="A1154" s="1015"/>
      <c r="B1154" s="466"/>
      <c r="C1154" s="388"/>
      <c r="D1154" s="223" t="s">
        <v>809</v>
      </c>
      <c r="E1154" s="472" t="s">
        <v>299</v>
      </c>
      <c r="F1154" s="261"/>
      <c r="G1154" s="431">
        <v>250000</v>
      </c>
      <c r="H1154" s="320" t="s">
        <v>221</v>
      </c>
      <c r="I1154" s="261"/>
      <c r="J1154" s="1166"/>
      <c r="K1154" s="1057"/>
      <c r="L1154" s="960"/>
      <c r="M1154" s="951"/>
      <c r="N1154" s="952"/>
      <c r="O1154" s="737"/>
      <c r="P1154" s="737"/>
      <c r="Q1154" s="737"/>
      <c r="R1154" s="960"/>
      <c r="S1154" s="951"/>
      <c r="T1154" s="952"/>
      <c r="U1154" s="960"/>
      <c r="V1154" s="951"/>
      <c r="W1154" s="952"/>
      <c r="X1154" s="960"/>
      <c r="Y1154" s="951"/>
      <c r="Z1154" s="952"/>
      <c r="AA1154" s="960"/>
      <c r="AB1154" s="951"/>
      <c r="AC1154" s="951"/>
      <c r="AD1154" s="951"/>
      <c r="AE1154" s="943"/>
      <c r="AF1154" s="944"/>
      <c r="AG1154" s="951"/>
      <c r="AH1154" s="951"/>
      <c r="AI1154" s="951"/>
      <c r="AJ1154" s="1003"/>
      <c r="AK1154" s="982"/>
      <c r="AM1154" s="440"/>
      <c r="AN1154" s="89"/>
      <c r="AO1154" s="89"/>
    </row>
    <row r="1155" spans="1:41" s="69" customFormat="1">
      <c r="A1155" s="1015"/>
      <c r="B1155" s="466"/>
      <c r="C1155" s="388"/>
      <c r="D1155" s="223" t="s">
        <v>810</v>
      </c>
      <c r="E1155" s="472" t="s">
        <v>300</v>
      </c>
      <c r="F1155" s="261"/>
      <c r="G1155" s="431">
        <v>0</v>
      </c>
      <c r="H1155" s="431"/>
      <c r="I1155" s="261"/>
      <c r="J1155" s="1166"/>
      <c r="K1155" s="1057"/>
      <c r="L1155" s="960"/>
      <c r="M1155" s="951"/>
      <c r="N1155" s="952"/>
      <c r="O1155" s="737"/>
      <c r="P1155" s="737"/>
      <c r="Q1155" s="737"/>
      <c r="R1155" s="960"/>
      <c r="S1155" s="951"/>
      <c r="T1155" s="952"/>
      <c r="U1155" s="960"/>
      <c r="V1155" s="951"/>
      <c r="W1155" s="952"/>
      <c r="X1155" s="960"/>
      <c r="Y1155" s="951"/>
      <c r="Z1155" s="952"/>
      <c r="AA1155" s="960"/>
      <c r="AB1155" s="951"/>
      <c r="AC1155" s="951"/>
      <c r="AD1155" s="951"/>
      <c r="AE1155" s="943"/>
      <c r="AF1155" s="944"/>
      <c r="AG1155" s="951"/>
      <c r="AH1155" s="951"/>
      <c r="AI1155" s="951"/>
      <c r="AJ1155" s="1003"/>
      <c r="AK1155" s="982"/>
      <c r="AM1155" s="440"/>
      <c r="AN1155" s="89"/>
      <c r="AO1155" s="89"/>
    </row>
    <row r="1156" spans="1:41" s="69" customFormat="1">
      <c r="A1156" s="1015"/>
      <c r="B1156" s="466"/>
      <c r="C1156" s="388"/>
      <c r="D1156" s="223" t="s">
        <v>811</v>
      </c>
      <c r="E1156" s="472" t="s">
        <v>299</v>
      </c>
      <c r="F1156" s="261"/>
      <c r="G1156" s="431">
        <v>2540</v>
      </c>
      <c r="H1156" s="320" t="s">
        <v>221</v>
      </c>
      <c r="I1156" s="261"/>
      <c r="J1156" s="1166"/>
      <c r="K1156" s="1057"/>
      <c r="L1156" s="960"/>
      <c r="M1156" s="951"/>
      <c r="N1156" s="952"/>
      <c r="O1156" s="737"/>
      <c r="P1156" s="737"/>
      <c r="Q1156" s="737"/>
      <c r="R1156" s="960"/>
      <c r="S1156" s="951"/>
      <c r="T1156" s="952"/>
      <c r="U1156" s="960"/>
      <c r="V1156" s="951"/>
      <c r="W1156" s="952"/>
      <c r="X1156" s="960"/>
      <c r="Y1156" s="951"/>
      <c r="Z1156" s="952"/>
      <c r="AA1156" s="960"/>
      <c r="AB1156" s="951"/>
      <c r="AC1156" s="951"/>
      <c r="AD1156" s="951"/>
      <c r="AE1156" s="943"/>
      <c r="AF1156" s="944"/>
      <c r="AG1156" s="951"/>
      <c r="AH1156" s="951"/>
      <c r="AI1156" s="951"/>
      <c r="AJ1156" s="1003"/>
      <c r="AK1156" s="982"/>
      <c r="AM1156" s="440"/>
      <c r="AN1156" s="89"/>
      <c r="AO1156" s="89"/>
    </row>
    <row r="1157" spans="1:41" s="69" customFormat="1">
      <c r="A1157" s="1015"/>
      <c r="B1157" s="466"/>
      <c r="C1157" s="388"/>
      <c r="D1157" s="223" t="s">
        <v>812</v>
      </c>
      <c r="E1157" s="472" t="s">
        <v>301</v>
      </c>
      <c r="F1157" s="261"/>
      <c r="G1157" s="431"/>
      <c r="H1157" s="320"/>
      <c r="I1157" s="261"/>
      <c r="J1157" s="1166"/>
      <c r="K1157" s="1057"/>
      <c r="L1157" s="960"/>
      <c r="M1157" s="951"/>
      <c r="N1157" s="952"/>
      <c r="O1157" s="737"/>
      <c r="P1157" s="737"/>
      <c r="Q1157" s="737"/>
      <c r="R1157" s="960"/>
      <c r="S1157" s="951"/>
      <c r="T1157" s="952"/>
      <c r="U1157" s="960"/>
      <c r="V1157" s="951"/>
      <c r="W1157" s="952"/>
      <c r="X1157" s="960"/>
      <c r="Y1157" s="951"/>
      <c r="Z1157" s="952"/>
      <c r="AA1157" s="960"/>
      <c r="AB1157" s="951"/>
      <c r="AC1157" s="951"/>
      <c r="AD1157" s="951"/>
      <c r="AE1157" s="943"/>
      <c r="AF1157" s="944"/>
      <c r="AG1157" s="951"/>
      <c r="AH1157" s="951"/>
      <c r="AI1157" s="951"/>
      <c r="AJ1157" s="1003"/>
      <c r="AK1157" s="982"/>
      <c r="AM1157" s="440"/>
      <c r="AN1157" s="89"/>
      <c r="AO1157" s="89"/>
    </row>
    <row r="1158" spans="1:41" s="69" customFormat="1">
      <c r="A1158" s="1015"/>
      <c r="B1158" s="466"/>
      <c r="C1158" s="388"/>
      <c r="D1158" s="223" t="s">
        <v>813</v>
      </c>
      <c r="E1158" s="472" t="s">
        <v>302</v>
      </c>
      <c r="F1158" s="261"/>
      <c r="G1158" s="431"/>
      <c r="H1158" s="320"/>
      <c r="I1158" s="261"/>
      <c r="J1158" s="1166"/>
      <c r="K1158" s="1057"/>
      <c r="L1158" s="960"/>
      <c r="M1158" s="951"/>
      <c r="N1158" s="952"/>
      <c r="O1158" s="737"/>
      <c r="P1158" s="737"/>
      <c r="Q1158" s="737"/>
      <c r="R1158" s="960"/>
      <c r="S1158" s="951"/>
      <c r="T1158" s="952"/>
      <c r="U1158" s="960"/>
      <c r="V1158" s="951"/>
      <c r="W1158" s="952"/>
      <c r="X1158" s="960"/>
      <c r="Y1158" s="951"/>
      <c r="Z1158" s="952"/>
      <c r="AA1158" s="960"/>
      <c r="AB1158" s="951"/>
      <c r="AC1158" s="951"/>
      <c r="AD1158" s="951"/>
      <c r="AE1158" s="943"/>
      <c r="AF1158" s="944"/>
      <c r="AG1158" s="951"/>
      <c r="AH1158" s="951"/>
      <c r="AI1158" s="951"/>
      <c r="AJ1158" s="1003"/>
      <c r="AK1158" s="982"/>
      <c r="AM1158" s="440"/>
      <c r="AN1158" s="89"/>
      <c r="AO1158" s="89"/>
    </row>
    <row r="1159" spans="1:41" s="69" customFormat="1">
      <c r="A1159" s="1015"/>
      <c r="B1159" s="466"/>
      <c r="C1159" s="388"/>
      <c r="D1159" s="922" t="s">
        <v>315</v>
      </c>
      <c r="E1159" s="472"/>
      <c r="F1159" s="261"/>
      <c r="G1159" s="499"/>
      <c r="H1159" s="320"/>
      <c r="I1159" s="261"/>
      <c r="J1159" s="1166"/>
      <c r="K1159" s="1057"/>
      <c r="L1159" s="960"/>
      <c r="M1159" s="951"/>
      <c r="N1159" s="952"/>
      <c r="O1159" s="737"/>
      <c r="P1159" s="737"/>
      <c r="Q1159" s="737"/>
      <c r="R1159" s="960"/>
      <c r="S1159" s="951"/>
      <c r="T1159" s="952"/>
      <c r="U1159" s="960"/>
      <c r="V1159" s="951"/>
      <c r="W1159" s="952"/>
      <c r="X1159" s="960"/>
      <c r="Y1159" s="951"/>
      <c r="Z1159" s="952"/>
      <c r="AA1159" s="960"/>
      <c r="AB1159" s="951"/>
      <c r="AC1159" s="951"/>
      <c r="AD1159" s="951"/>
      <c r="AE1159" s="943"/>
      <c r="AF1159" s="944"/>
      <c r="AG1159" s="951"/>
      <c r="AH1159" s="951"/>
      <c r="AI1159" s="951"/>
      <c r="AJ1159" s="1003"/>
      <c r="AK1159" s="982"/>
      <c r="AM1159" s="440"/>
      <c r="AN1159" s="89"/>
      <c r="AO1159" s="89"/>
    </row>
    <row r="1160" spans="1:41" s="69" customFormat="1">
      <c r="A1160" s="1015"/>
      <c r="B1160" s="466"/>
      <c r="C1160" s="388"/>
      <c r="D1160" s="922" t="s">
        <v>316</v>
      </c>
      <c r="E1160" s="472"/>
      <c r="F1160" s="261"/>
      <c r="G1160" s="499"/>
      <c r="H1160" s="320"/>
      <c r="I1160" s="261"/>
      <c r="J1160" s="1166"/>
      <c r="K1160" s="1057"/>
      <c r="L1160" s="960"/>
      <c r="M1160" s="951"/>
      <c r="N1160" s="952"/>
      <c r="O1160" s="737"/>
      <c r="P1160" s="737"/>
      <c r="Q1160" s="737"/>
      <c r="R1160" s="960"/>
      <c r="S1160" s="951"/>
      <c r="T1160" s="952"/>
      <c r="U1160" s="960"/>
      <c r="V1160" s="951"/>
      <c r="W1160" s="952"/>
      <c r="X1160" s="960"/>
      <c r="Y1160" s="951"/>
      <c r="Z1160" s="952"/>
      <c r="AA1160" s="960"/>
      <c r="AB1160" s="951"/>
      <c r="AC1160" s="951"/>
      <c r="AD1160" s="951"/>
      <c r="AE1160" s="943"/>
      <c r="AF1160" s="944"/>
      <c r="AG1160" s="951"/>
      <c r="AH1160" s="951"/>
      <c r="AI1160" s="951"/>
      <c r="AJ1160" s="1003"/>
      <c r="AK1160" s="982"/>
      <c r="AM1160" s="440"/>
      <c r="AN1160" s="89"/>
      <c r="AO1160" s="89"/>
    </row>
    <row r="1161" spans="1:41" s="69" customFormat="1">
      <c r="A1161" s="1015"/>
      <c r="B1161" s="466"/>
      <c r="C1161" s="388"/>
      <c r="D1161" s="922" t="s">
        <v>317</v>
      </c>
      <c r="E1161" s="472"/>
      <c r="F1161" s="261"/>
      <c r="G1161" s="499"/>
      <c r="H1161" s="320"/>
      <c r="I1161" s="261"/>
      <c r="J1161" s="1166"/>
      <c r="K1161" s="1057"/>
      <c r="L1161" s="960"/>
      <c r="M1161" s="951"/>
      <c r="N1161" s="952"/>
      <c r="O1161" s="737"/>
      <c r="P1161" s="737"/>
      <c r="Q1161" s="737"/>
      <c r="R1161" s="960"/>
      <c r="S1161" s="951"/>
      <c r="T1161" s="952"/>
      <c r="U1161" s="960"/>
      <c r="V1161" s="951"/>
      <c r="W1161" s="952"/>
      <c r="X1161" s="960"/>
      <c r="Y1161" s="951"/>
      <c r="Z1161" s="952"/>
      <c r="AA1161" s="960"/>
      <c r="AB1161" s="951"/>
      <c r="AC1161" s="951"/>
      <c r="AD1161" s="951"/>
      <c r="AE1161" s="943"/>
      <c r="AF1161" s="944"/>
      <c r="AG1161" s="951"/>
      <c r="AH1161" s="951"/>
      <c r="AI1161" s="951"/>
      <c r="AJ1161" s="1003"/>
      <c r="AK1161" s="982"/>
      <c r="AM1161" s="440"/>
      <c r="AN1161" s="89"/>
      <c r="AO1161" s="89"/>
    </row>
    <row r="1162" spans="1:41" s="69" customFormat="1" ht="13.5" thickBot="1">
      <c r="A1162" s="1015"/>
      <c r="B1162" s="466"/>
      <c r="C1162" s="388"/>
      <c r="D1162" s="922" t="s">
        <v>318</v>
      </c>
      <c r="E1162" s="472"/>
      <c r="F1162" s="261"/>
      <c r="G1162" s="500" t="s">
        <v>319</v>
      </c>
      <c r="H1162" s="320"/>
      <c r="I1162" s="261"/>
      <c r="J1162" s="1166"/>
      <c r="K1162" s="1057"/>
      <c r="L1162" s="960"/>
      <c r="M1162" s="951"/>
      <c r="N1162" s="952"/>
      <c r="O1162" s="737"/>
      <c r="P1162" s="737"/>
      <c r="Q1162" s="737"/>
      <c r="R1162" s="960"/>
      <c r="S1162" s="951"/>
      <c r="T1162" s="952"/>
      <c r="U1162" s="960"/>
      <c r="V1162" s="951"/>
      <c r="W1162" s="952"/>
      <c r="X1162" s="960"/>
      <c r="Y1162" s="951"/>
      <c r="Z1162" s="952"/>
      <c r="AA1162" s="960"/>
      <c r="AB1162" s="951"/>
      <c r="AC1162" s="951"/>
      <c r="AD1162" s="951"/>
      <c r="AE1162" s="943"/>
      <c r="AF1162" s="944"/>
      <c r="AG1162" s="951"/>
      <c r="AH1162" s="951"/>
      <c r="AI1162" s="951"/>
      <c r="AJ1162" s="1003"/>
      <c r="AK1162" s="982"/>
      <c r="AM1162" s="440"/>
      <c r="AN1162" s="89"/>
      <c r="AO1162" s="89"/>
    </row>
    <row r="1163" spans="1:41" s="69" customFormat="1">
      <c r="A1163" s="1015"/>
      <c r="B1163" s="466"/>
      <c r="C1163" s="388"/>
      <c r="D1163" s="922" t="s">
        <v>793</v>
      </c>
      <c r="E1163" s="472"/>
      <c r="F1163" s="261"/>
      <c r="G1163" s="501"/>
      <c r="H1163" s="320"/>
      <c r="I1163" s="261"/>
      <c r="J1163" s="1166"/>
      <c r="K1163" s="1057"/>
      <c r="L1163" s="960"/>
      <c r="M1163" s="951"/>
      <c r="N1163" s="952"/>
      <c r="O1163" s="737"/>
      <c r="P1163" s="737"/>
      <c r="Q1163" s="737"/>
      <c r="R1163" s="960"/>
      <c r="S1163" s="951"/>
      <c r="T1163" s="952"/>
      <c r="U1163" s="960"/>
      <c r="V1163" s="951"/>
      <c r="W1163" s="952"/>
      <c r="X1163" s="960"/>
      <c r="Y1163" s="951"/>
      <c r="Z1163" s="952"/>
      <c r="AA1163" s="960"/>
      <c r="AB1163" s="951"/>
      <c r="AC1163" s="951"/>
      <c r="AD1163" s="951"/>
      <c r="AE1163" s="943"/>
      <c r="AF1163" s="944"/>
      <c r="AG1163" s="951"/>
      <c r="AH1163" s="951"/>
      <c r="AI1163" s="951"/>
      <c r="AJ1163" s="1003"/>
      <c r="AK1163" s="982"/>
      <c r="AM1163" s="440"/>
      <c r="AN1163" s="89"/>
      <c r="AO1163" s="89"/>
    </row>
    <row r="1164" spans="1:41" s="69" customFormat="1">
      <c r="A1164" s="1015"/>
      <c r="B1164" s="466"/>
      <c r="C1164" s="388"/>
      <c r="D1164" s="922" t="s">
        <v>794</v>
      </c>
      <c r="E1164" s="472"/>
      <c r="F1164" s="261"/>
      <c r="G1164" s="499"/>
      <c r="H1164" s="320"/>
      <c r="I1164" s="261"/>
      <c r="J1164" s="1166"/>
      <c r="K1164" s="1057"/>
      <c r="L1164" s="960"/>
      <c r="M1164" s="951"/>
      <c r="N1164" s="952"/>
      <c r="O1164" s="737"/>
      <c r="P1164" s="737"/>
      <c r="Q1164" s="737"/>
      <c r="R1164" s="960"/>
      <c r="S1164" s="951"/>
      <c r="T1164" s="952"/>
      <c r="U1164" s="960"/>
      <c r="V1164" s="951"/>
      <c r="W1164" s="952"/>
      <c r="X1164" s="960"/>
      <c r="Y1164" s="951"/>
      <c r="Z1164" s="952"/>
      <c r="AA1164" s="960"/>
      <c r="AB1164" s="951"/>
      <c r="AC1164" s="951"/>
      <c r="AD1164" s="951"/>
      <c r="AE1164" s="943"/>
      <c r="AF1164" s="944"/>
      <c r="AG1164" s="951"/>
      <c r="AH1164" s="951"/>
      <c r="AI1164" s="951"/>
      <c r="AJ1164" s="1003"/>
      <c r="AK1164" s="982"/>
      <c r="AM1164" s="440"/>
      <c r="AN1164" s="89"/>
      <c r="AO1164" s="89"/>
    </row>
    <row r="1165" spans="1:41" s="69" customFormat="1">
      <c r="A1165" s="1015"/>
      <c r="B1165" s="466"/>
      <c r="C1165" s="388"/>
      <c r="D1165" s="922" t="s">
        <v>795</v>
      </c>
      <c r="E1165" s="472"/>
      <c r="F1165" s="261"/>
      <c r="G1165" s="499"/>
      <c r="H1165" s="320"/>
      <c r="I1165" s="261"/>
      <c r="J1165" s="1166"/>
      <c r="K1165" s="1057"/>
      <c r="L1165" s="960"/>
      <c r="M1165" s="951"/>
      <c r="N1165" s="952"/>
      <c r="O1165" s="737"/>
      <c r="P1165" s="737"/>
      <c r="Q1165" s="737"/>
      <c r="R1165" s="960"/>
      <c r="S1165" s="951"/>
      <c r="T1165" s="952"/>
      <c r="U1165" s="960"/>
      <c r="V1165" s="951"/>
      <c r="W1165" s="952"/>
      <c r="X1165" s="960"/>
      <c r="Y1165" s="951"/>
      <c r="Z1165" s="952"/>
      <c r="AA1165" s="960"/>
      <c r="AB1165" s="951"/>
      <c r="AC1165" s="951"/>
      <c r="AD1165" s="951"/>
      <c r="AE1165" s="943"/>
      <c r="AF1165" s="944"/>
      <c r="AG1165" s="951"/>
      <c r="AH1165" s="951"/>
      <c r="AI1165" s="951"/>
      <c r="AJ1165" s="1003"/>
      <c r="AK1165" s="982"/>
      <c r="AM1165" s="440"/>
      <c r="AN1165" s="89"/>
      <c r="AO1165" s="89"/>
    </row>
    <row r="1166" spans="1:41" s="69" customFormat="1">
      <c r="A1166" s="1015"/>
      <c r="B1166" s="466"/>
      <c r="C1166" s="388"/>
      <c r="D1166" s="922" t="s">
        <v>796</v>
      </c>
      <c r="E1166" s="472"/>
      <c r="F1166" s="261"/>
      <c r="G1166" s="499"/>
      <c r="H1166" s="320"/>
      <c r="I1166" s="261"/>
      <c r="J1166" s="1166"/>
      <c r="K1166" s="1057"/>
      <c r="L1166" s="960"/>
      <c r="M1166" s="951"/>
      <c r="N1166" s="952"/>
      <c r="O1166" s="737"/>
      <c r="P1166" s="737"/>
      <c r="Q1166" s="737"/>
      <c r="R1166" s="960"/>
      <c r="S1166" s="951"/>
      <c r="T1166" s="952"/>
      <c r="U1166" s="960"/>
      <c r="V1166" s="951"/>
      <c r="W1166" s="952"/>
      <c r="X1166" s="960"/>
      <c r="Y1166" s="951"/>
      <c r="Z1166" s="952"/>
      <c r="AA1166" s="960"/>
      <c r="AB1166" s="951"/>
      <c r="AC1166" s="951"/>
      <c r="AD1166" s="951"/>
      <c r="AE1166" s="943"/>
      <c r="AF1166" s="944"/>
      <c r="AG1166" s="951"/>
      <c r="AH1166" s="951"/>
      <c r="AI1166" s="951"/>
      <c r="AJ1166" s="1003"/>
      <c r="AK1166" s="982"/>
      <c r="AM1166" s="440"/>
      <c r="AN1166" s="89"/>
      <c r="AO1166" s="89"/>
    </row>
    <row r="1167" spans="1:41" s="69" customFormat="1">
      <c r="A1167" s="1015"/>
      <c r="B1167" s="466"/>
      <c r="C1167" s="388"/>
      <c r="D1167" s="223" t="s">
        <v>814</v>
      </c>
      <c r="E1167" s="320" t="s">
        <v>64</v>
      </c>
      <c r="F1167" s="261"/>
      <c r="G1167" s="476">
        <v>6.66</v>
      </c>
      <c r="H1167" s="320" t="s">
        <v>64</v>
      </c>
      <c r="I1167" s="261"/>
      <c r="J1167" s="1166"/>
      <c r="K1167" s="1057"/>
      <c r="L1167" s="960"/>
      <c r="M1167" s="951"/>
      <c r="N1167" s="952"/>
      <c r="O1167" s="737"/>
      <c r="P1167" s="737"/>
      <c r="Q1167" s="737"/>
      <c r="R1167" s="960"/>
      <c r="S1167" s="951"/>
      <c r="T1167" s="952"/>
      <c r="U1167" s="960"/>
      <c r="V1167" s="951"/>
      <c r="W1167" s="952"/>
      <c r="X1167" s="960"/>
      <c r="Y1167" s="951"/>
      <c r="Z1167" s="952"/>
      <c r="AA1167" s="960"/>
      <c r="AB1167" s="951"/>
      <c r="AC1167" s="951"/>
      <c r="AD1167" s="951"/>
      <c r="AE1167" s="943"/>
      <c r="AF1167" s="944"/>
      <c r="AG1167" s="951"/>
      <c r="AH1167" s="951"/>
      <c r="AI1167" s="951"/>
      <c r="AJ1167" s="1003"/>
      <c r="AK1167" s="982"/>
      <c r="AM1167" s="440"/>
      <c r="AN1167" s="89"/>
      <c r="AO1167" s="89"/>
    </row>
    <row r="1168" spans="1:41" s="69" customFormat="1">
      <c r="A1168" s="1015"/>
      <c r="B1168" s="466"/>
      <c r="C1168" s="388"/>
      <c r="D1168" s="223" t="s">
        <v>815</v>
      </c>
      <c r="E1168" s="320" t="s">
        <v>64</v>
      </c>
      <c r="F1168" s="261"/>
      <c r="G1168" s="476">
        <v>66.599999999999994</v>
      </c>
      <c r="H1168" s="320" t="s">
        <v>64</v>
      </c>
      <c r="I1168" s="261"/>
      <c r="J1168" s="1166"/>
      <c r="K1168" s="1057"/>
      <c r="L1168" s="960"/>
      <c r="M1168" s="951"/>
      <c r="N1168" s="952"/>
      <c r="O1168" s="737"/>
      <c r="P1168" s="737"/>
      <c r="Q1168" s="737"/>
      <c r="R1168" s="960"/>
      <c r="S1168" s="951"/>
      <c r="T1168" s="952"/>
      <c r="U1168" s="960"/>
      <c r="V1168" s="951"/>
      <c r="W1168" s="952"/>
      <c r="X1168" s="960"/>
      <c r="Y1168" s="951"/>
      <c r="Z1168" s="952"/>
      <c r="AA1168" s="960"/>
      <c r="AB1168" s="951"/>
      <c r="AC1168" s="951"/>
      <c r="AD1168" s="951"/>
      <c r="AE1168" s="943"/>
      <c r="AF1168" s="944"/>
      <c r="AG1168" s="951"/>
      <c r="AH1168" s="951"/>
      <c r="AI1168" s="951"/>
      <c r="AJ1168" s="1003"/>
      <c r="AK1168" s="982"/>
      <c r="AM1168" s="440"/>
      <c r="AN1168" s="89"/>
      <c r="AO1168" s="89"/>
    </row>
    <row r="1169" spans="1:41" s="69" customFormat="1">
      <c r="A1169" s="1015"/>
      <c r="B1169" s="466"/>
      <c r="C1169" s="388"/>
      <c r="D1169" s="223" t="s">
        <v>816</v>
      </c>
      <c r="E1169" s="320" t="s">
        <v>64</v>
      </c>
      <c r="F1169" s="261"/>
      <c r="G1169" s="476">
        <v>666.66</v>
      </c>
      <c r="H1169" s="320" t="s">
        <v>64</v>
      </c>
      <c r="I1169" s="261"/>
      <c r="J1169" s="1166"/>
      <c r="K1169" s="1057"/>
      <c r="L1169" s="960"/>
      <c r="M1169" s="951"/>
      <c r="N1169" s="952"/>
      <c r="O1169" s="737"/>
      <c r="P1169" s="737"/>
      <c r="Q1169" s="737"/>
      <c r="R1169" s="960"/>
      <c r="S1169" s="951"/>
      <c r="T1169" s="952"/>
      <c r="U1169" s="960"/>
      <c r="V1169" s="951"/>
      <c r="W1169" s="952"/>
      <c r="X1169" s="960"/>
      <c r="Y1169" s="951"/>
      <c r="Z1169" s="952"/>
      <c r="AA1169" s="960"/>
      <c r="AB1169" s="951"/>
      <c r="AC1169" s="951"/>
      <c r="AD1169" s="951"/>
      <c r="AE1169" s="943"/>
      <c r="AF1169" s="944"/>
      <c r="AG1169" s="951"/>
      <c r="AH1169" s="951"/>
      <c r="AI1169" s="951"/>
      <c r="AJ1169" s="1003"/>
      <c r="AK1169" s="982"/>
      <c r="AM1169" s="440"/>
      <c r="AN1169" s="89"/>
      <c r="AO1169" s="89"/>
    </row>
    <row r="1170" spans="1:41" s="69" customFormat="1">
      <c r="A1170" s="1015"/>
      <c r="B1170" s="466"/>
      <c r="C1170" s="388"/>
      <c r="D1170" s="223" t="s">
        <v>820</v>
      </c>
      <c r="E1170" s="320" t="s">
        <v>64</v>
      </c>
      <c r="F1170" s="261"/>
      <c r="G1170" s="426">
        <v>2222.2199999999998</v>
      </c>
      <c r="H1170" s="320" t="s">
        <v>64</v>
      </c>
      <c r="I1170" s="261"/>
      <c r="J1170" s="1166"/>
      <c r="K1170" s="1057"/>
      <c r="L1170" s="960"/>
      <c r="M1170" s="951"/>
      <c r="N1170" s="952"/>
      <c r="O1170" s="737"/>
      <c r="P1170" s="737"/>
      <c r="Q1170" s="737"/>
      <c r="R1170" s="960"/>
      <c r="S1170" s="951"/>
      <c r="T1170" s="952"/>
      <c r="U1170" s="960"/>
      <c r="V1170" s="951"/>
      <c r="W1170" s="952"/>
      <c r="X1170" s="960"/>
      <c r="Y1170" s="951"/>
      <c r="Z1170" s="952"/>
      <c r="AA1170" s="960"/>
      <c r="AB1170" s="951"/>
      <c r="AC1170" s="951"/>
      <c r="AD1170" s="951"/>
      <c r="AE1170" s="943"/>
      <c r="AF1170" s="944"/>
      <c r="AG1170" s="951"/>
      <c r="AH1170" s="951"/>
      <c r="AI1170" s="951"/>
      <c r="AJ1170" s="1003"/>
      <c r="AK1170" s="982"/>
      <c r="AM1170" s="440"/>
      <c r="AN1170" s="89"/>
      <c r="AO1170" s="89"/>
    </row>
    <row r="1171" spans="1:41" s="69" customFormat="1">
      <c r="A1171" s="1015"/>
      <c r="B1171" s="466"/>
      <c r="C1171" s="388"/>
      <c r="D1171" s="223" t="s">
        <v>821</v>
      </c>
      <c r="E1171" s="320" t="s">
        <v>64</v>
      </c>
      <c r="F1171" s="261"/>
      <c r="G1171" s="433">
        <v>50554.97</v>
      </c>
      <c r="H1171" s="320" t="s">
        <v>64</v>
      </c>
      <c r="I1171" s="261"/>
      <c r="J1171" s="1166"/>
      <c r="K1171" s="1057"/>
      <c r="L1171" s="961"/>
      <c r="M1171" s="954"/>
      <c r="N1171" s="955"/>
      <c r="O1171" s="731"/>
      <c r="P1171" s="731"/>
      <c r="Q1171" s="731"/>
      <c r="R1171" s="961"/>
      <c r="S1171" s="954"/>
      <c r="T1171" s="955"/>
      <c r="U1171" s="961"/>
      <c r="V1171" s="954"/>
      <c r="W1171" s="955"/>
      <c r="X1171" s="961"/>
      <c r="Y1171" s="954"/>
      <c r="Z1171" s="955"/>
      <c r="AA1171" s="961"/>
      <c r="AB1171" s="954"/>
      <c r="AC1171" s="954"/>
      <c r="AD1171" s="954"/>
      <c r="AE1171" s="943"/>
      <c r="AF1171" s="944"/>
      <c r="AG1171" s="954"/>
      <c r="AH1171" s="954"/>
      <c r="AI1171" s="954"/>
      <c r="AJ1171" s="1003"/>
      <c r="AK1171" s="982"/>
      <c r="AM1171" s="440"/>
      <c r="AN1171" s="89"/>
      <c r="AO1171" s="89"/>
    </row>
    <row r="1172" spans="1:41" s="69" customFormat="1">
      <c r="A1172" s="1015"/>
      <c r="B1172" s="466"/>
      <c r="C1172" s="388"/>
      <c r="D1172" s="223" t="s">
        <v>822</v>
      </c>
      <c r="E1172" s="320" t="s">
        <v>64</v>
      </c>
      <c r="F1172" s="261"/>
      <c r="G1172" s="431">
        <v>1739.03</v>
      </c>
      <c r="H1172" s="320" t="s">
        <v>64</v>
      </c>
      <c r="I1172" s="261"/>
      <c r="J1172" s="1166"/>
      <c r="K1172" s="1057"/>
      <c r="L1172" s="966" t="s">
        <v>345</v>
      </c>
      <c r="M1172" s="948"/>
      <c r="N1172" s="949"/>
      <c r="O1172" s="739"/>
      <c r="P1172" s="739"/>
      <c r="Q1172" s="739"/>
      <c r="R1172" s="966" t="s">
        <v>345</v>
      </c>
      <c r="S1172" s="948"/>
      <c r="T1172" s="949"/>
      <c r="U1172" s="966" t="s">
        <v>345</v>
      </c>
      <c r="V1172" s="948"/>
      <c r="W1172" s="949"/>
      <c r="X1172" s="966" t="s">
        <v>345</v>
      </c>
      <c r="Y1172" s="948"/>
      <c r="Z1172" s="949"/>
      <c r="AA1172" s="966" t="s">
        <v>345</v>
      </c>
      <c r="AB1172" s="948"/>
      <c r="AC1172" s="948"/>
      <c r="AD1172" s="948"/>
      <c r="AE1172" s="943"/>
      <c r="AF1172" s="944"/>
      <c r="AG1172" s="948" t="s">
        <v>345</v>
      </c>
      <c r="AH1172" s="948"/>
      <c r="AI1172" s="948"/>
      <c r="AJ1172" s="1003"/>
      <c r="AK1172" s="982"/>
      <c r="AM1172" s="440"/>
      <c r="AN1172" s="89"/>
      <c r="AO1172" s="89"/>
    </row>
    <row r="1173" spans="1:41" s="69" customFormat="1">
      <c r="A1173" s="1015"/>
      <c r="B1173" s="466"/>
      <c r="C1173" s="388"/>
      <c r="D1173" s="223" t="s">
        <v>823</v>
      </c>
      <c r="E1173" s="320" t="s">
        <v>64</v>
      </c>
      <c r="F1173" s="261"/>
      <c r="G1173" s="431">
        <v>1739.03</v>
      </c>
      <c r="H1173" s="320" t="s">
        <v>64</v>
      </c>
      <c r="I1173" s="261"/>
      <c r="J1173" s="1166"/>
      <c r="K1173" s="1057"/>
      <c r="L1173" s="960"/>
      <c r="M1173" s="951"/>
      <c r="N1173" s="952"/>
      <c r="O1173" s="737"/>
      <c r="P1173" s="737"/>
      <c r="Q1173" s="737"/>
      <c r="R1173" s="960"/>
      <c r="S1173" s="951"/>
      <c r="T1173" s="952"/>
      <c r="U1173" s="960"/>
      <c r="V1173" s="951"/>
      <c r="W1173" s="952"/>
      <c r="X1173" s="960"/>
      <c r="Y1173" s="951"/>
      <c r="Z1173" s="952"/>
      <c r="AA1173" s="960"/>
      <c r="AB1173" s="951"/>
      <c r="AC1173" s="951"/>
      <c r="AD1173" s="951"/>
      <c r="AE1173" s="943"/>
      <c r="AF1173" s="944"/>
      <c r="AG1173" s="951"/>
      <c r="AH1173" s="951"/>
      <c r="AI1173" s="951"/>
      <c r="AJ1173" s="1003"/>
      <c r="AK1173" s="982"/>
      <c r="AM1173" s="440"/>
      <c r="AN1173" s="89"/>
      <c r="AO1173" s="89"/>
    </row>
    <row r="1174" spans="1:41" s="69" customFormat="1">
      <c r="A1174" s="1015"/>
      <c r="B1174" s="466"/>
      <c r="C1174" s="388"/>
      <c r="D1174" s="223" t="s">
        <v>825</v>
      </c>
      <c r="E1174" s="320" t="s">
        <v>64</v>
      </c>
      <c r="F1174" s="261"/>
      <c r="G1174" s="431">
        <v>72</v>
      </c>
      <c r="H1174" s="320" t="s">
        <v>64</v>
      </c>
      <c r="I1174" s="261"/>
      <c r="J1174" s="1166"/>
      <c r="K1174" s="1057"/>
      <c r="L1174" s="961"/>
      <c r="M1174" s="954"/>
      <c r="N1174" s="955"/>
      <c r="O1174" s="731"/>
      <c r="P1174" s="731"/>
      <c r="Q1174" s="731"/>
      <c r="R1174" s="961"/>
      <c r="S1174" s="954"/>
      <c r="T1174" s="955"/>
      <c r="U1174" s="961"/>
      <c r="V1174" s="954"/>
      <c r="W1174" s="955"/>
      <c r="X1174" s="961"/>
      <c r="Y1174" s="954"/>
      <c r="Z1174" s="955"/>
      <c r="AA1174" s="961"/>
      <c r="AB1174" s="954"/>
      <c r="AC1174" s="954"/>
      <c r="AD1174" s="954"/>
      <c r="AE1174" s="943"/>
      <c r="AF1174" s="944"/>
      <c r="AG1174" s="954"/>
      <c r="AH1174" s="954"/>
      <c r="AI1174" s="954"/>
      <c r="AJ1174" s="1003"/>
      <c r="AK1174" s="982"/>
      <c r="AM1174" s="440"/>
      <c r="AN1174" s="89"/>
      <c r="AO1174" s="89"/>
    </row>
    <row r="1175" spans="1:41" s="69" customFormat="1">
      <c r="A1175" s="1015"/>
      <c r="B1175" s="466"/>
      <c r="C1175" s="388"/>
      <c r="D1175" s="223" t="s">
        <v>826</v>
      </c>
      <c r="E1175" s="320" t="s">
        <v>64</v>
      </c>
      <c r="F1175" s="261"/>
      <c r="G1175" s="479">
        <v>7610.3359501100513</v>
      </c>
      <c r="H1175" s="320" t="s">
        <v>64</v>
      </c>
      <c r="I1175" s="261"/>
      <c r="J1175" s="1166"/>
      <c r="K1175" s="1057"/>
      <c r="L1175" s="1083" t="s">
        <v>322</v>
      </c>
      <c r="M1175" s="1084"/>
      <c r="N1175" s="1084"/>
      <c r="O1175" s="1084"/>
      <c r="P1175" s="1084"/>
      <c r="Q1175" s="1084"/>
      <c r="R1175" s="1084"/>
      <c r="S1175" s="1084"/>
      <c r="T1175" s="1085"/>
      <c r="U1175" s="1044" t="s">
        <v>322</v>
      </c>
      <c r="V1175" s="1045"/>
      <c r="W1175" s="1045"/>
      <c r="X1175" s="1045"/>
      <c r="Y1175" s="1045"/>
      <c r="Z1175" s="1045"/>
      <c r="AA1175" s="1045"/>
      <c r="AB1175" s="1045"/>
      <c r="AC1175" s="1045"/>
      <c r="AD1175" s="1045"/>
      <c r="AE1175" s="943"/>
      <c r="AF1175" s="944"/>
      <c r="AG1175" s="1045" t="s">
        <v>322</v>
      </c>
      <c r="AH1175" s="1045"/>
      <c r="AI1175" s="1045"/>
      <c r="AJ1175" s="1003"/>
      <c r="AK1175" s="982"/>
      <c r="AM1175" s="440"/>
      <c r="AN1175" s="89"/>
      <c r="AO1175" s="89"/>
    </row>
    <row r="1176" spans="1:41" s="69" customFormat="1">
      <c r="A1176" s="1015"/>
      <c r="B1176" s="466"/>
      <c r="C1176" s="388"/>
      <c r="D1176" s="223" t="s">
        <v>827</v>
      </c>
      <c r="E1176" s="320" t="s">
        <v>64</v>
      </c>
      <c r="F1176" s="261"/>
      <c r="G1176" s="479">
        <v>222.22</v>
      </c>
      <c r="H1176" s="320" t="s">
        <v>64</v>
      </c>
      <c r="I1176" s="261"/>
      <c r="J1176" s="1166"/>
      <c r="K1176" s="1057"/>
      <c r="L1176" s="966" t="s">
        <v>345</v>
      </c>
      <c r="M1176" s="948"/>
      <c r="N1176" s="949"/>
      <c r="O1176" s="739"/>
      <c r="P1176" s="739"/>
      <c r="Q1176" s="739"/>
      <c r="R1176" s="966" t="s">
        <v>345</v>
      </c>
      <c r="S1176" s="948"/>
      <c r="T1176" s="949"/>
      <c r="U1176" s="966" t="s">
        <v>345</v>
      </c>
      <c r="V1176" s="948"/>
      <c r="W1176" s="949"/>
      <c r="X1176" s="966" t="s">
        <v>345</v>
      </c>
      <c r="Y1176" s="948"/>
      <c r="Z1176" s="949"/>
      <c r="AA1176" s="966" t="s">
        <v>345</v>
      </c>
      <c r="AB1176" s="948"/>
      <c r="AC1176" s="948"/>
      <c r="AD1176" s="948"/>
      <c r="AE1176" s="943"/>
      <c r="AF1176" s="944"/>
      <c r="AG1176" s="948" t="s">
        <v>345</v>
      </c>
      <c r="AH1176" s="948"/>
      <c r="AI1176" s="948"/>
      <c r="AJ1176" s="1003"/>
      <c r="AK1176" s="982"/>
      <c r="AM1176" s="440"/>
      <c r="AN1176" s="89"/>
      <c r="AO1176" s="89"/>
    </row>
    <row r="1177" spans="1:41" s="69" customFormat="1">
      <c r="A1177" s="1015"/>
      <c r="B1177" s="466"/>
      <c r="C1177" s="388"/>
      <c r="D1177" s="223" t="s">
        <v>828</v>
      </c>
      <c r="E1177" s="320" t="s">
        <v>64</v>
      </c>
      <c r="F1177" s="261"/>
      <c r="G1177" s="479">
        <f>45*G1176</f>
        <v>9999.9</v>
      </c>
      <c r="H1177" s="320" t="s">
        <v>64</v>
      </c>
      <c r="I1177" s="261"/>
      <c r="J1177" s="1166"/>
      <c r="K1177" s="1057"/>
      <c r="L1177" s="960"/>
      <c r="M1177" s="951"/>
      <c r="N1177" s="952"/>
      <c r="O1177" s="737"/>
      <c r="P1177" s="737"/>
      <c r="Q1177" s="737"/>
      <c r="R1177" s="960"/>
      <c r="S1177" s="951"/>
      <c r="T1177" s="952"/>
      <c r="U1177" s="960"/>
      <c r="V1177" s="951"/>
      <c r="W1177" s="952"/>
      <c r="X1177" s="960"/>
      <c r="Y1177" s="951"/>
      <c r="Z1177" s="952"/>
      <c r="AA1177" s="960"/>
      <c r="AB1177" s="951"/>
      <c r="AC1177" s="951"/>
      <c r="AD1177" s="951"/>
      <c r="AE1177" s="943"/>
      <c r="AF1177" s="944"/>
      <c r="AG1177" s="951"/>
      <c r="AH1177" s="951"/>
      <c r="AI1177" s="951"/>
      <c r="AJ1177" s="1003"/>
      <c r="AK1177" s="982"/>
      <c r="AM1177" s="440"/>
      <c r="AN1177" s="89"/>
      <c r="AO1177" s="89"/>
    </row>
    <row r="1178" spans="1:41" s="69" customFormat="1">
      <c r="A1178" s="1015"/>
      <c r="B1178" s="466"/>
      <c r="C1178" s="388"/>
      <c r="D1178" s="223" t="s">
        <v>829</v>
      </c>
      <c r="E1178" s="320" t="s">
        <v>64</v>
      </c>
      <c r="F1178" s="261"/>
      <c r="G1178" s="479">
        <v>22.22</v>
      </c>
      <c r="H1178" s="320" t="s">
        <v>64</v>
      </c>
      <c r="I1178" s="261"/>
      <c r="J1178" s="1166"/>
      <c r="K1178" s="1057"/>
      <c r="L1178" s="960"/>
      <c r="M1178" s="951"/>
      <c r="N1178" s="952"/>
      <c r="O1178" s="737"/>
      <c r="P1178" s="737"/>
      <c r="Q1178" s="737"/>
      <c r="R1178" s="960"/>
      <c r="S1178" s="951"/>
      <c r="T1178" s="952"/>
      <c r="U1178" s="960"/>
      <c r="V1178" s="951"/>
      <c r="W1178" s="952"/>
      <c r="X1178" s="960"/>
      <c r="Y1178" s="951"/>
      <c r="Z1178" s="952"/>
      <c r="AA1178" s="960"/>
      <c r="AB1178" s="951"/>
      <c r="AC1178" s="951"/>
      <c r="AD1178" s="951"/>
      <c r="AE1178" s="943"/>
      <c r="AF1178" s="944"/>
      <c r="AG1178" s="951"/>
      <c r="AH1178" s="951"/>
      <c r="AI1178" s="951"/>
      <c r="AJ1178" s="1003"/>
      <c r="AK1178" s="982"/>
      <c r="AM1178" s="440"/>
      <c r="AN1178" s="89"/>
      <c r="AO1178" s="89"/>
    </row>
    <row r="1179" spans="1:41" s="69" customFormat="1">
      <c r="A1179" s="1015"/>
      <c r="B1179" s="466"/>
      <c r="C1179" s="388"/>
      <c r="D1179" s="223" t="s">
        <v>830</v>
      </c>
      <c r="E1179" s="320" t="s">
        <v>64</v>
      </c>
      <c r="F1179" s="261"/>
      <c r="G1179" s="479">
        <f>45*G1178</f>
        <v>999.9</v>
      </c>
      <c r="H1179" s="320" t="s">
        <v>64</v>
      </c>
      <c r="I1179" s="261"/>
      <c r="J1179" s="1166"/>
      <c r="K1179" s="1057"/>
      <c r="L1179" s="960"/>
      <c r="M1179" s="951"/>
      <c r="N1179" s="952"/>
      <c r="O1179" s="737"/>
      <c r="P1179" s="737"/>
      <c r="Q1179" s="737"/>
      <c r="R1179" s="960"/>
      <c r="S1179" s="951"/>
      <c r="T1179" s="952"/>
      <c r="U1179" s="960"/>
      <c r="V1179" s="951"/>
      <c r="W1179" s="952"/>
      <c r="X1179" s="960"/>
      <c r="Y1179" s="951"/>
      <c r="Z1179" s="952"/>
      <c r="AA1179" s="960"/>
      <c r="AB1179" s="951"/>
      <c r="AC1179" s="951"/>
      <c r="AD1179" s="951"/>
      <c r="AE1179" s="943"/>
      <c r="AF1179" s="944"/>
      <c r="AG1179" s="951"/>
      <c r="AH1179" s="951"/>
      <c r="AI1179" s="951"/>
      <c r="AJ1179" s="1003"/>
      <c r="AK1179" s="982"/>
      <c r="AM1179" s="440"/>
      <c r="AN1179" s="89"/>
      <c r="AO1179" s="89"/>
    </row>
    <row r="1180" spans="1:41" s="69" customFormat="1">
      <c r="A1180" s="1015"/>
      <c r="B1180" s="466"/>
      <c r="C1180" s="388"/>
      <c r="D1180" s="223" t="s">
        <v>831</v>
      </c>
      <c r="E1180" s="320" t="s">
        <v>64</v>
      </c>
      <c r="F1180" s="261"/>
      <c r="G1180" s="479">
        <v>999.9</v>
      </c>
      <c r="H1180" s="320" t="s">
        <v>64</v>
      </c>
      <c r="I1180" s="261"/>
      <c r="J1180" s="1166"/>
      <c r="K1180" s="1057"/>
      <c r="L1180" s="961"/>
      <c r="M1180" s="954"/>
      <c r="N1180" s="955"/>
      <c r="O1180" s="731"/>
      <c r="P1180" s="731"/>
      <c r="Q1180" s="731"/>
      <c r="R1180" s="961"/>
      <c r="S1180" s="954"/>
      <c r="T1180" s="955"/>
      <c r="U1180" s="961"/>
      <c r="V1180" s="954"/>
      <c r="W1180" s="955"/>
      <c r="X1180" s="961"/>
      <c r="Y1180" s="954"/>
      <c r="Z1180" s="955"/>
      <c r="AA1180" s="961"/>
      <c r="AB1180" s="954"/>
      <c r="AC1180" s="954"/>
      <c r="AD1180" s="954"/>
      <c r="AE1180" s="943"/>
      <c r="AF1180" s="944"/>
      <c r="AG1180" s="954"/>
      <c r="AH1180" s="954"/>
      <c r="AI1180" s="954"/>
      <c r="AJ1180" s="1003"/>
      <c r="AK1180" s="982"/>
      <c r="AM1180" s="440"/>
      <c r="AN1180" s="89"/>
      <c r="AO1180" s="89"/>
    </row>
    <row r="1181" spans="1:41" s="69" customFormat="1">
      <c r="A1181" s="1015"/>
      <c r="B1181" s="466"/>
      <c r="C1181" s="388"/>
      <c r="D1181" s="223" t="s">
        <v>833</v>
      </c>
      <c r="E1181" s="320" t="s">
        <v>64</v>
      </c>
      <c r="F1181" s="261"/>
      <c r="G1181" s="479">
        <v>666.66</v>
      </c>
      <c r="H1181" s="320" t="s">
        <v>64</v>
      </c>
      <c r="I1181" s="261"/>
      <c r="J1181" s="1166"/>
      <c r="K1181" s="1057"/>
      <c r="L1181" s="1095" t="s">
        <v>322</v>
      </c>
      <c r="M1181" s="1089"/>
      <c r="N1181" s="1089"/>
      <c r="O1181" s="1089"/>
      <c r="P1181" s="1089"/>
      <c r="Q1181" s="1089"/>
      <c r="R1181" s="1089"/>
      <c r="S1181" s="1089"/>
      <c r="T1181" s="1250"/>
      <c r="U1181" s="1095" t="s">
        <v>322</v>
      </c>
      <c r="V1181" s="1089"/>
      <c r="W1181" s="1089"/>
      <c r="X1181" s="1089"/>
      <c r="Y1181" s="1089"/>
      <c r="Z1181" s="1089"/>
      <c r="AA1181" s="1089"/>
      <c r="AB1181" s="1089"/>
      <c r="AC1181" s="1089"/>
      <c r="AD1181" s="1089"/>
      <c r="AE1181" s="943"/>
      <c r="AF1181" s="944"/>
      <c r="AG1181" s="1089" t="s">
        <v>322</v>
      </c>
      <c r="AH1181" s="1089"/>
      <c r="AI1181" s="1089"/>
      <c r="AJ1181" s="1003"/>
      <c r="AK1181" s="982"/>
      <c r="AM1181" s="440"/>
      <c r="AN1181" s="89"/>
      <c r="AO1181" s="89"/>
    </row>
    <row r="1182" spans="1:41" s="69" customFormat="1">
      <c r="A1182" s="1015"/>
      <c r="B1182" s="466"/>
      <c r="C1182" s="388"/>
      <c r="D1182" s="223" t="s">
        <v>834</v>
      </c>
      <c r="E1182" s="320" t="s">
        <v>64</v>
      </c>
      <c r="F1182" s="261"/>
      <c r="G1182" s="479">
        <v>6666.66</v>
      </c>
      <c r="H1182" s="320" t="s">
        <v>64</v>
      </c>
      <c r="I1182" s="261"/>
      <c r="J1182" s="1166"/>
      <c r="K1182" s="1057"/>
      <c r="L1182" s="1096"/>
      <c r="M1182" s="1092"/>
      <c r="N1182" s="1092"/>
      <c r="O1182" s="1092"/>
      <c r="P1182" s="1092"/>
      <c r="Q1182" s="1092"/>
      <c r="R1182" s="1092"/>
      <c r="S1182" s="1092"/>
      <c r="T1182" s="1251"/>
      <c r="U1182" s="1096"/>
      <c r="V1182" s="1092"/>
      <c r="W1182" s="1092"/>
      <c r="X1182" s="1092"/>
      <c r="Y1182" s="1092"/>
      <c r="Z1182" s="1092"/>
      <c r="AA1182" s="1092"/>
      <c r="AB1182" s="1092"/>
      <c r="AC1182" s="1092"/>
      <c r="AD1182" s="1092"/>
      <c r="AE1182" s="943"/>
      <c r="AF1182" s="944"/>
      <c r="AG1182" s="1092"/>
      <c r="AH1182" s="1092"/>
      <c r="AI1182" s="1092"/>
      <c r="AJ1182" s="1003"/>
      <c r="AK1182" s="982"/>
      <c r="AM1182" s="440"/>
      <c r="AN1182" s="89"/>
      <c r="AO1182" s="89"/>
    </row>
    <row r="1183" spans="1:41" s="69" customFormat="1">
      <c r="A1183" s="1015"/>
      <c r="B1183" s="466"/>
      <c r="C1183" s="388"/>
      <c r="D1183" s="223" t="s">
        <v>835</v>
      </c>
      <c r="E1183" s="320" t="s">
        <v>64</v>
      </c>
      <c r="F1183" s="261"/>
      <c r="G1183" s="479">
        <v>1333.32</v>
      </c>
      <c r="H1183" s="320" t="s">
        <v>64</v>
      </c>
      <c r="I1183" s="261"/>
      <c r="J1183" s="1166"/>
      <c r="K1183" s="1057"/>
      <c r="L1183" s="966" t="s">
        <v>345</v>
      </c>
      <c r="M1183" s="948"/>
      <c r="N1183" s="949"/>
      <c r="O1183" s="739"/>
      <c r="P1183" s="739"/>
      <c r="Q1183" s="739"/>
      <c r="R1183" s="966" t="s">
        <v>345</v>
      </c>
      <c r="S1183" s="948"/>
      <c r="T1183" s="949"/>
      <c r="U1183" s="966" t="s">
        <v>345</v>
      </c>
      <c r="V1183" s="948"/>
      <c r="W1183" s="949"/>
      <c r="X1183" s="966" t="s">
        <v>345</v>
      </c>
      <c r="Y1183" s="948"/>
      <c r="Z1183" s="949"/>
      <c r="AA1183" s="966" t="s">
        <v>345</v>
      </c>
      <c r="AB1183" s="948"/>
      <c r="AC1183" s="948"/>
      <c r="AD1183" s="948"/>
      <c r="AE1183" s="943"/>
      <c r="AF1183" s="944"/>
      <c r="AG1183" s="948" t="s">
        <v>345</v>
      </c>
      <c r="AH1183" s="948"/>
      <c r="AI1183" s="948"/>
      <c r="AJ1183" s="1003"/>
      <c r="AK1183" s="982"/>
      <c r="AM1183" s="440"/>
      <c r="AN1183" s="89"/>
      <c r="AO1183" s="89"/>
    </row>
    <row r="1184" spans="1:41" s="69" customFormat="1">
      <c r="A1184" s="1015"/>
      <c r="B1184" s="495"/>
      <c r="C1184" s="496"/>
      <c r="D1184" s="223" t="s">
        <v>836</v>
      </c>
      <c r="E1184" s="320" t="s">
        <v>64</v>
      </c>
      <c r="F1184" s="497"/>
      <c r="G1184" s="479">
        <v>666.66</v>
      </c>
      <c r="H1184" s="320" t="s">
        <v>64</v>
      </c>
      <c r="I1184" s="261"/>
      <c r="J1184" s="1166"/>
      <c r="K1184" s="1057"/>
      <c r="L1184" s="960"/>
      <c r="M1184" s="951"/>
      <c r="N1184" s="952"/>
      <c r="O1184" s="737"/>
      <c r="P1184" s="737"/>
      <c r="Q1184" s="737"/>
      <c r="R1184" s="960"/>
      <c r="S1184" s="951"/>
      <c r="T1184" s="952"/>
      <c r="U1184" s="960"/>
      <c r="V1184" s="951"/>
      <c r="W1184" s="952"/>
      <c r="X1184" s="960"/>
      <c r="Y1184" s="951"/>
      <c r="Z1184" s="952"/>
      <c r="AA1184" s="960"/>
      <c r="AB1184" s="951"/>
      <c r="AC1184" s="951"/>
      <c r="AD1184" s="951"/>
      <c r="AE1184" s="943"/>
      <c r="AF1184" s="944"/>
      <c r="AG1184" s="951"/>
      <c r="AH1184" s="951"/>
      <c r="AI1184" s="951"/>
      <c r="AJ1184" s="1003"/>
      <c r="AK1184" s="982"/>
      <c r="AM1184" s="440"/>
      <c r="AN1184" s="89"/>
      <c r="AO1184" s="89"/>
    </row>
    <row r="1185" spans="1:41" s="69" customFormat="1">
      <c r="A1185" s="1015"/>
      <c r="B1185" s="495"/>
      <c r="C1185" s="496"/>
      <c r="D1185" s="223" t="s">
        <v>837</v>
      </c>
      <c r="E1185" s="320" t="s">
        <v>64</v>
      </c>
      <c r="F1185" s="497"/>
      <c r="G1185" s="479">
        <f>2*666.66</f>
        <v>1333.32</v>
      </c>
      <c r="H1185" s="320" t="s">
        <v>64</v>
      </c>
      <c r="I1185" s="261"/>
      <c r="J1185" s="1166"/>
      <c r="K1185" s="1057"/>
      <c r="L1185" s="961"/>
      <c r="M1185" s="954"/>
      <c r="N1185" s="955"/>
      <c r="O1185" s="731"/>
      <c r="P1185" s="731"/>
      <c r="Q1185" s="731"/>
      <c r="R1185" s="961"/>
      <c r="S1185" s="954"/>
      <c r="T1185" s="955"/>
      <c r="U1185" s="961"/>
      <c r="V1185" s="954"/>
      <c r="W1185" s="955"/>
      <c r="X1185" s="961"/>
      <c r="Y1185" s="954"/>
      <c r="Z1185" s="955"/>
      <c r="AA1185" s="961"/>
      <c r="AB1185" s="954"/>
      <c r="AC1185" s="954"/>
      <c r="AD1185" s="954"/>
      <c r="AE1185" s="943"/>
      <c r="AF1185" s="944"/>
      <c r="AG1185" s="954"/>
      <c r="AH1185" s="954"/>
      <c r="AI1185" s="954"/>
      <c r="AJ1185" s="1003"/>
      <c r="AK1185" s="982"/>
      <c r="AM1185" s="440"/>
      <c r="AN1185" s="89"/>
      <c r="AO1185" s="89"/>
    </row>
    <row r="1186" spans="1:41" s="69" customFormat="1">
      <c r="A1186" s="1015"/>
      <c r="B1186" s="495"/>
      <c r="C1186" s="496"/>
      <c r="D1186" s="223" t="s">
        <v>838</v>
      </c>
      <c r="E1186" s="320" t="s">
        <v>64</v>
      </c>
      <c r="F1186" s="497"/>
      <c r="G1186" s="479">
        <v>2222.2199999999998</v>
      </c>
      <c r="H1186" s="320" t="s">
        <v>64</v>
      </c>
      <c r="I1186" s="261"/>
      <c r="J1186" s="1166"/>
      <c r="K1186" s="1057"/>
      <c r="L1186" s="1083" t="s">
        <v>322</v>
      </c>
      <c r="M1186" s="1084"/>
      <c r="N1186" s="1084"/>
      <c r="O1186" s="1084"/>
      <c r="P1186" s="1084"/>
      <c r="Q1186" s="1084"/>
      <c r="R1186" s="1084"/>
      <c r="S1186" s="1084"/>
      <c r="T1186" s="1085"/>
      <c r="U1186" s="1044" t="s">
        <v>322</v>
      </c>
      <c r="V1186" s="1045"/>
      <c r="W1186" s="1045"/>
      <c r="X1186" s="1045"/>
      <c r="Y1186" s="1045"/>
      <c r="Z1186" s="1045"/>
      <c r="AA1186" s="1045"/>
      <c r="AB1186" s="1045"/>
      <c r="AC1186" s="1045"/>
      <c r="AD1186" s="1045"/>
      <c r="AE1186" s="943"/>
      <c r="AF1186" s="944"/>
      <c r="AG1186" s="1045" t="s">
        <v>322</v>
      </c>
      <c r="AH1186" s="1045"/>
      <c r="AI1186" s="1045"/>
      <c r="AJ1186" s="1003"/>
      <c r="AK1186" s="982"/>
      <c r="AM1186" s="440"/>
      <c r="AN1186" s="89"/>
      <c r="AO1186" s="89"/>
    </row>
    <row r="1187" spans="1:41" s="69" customFormat="1">
      <c r="A1187" s="1015"/>
      <c r="B1187" s="495"/>
      <c r="C1187" s="496"/>
      <c r="D1187" s="223" t="s">
        <v>839</v>
      </c>
      <c r="E1187" s="320" t="s">
        <v>64</v>
      </c>
      <c r="F1187" s="497"/>
      <c r="G1187" s="479">
        <v>444.44</v>
      </c>
      <c r="H1187" s="320" t="s">
        <v>64</v>
      </c>
      <c r="I1187" s="261"/>
      <c r="J1187" s="1166"/>
      <c r="K1187" s="1057"/>
      <c r="L1187" s="966" t="s">
        <v>345</v>
      </c>
      <c r="M1187" s="948"/>
      <c r="N1187" s="949"/>
      <c r="O1187" s="739"/>
      <c r="P1187" s="739"/>
      <c r="Q1187" s="739"/>
      <c r="R1187" s="966" t="s">
        <v>345</v>
      </c>
      <c r="S1187" s="948"/>
      <c r="T1187" s="949"/>
      <c r="U1187" s="966" t="s">
        <v>345</v>
      </c>
      <c r="V1187" s="948"/>
      <c r="W1187" s="949"/>
      <c r="X1187" s="966" t="s">
        <v>345</v>
      </c>
      <c r="Y1187" s="948"/>
      <c r="Z1187" s="949"/>
      <c r="AA1187" s="966" t="s">
        <v>345</v>
      </c>
      <c r="AB1187" s="948"/>
      <c r="AC1187" s="948"/>
      <c r="AD1187" s="948"/>
      <c r="AE1187" s="943"/>
      <c r="AF1187" s="944"/>
      <c r="AG1187" s="948" t="s">
        <v>345</v>
      </c>
      <c r="AH1187" s="948"/>
      <c r="AI1187" s="948"/>
      <c r="AJ1187" s="1003"/>
      <c r="AK1187" s="982"/>
      <c r="AM1187" s="440"/>
      <c r="AN1187" s="89"/>
      <c r="AO1187" s="89"/>
    </row>
    <row r="1188" spans="1:41" s="69" customFormat="1">
      <c r="A1188" s="1015"/>
      <c r="B1188" s="495"/>
      <c r="C1188" s="496"/>
      <c r="D1188" s="223" t="s">
        <v>840</v>
      </c>
      <c r="E1188" s="320" t="s">
        <v>64</v>
      </c>
      <c r="F1188" s="497"/>
      <c r="G1188" s="479">
        <v>222.22</v>
      </c>
      <c r="H1188" s="320" t="s">
        <v>64</v>
      </c>
      <c r="I1188" s="261"/>
      <c r="J1188" s="1166"/>
      <c r="K1188" s="1057"/>
      <c r="L1188" s="960"/>
      <c r="M1188" s="951"/>
      <c r="N1188" s="952"/>
      <c r="O1188" s="737"/>
      <c r="P1188" s="737"/>
      <c r="Q1188" s="737"/>
      <c r="R1188" s="960"/>
      <c r="S1188" s="951"/>
      <c r="T1188" s="952"/>
      <c r="U1188" s="960"/>
      <c r="V1188" s="951"/>
      <c r="W1188" s="952"/>
      <c r="X1188" s="960"/>
      <c r="Y1188" s="951"/>
      <c r="Z1188" s="952"/>
      <c r="AA1188" s="960"/>
      <c r="AB1188" s="951"/>
      <c r="AC1188" s="951"/>
      <c r="AD1188" s="951"/>
      <c r="AE1188" s="943"/>
      <c r="AF1188" s="944"/>
      <c r="AG1188" s="951"/>
      <c r="AH1188" s="951"/>
      <c r="AI1188" s="951"/>
      <c r="AJ1188" s="1003"/>
      <c r="AK1188" s="982"/>
      <c r="AM1188" s="440"/>
      <c r="AN1188" s="89"/>
      <c r="AO1188" s="89"/>
    </row>
    <row r="1189" spans="1:41" s="69" customFormat="1" ht="13.5" thickBot="1">
      <c r="A1189" s="1016"/>
      <c r="B1189" s="467"/>
      <c r="C1189" s="390"/>
      <c r="D1189" s="224" t="s">
        <v>841</v>
      </c>
      <c r="E1189" s="226" t="s">
        <v>64</v>
      </c>
      <c r="F1189" s="324"/>
      <c r="G1189" s="479">
        <v>444.44</v>
      </c>
      <c r="H1189" s="226" t="s">
        <v>64</v>
      </c>
      <c r="I1189" s="261"/>
      <c r="J1189" s="1168"/>
      <c r="K1189" s="1058"/>
      <c r="L1189" s="1086"/>
      <c r="M1189" s="973"/>
      <c r="N1189" s="1087"/>
      <c r="O1189" s="738"/>
      <c r="P1189" s="738"/>
      <c r="Q1189" s="738"/>
      <c r="R1189" s="1086"/>
      <c r="S1189" s="973"/>
      <c r="T1189" s="1087"/>
      <c r="U1189" s="1086"/>
      <c r="V1189" s="973"/>
      <c r="W1189" s="1087"/>
      <c r="X1189" s="1086"/>
      <c r="Y1189" s="973"/>
      <c r="Z1189" s="1087"/>
      <c r="AA1189" s="1086"/>
      <c r="AB1189" s="973"/>
      <c r="AC1189" s="973"/>
      <c r="AD1189" s="973"/>
      <c r="AE1189" s="945"/>
      <c r="AF1189" s="946"/>
      <c r="AG1189" s="954"/>
      <c r="AH1189" s="954"/>
      <c r="AI1189" s="954"/>
      <c r="AJ1189" s="1004"/>
      <c r="AK1189" s="983"/>
      <c r="AM1189" s="440"/>
      <c r="AN1189" s="89"/>
      <c r="AO1189" s="89"/>
    </row>
    <row r="1190" spans="1:41" s="69" customFormat="1">
      <c r="A1190" s="66"/>
      <c r="B1190" s="66"/>
      <c r="C1190" s="67"/>
      <c r="D1190" s="128"/>
      <c r="E1190" s="128"/>
      <c r="F1190" s="128"/>
      <c r="G1190" s="59"/>
      <c r="H1190" s="59"/>
      <c r="I1190" s="59"/>
      <c r="J1190" s="128"/>
      <c r="K1190" s="128"/>
      <c r="L1190" s="61"/>
      <c r="M1190" s="60"/>
      <c r="N1190" s="61"/>
      <c r="O1190" s="61"/>
      <c r="P1190" s="61"/>
      <c r="Q1190" s="61"/>
      <c r="R1190" s="160"/>
      <c r="S1190" s="61"/>
      <c r="T1190" s="160"/>
      <c r="U1190" s="61"/>
      <c r="V1190" s="61"/>
      <c r="W1190" s="61"/>
      <c r="X1190" s="151"/>
      <c r="Y1190" s="60"/>
      <c r="Z1190" s="151"/>
      <c r="AA1190" s="60"/>
      <c r="AB1190" s="60"/>
      <c r="AC1190" s="60"/>
      <c r="AD1190" s="60"/>
      <c r="AE1190" s="60"/>
      <c r="AF1190" s="60"/>
      <c r="AG1190" s="60"/>
      <c r="AH1190" s="151"/>
      <c r="AI1190" s="151"/>
      <c r="AJ1190" s="60"/>
      <c r="AM1190" s="850"/>
      <c r="AN1190" s="128"/>
      <c r="AO1190" s="106"/>
    </row>
    <row r="1191" spans="1:41" s="144" customFormat="1">
      <c r="A1191" s="139"/>
      <c r="B1191" s="139"/>
      <c r="C1191" s="140"/>
      <c r="D1191" s="141"/>
      <c r="E1191" s="141"/>
      <c r="F1191" s="141"/>
      <c r="G1191" s="142"/>
      <c r="H1191" s="142"/>
      <c r="I1191" s="142"/>
      <c r="J1191" s="141"/>
      <c r="K1191" s="141"/>
      <c r="L1191" s="143"/>
      <c r="M1191" s="137"/>
      <c r="N1191" s="143"/>
      <c r="O1191" s="143"/>
      <c r="P1191" s="143"/>
      <c r="Q1191" s="143"/>
      <c r="R1191" s="169"/>
      <c r="S1191" s="143"/>
      <c r="T1191" s="169"/>
      <c r="U1191" s="143"/>
      <c r="V1191" s="143"/>
      <c r="W1191" s="143"/>
      <c r="X1191" s="155"/>
      <c r="Y1191" s="137"/>
      <c r="Z1191" s="155"/>
      <c r="AA1191" s="137"/>
      <c r="AB1191" s="137"/>
      <c r="AC1191" s="137"/>
      <c r="AD1191" s="137"/>
      <c r="AE1191" s="137"/>
      <c r="AF1191" s="137"/>
      <c r="AG1191" s="137"/>
      <c r="AH1191" s="155"/>
      <c r="AI1191" s="155"/>
      <c r="AJ1191" s="137"/>
      <c r="AL1191" s="132"/>
      <c r="AM1191" s="851"/>
      <c r="AN1191" s="141"/>
      <c r="AO1191" s="145"/>
    </row>
    <row r="1192" spans="1:41" s="69" customFormat="1" ht="13.5" thickBot="1">
      <c r="A1192" s="66"/>
      <c r="B1192" s="70"/>
      <c r="C1192" s="71"/>
      <c r="D1192" s="63"/>
      <c r="E1192" s="63"/>
      <c r="F1192" s="63"/>
      <c r="G1192" s="62"/>
      <c r="H1192" s="62"/>
      <c r="I1192" s="62"/>
      <c r="J1192" s="63"/>
      <c r="K1192" s="63"/>
      <c r="L1192" s="65"/>
      <c r="M1192" s="65"/>
      <c r="N1192" s="65"/>
      <c r="O1192" s="65"/>
      <c r="P1192" s="65"/>
      <c r="Q1192" s="65"/>
      <c r="R1192" s="168"/>
      <c r="S1192" s="65"/>
      <c r="T1192" s="168"/>
      <c r="U1192" s="65"/>
      <c r="V1192" s="65"/>
      <c r="W1192" s="65"/>
      <c r="X1192" s="168"/>
      <c r="Y1192" s="65"/>
      <c r="Z1192" s="168"/>
      <c r="AA1192" s="65"/>
      <c r="AB1192" s="65"/>
      <c r="AC1192" s="65"/>
      <c r="AD1192" s="65"/>
      <c r="AE1192" s="65"/>
      <c r="AF1192" s="65"/>
      <c r="AG1192" s="65"/>
      <c r="AH1192" s="168"/>
      <c r="AI1192" s="168"/>
      <c r="AJ1192" s="510"/>
      <c r="AK1192" s="201"/>
      <c r="AM1192" s="440"/>
      <c r="AN1192" s="90"/>
      <c r="AO1192" s="128"/>
    </row>
    <row r="1193" spans="1:41" s="69" customFormat="1" ht="15.75" customHeight="1">
      <c r="A1193" s="1014" t="s">
        <v>333</v>
      </c>
      <c r="B1193" s="465" t="s">
        <v>151</v>
      </c>
      <c r="C1193" s="386" t="s">
        <v>151</v>
      </c>
      <c r="D1193" s="460" t="s">
        <v>285</v>
      </c>
      <c r="E1193" s="472" t="s">
        <v>306</v>
      </c>
      <c r="F1193" s="323"/>
      <c r="G1193" s="433"/>
      <c r="H1193" s="225"/>
      <c r="I1193" s="323"/>
      <c r="J1193" s="1164" t="s">
        <v>325</v>
      </c>
      <c r="K1193" s="1157" t="s">
        <v>499</v>
      </c>
      <c r="L1193" s="957" t="s">
        <v>335</v>
      </c>
      <c r="M1193" s="958"/>
      <c r="N1193" s="959"/>
      <c r="O1193" s="730"/>
      <c r="P1193" s="730"/>
      <c r="Q1193" s="730"/>
      <c r="R1193" s="957" t="s">
        <v>335</v>
      </c>
      <c r="S1193" s="958"/>
      <c r="T1193" s="959"/>
      <c r="U1193" s="957" t="s">
        <v>335</v>
      </c>
      <c r="V1193" s="958"/>
      <c r="W1193" s="959"/>
      <c r="X1193" s="957" t="s">
        <v>335</v>
      </c>
      <c r="Y1193" s="958"/>
      <c r="Z1193" s="959"/>
      <c r="AA1193" s="957" t="s">
        <v>335</v>
      </c>
      <c r="AB1193" s="958"/>
      <c r="AC1193" s="958"/>
      <c r="AD1193" s="962"/>
      <c r="AE1193" s="941" t="s">
        <v>19</v>
      </c>
      <c r="AF1193" s="942"/>
      <c r="AG1193" s="957" t="s">
        <v>335</v>
      </c>
      <c r="AH1193" s="958"/>
      <c r="AI1193" s="959"/>
      <c r="AJ1193" s="975">
        <v>46153</v>
      </c>
      <c r="AK1193" s="981">
        <f>SUM(AI1193:AI1218)</f>
        <v>3695.682852658379</v>
      </c>
      <c r="AL1193" s="10"/>
      <c r="AM1193" s="440"/>
      <c r="AN1193" s="89"/>
      <c r="AO1193" s="89"/>
    </row>
    <row r="1194" spans="1:41" s="69" customFormat="1" ht="15.75" customHeight="1">
      <c r="A1194" s="1015"/>
      <c r="B1194" s="466"/>
      <c r="C1194" s="388"/>
      <c r="D1194" s="223" t="s">
        <v>809</v>
      </c>
      <c r="E1194" s="472" t="s">
        <v>307</v>
      </c>
      <c r="F1194" s="261"/>
      <c r="G1194" s="431">
        <v>1380000</v>
      </c>
      <c r="H1194" s="320" t="s">
        <v>221</v>
      </c>
      <c r="I1194" s="261"/>
      <c r="J1194" s="1164"/>
      <c r="K1194" s="1158"/>
      <c r="L1194" s="960"/>
      <c r="M1194" s="951"/>
      <c r="N1194" s="952"/>
      <c r="O1194" s="737"/>
      <c r="P1194" s="737"/>
      <c r="Q1194" s="737"/>
      <c r="R1194" s="960"/>
      <c r="S1194" s="951"/>
      <c r="T1194" s="952"/>
      <c r="U1194" s="960"/>
      <c r="V1194" s="951"/>
      <c r="W1194" s="952"/>
      <c r="X1194" s="960"/>
      <c r="Y1194" s="951"/>
      <c r="Z1194" s="952"/>
      <c r="AA1194" s="960"/>
      <c r="AB1194" s="951"/>
      <c r="AC1194" s="951"/>
      <c r="AD1194" s="963"/>
      <c r="AE1194" s="943"/>
      <c r="AF1194" s="944"/>
      <c r="AG1194" s="960"/>
      <c r="AH1194" s="951"/>
      <c r="AI1194" s="952"/>
      <c r="AJ1194" s="1003"/>
      <c r="AK1194" s="982"/>
      <c r="AL1194" s="10"/>
      <c r="AM1194" s="440"/>
      <c r="AN1194" s="89"/>
      <c r="AO1194" s="89"/>
    </row>
    <row r="1195" spans="1:41" s="69" customFormat="1" ht="15.75" customHeight="1">
      <c r="A1195" s="1015"/>
      <c r="B1195" s="466"/>
      <c r="C1195" s="388"/>
      <c r="D1195" s="223" t="s">
        <v>810</v>
      </c>
      <c r="E1195" s="472" t="s">
        <v>307</v>
      </c>
      <c r="F1195" s="261"/>
      <c r="G1195" s="431">
        <v>20000</v>
      </c>
      <c r="H1195" s="320" t="s">
        <v>221</v>
      </c>
      <c r="I1195" s="261"/>
      <c r="J1195" s="1164"/>
      <c r="K1195" s="1158"/>
      <c r="L1195" s="960"/>
      <c r="M1195" s="951"/>
      <c r="N1195" s="952"/>
      <c r="O1195" s="737"/>
      <c r="P1195" s="737"/>
      <c r="Q1195" s="737"/>
      <c r="R1195" s="960"/>
      <c r="S1195" s="951"/>
      <c r="T1195" s="952"/>
      <c r="U1195" s="960"/>
      <c r="V1195" s="951"/>
      <c r="W1195" s="952"/>
      <c r="X1195" s="960"/>
      <c r="Y1195" s="951"/>
      <c r="Z1195" s="952"/>
      <c r="AA1195" s="960"/>
      <c r="AB1195" s="951"/>
      <c r="AC1195" s="951"/>
      <c r="AD1195" s="963"/>
      <c r="AE1195" s="943"/>
      <c r="AF1195" s="944"/>
      <c r="AG1195" s="960"/>
      <c r="AH1195" s="951"/>
      <c r="AI1195" s="952"/>
      <c r="AJ1195" s="1003"/>
      <c r="AK1195" s="982"/>
      <c r="AL1195" s="10"/>
      <c r="AM1195" s="440"/>
      <c r="AN1195" s="89"/>
      <c r="AO1195" s="89"/>
    </row>
    <row r="1196" spans="1:41" s="69" customFormat="1" ht="15.75" customHeight="1">
      <c r="A1196" s="1015"/>
      <c r="B1196" s="466"/>
      <c r="C1196" s="388"/>
      <c r="D1196" s="223" t="s">
        <v>811</v>
      </c>
      <c r="E1196" s="472" t="s">
        <v>308</v>
      </c>
      <c r="F1196" s="261"/>
      <c r="G1196" s="431"/>
      <c r="H1196" s="320"/>
      <c r="I1196" s="261"/>
      <c r="J1196" s="1164"/>
      <c r="K1196" s="1158"/>
      <c r="L1196" s="960"/>
      <c r="M1196" s="951"/>
      <c r="N1196" s="952"/>
      <c r="O1196" s="737"/>
      <c r="P1196" s="737"/>
      <c r="Q1196" s="737"/>
      <c r="R1196" s="960"/>
      <c r="S1196" s="951"/>
      <c r="T1196" s="952"/>
      <c r="U1196" s="960"/>
      <c r="V1196" s="951"/>
      <c r="W1196" s="952"/>
      <c r="X1196" s="960"/>
      <c r="Y1196" s="951"/>
      <c r="Z1196" s="952"/>
      <c r="AA1196" s="960"/>
      <c r="AB1196" s="951"/>
      <c r="AC1196" s="951"/>
      <c r="AD1196" s="963"/>
      <c r="AE1196" s="943"/>
      <c r="AF1196" s="944"/>
      <c r="AG1196" s="960"/>
      <c r="AH1196" s="951"/>
      <c r="AI1196" s="952"/>
      <c r="AJ1196" s="1003"/>
      <c r="AK1196" s="982"/>
      <c r="AL1196" s="10"/>
      <c r="AM1196" s="440"/>
      <c r="AN1196" s="89"/>
      <c r="AO1196" s="89"/>
    </row>
    <row r="1197" spans="1:41" s="69" customFormat="1" ht="15.75" customHeight="1">
      <c r="A1197" s="1015"/>
      <c r="B1197" s="466"/>
      <c r="C1197" s="388"/>
      <c r="D1197" s="223" t="s">
        <v>812</v>
      </c>
      <c r="E1197" s="472" t="s">
        <v>308</v>
      </c>
      <c r="F1197" s="261"/>
      <c r="G1197" s="431"/>
      <c r="H1197" s="320"/>
      <c r="I1197" s="261"/>
      <c r="J1197" s="1164"/>
      <c r="K1197" s="1158"/>
      <c r="L1197" s="960"/>
      <c r="M1197" s="951"/>
      <c r="N1197" s="952"/>
      <c r="O1197" s="737"/>
      <c r="P1197" s="737"/>
      <c r="Q1197" s="737"/>
      <c r="R1197" s="960"/>
      <c r="S1197" s="951"/>
      <c r="T1197" s="952"/>
      <c r="U1197" s="960"/>
      <c r="V1197" s="951"/>
      <c r="W1197" s="952"/>
      <c r="X1197" s="960"/>
      <c r="Y1197" s="951"/>
      <c r="Z1197" s="952"/>
      <c r="AA1197" s="960"/>
      <c r="AB1197" s="951"/>
      <c r="AC1197" s="951"/>
      <c r="AD1197" s="963"/>
      <c r="AE1197" s="943"/>
      <c r="AF1197" s="944"/>
      <c r="AG1197" s="960"/>
      <c r="AH1197" s="951"/>
      <c r="AI1197" s="952"/>
      <c r="AJ1197" s="1003"/>
      <c r="AK1197" s="982"/>
      <c r="AL1197" s="10"/>
      <c r="AM1197" s="440"/>
      <c r="AN1197" s="89"/>
      <c r="AO1197" s="89"/>
    </row>
    <row r="1198" spans="1:41" s="69" customFormat="1" ht="15.75" customHeight="1">
      <c r="A1198" s="1015"/>
      <c r="B1198" s="466"/>
      <c r="C1198" s="388"/>
      <c r="D1198" s="223" t="s">
        <v>813</v>
      </c>
      <c r="E1198" s="472" t="s">
        <v>308</v>
      </c>
      <c r="F1198" s="261"/>
      <c r="G1198" s="431"/>
      <c r="H1198" s="320"/>
      <c r="I1198" s="261"/>
      <c r="J1198" s="1164"/>
      <c r="K1198" s="1158"/>
      <c r="L1198" s="960"/>
      <c r="M1198" s="951"/>
      <c r="N1198" s="952"/>
      <c r="O1198" s="737"/>
      <c r="P1198" s="737"/>
      <c r="Q1198" s="737"/>
      <c r="R1198" s="960"/>
      <c r="S1198" s="951"/>
      <c r="T1198" s="952"/>
      <c r="U1198" s="960"/>
      <c r="V1198" s="951"/>
      <c r="W1198" s="952"/>
      <c r="X1198" s="960"/>
      <c r="Y1198" s="951"/>
      <c r="Z1198" s="952"/>
      <c r="AA1198" s="960"/>
      <c r="AB1198" s="951"/>
      <c r="AC1198" s="951"/>
      <c r="AD1198" s="963"/>
      <c r="AE1198" s="943"/>
      <c r="AF1198" s="944"/>
      <c r="AG1198" s="960"/>
      <c r="AH1198" s="951"/>
      <c r="AI1198" s="952"/>
      <c r="AJ1198" s="1003"/>
      <c r="AK1198" s="982"/>
      <c r="AL1198" s="10"/>
      <c r="AM1198" s="440"/>
      <c r="AN1198" s="89"/>
      <c r="AO1198" s="89"/>
    </row>
    <row r="1199" spans="1:41" s="69" customFormat="1" ht="15.75" customHeight="1">
      <c r="A1199" s="1015"/>
      <c r="B1199" s="466"/>
      <c r="C1199" s="388"/>
      <c r="D1199" s="223" t="s">
        <v>814</v>
      </c>
      <c r="E1199" s="472" t="s">
        <v>308</v>
      </c>
      <c r="F1199" s="261"/>
      <c r="G1199" s="431"/>
      <c r="H1199" s="320"/>
      <c r="I1199" s="261"/>
      <c r="J1199" s="1164"/>
      <c r="K1199" s="1158"/>
      <c r="L1199" s="960"/>
      <c r="M1199" s="951"/>
      <c r="N1199" s="952"/>
      <c r="O1199" s="737"/>
      <c r="P1199" s="737"/>
      <c r="Q1199" s="737"/>
      <c r="R1199" s="960"/>
      <c r="S1199" s="951"/>
      <c r="T1199" s="952"/>
      <c r="U1199" s="960"/>
      <c r="V1199" s="951"/>
      <c r="W1199" s="952"/>
      <c r="X1199" s="960"/>
      <c r="Y1199" s="951"/>
      <c r="Z1199" s="952"/>
      <c r="AA1199" s="960"/>
      <c r="AB1199" s="951"/>
      <c r="AC1199" s="951"/>
      <c r="AD1199" s="963"/>
      <c r="AE1199" s="943"/>
      <c r="AF1199" s="944"/>
      <c r="AG1199" s="960"/>
      <c r="AH1199" s="951"/>
      <c r="AI1199" s="952"/>
      <c r="AJ1199" s="1003"/>
      <c r="AK1199" s="982"/>
      <c r="AL1199" s="10"/>
      <c r="AM1199" s="440"/>
      <c r="AN1199" s="89"/>
      <c r="AO1199" s="89"/>
    </row>
    <row r="1200" spans="1:41" s="69" customFormat="1" ht="15.75" customHeight="1">
      <c r="A1200" s="1015"/>
      <c r="B1200" s="466"/>
      <c r="C1200" s="388"/>
      <c r="D1200" s="223" t="s">
        <v>815</v>
      </c>
      <c r="E1200" s="320" t="s">
        <v>64</v>
      </c>
      <c r="F1200" s="261"/>
      <c r="G1200" s="431"/>
      <c r="H1200" s="320" t="s">
        <v>64</v>
      </c>
      <c r="I1200" s="261"/>
      <c r="J1200" s="1164"/>
      <c r="K1200" s="1158"/>
      <c r="L1200" s="960"/>
      <c r="M1200" s="951"/>
      <c r="N1200" s="952"/>
      <c r="O1200" s="737"/>
      <c r="P1200" s="737"/>
      <c r="Q1200" s="737"/>
      <c r="R1200" s="960"/>
      <c r="S1200" s="951"/>
      <c r="T1200" s="952"/>
      <c r="U1200" s="960"/>
      <c r="V1200" s="951"/>
      <c r="W1200" s="952"/>
      <c r="X1200" s="960"/>
      <c r="Y1200" s="951"/>
      <c r="Z1200" s="952"/>
      <c r="AA1200" s="960"/>
      <c r="AB1200" s="951"/>
      <c r="AC1200" s="951"/>
      <c r="AD1200" s="963"/>
      <c r="AE1200" s="943"/>
      <c r="AF1200" s="944"/>
      <c r="AG1200" s="960"/>
      <c r="AH1200" s="951"/>
      <c r="AI1200" s="952"/>
      <c r="AJ1200" s="1003"/>
      <c r="AK1200" s="982"/>
      <c r="AL1200" s="10"/>
      <c r="AM1200" s="440"/>
      <c r="AN1200" s="89"/>
      <c r="AO1200" s="89"/>
    </row>
    <row r="1201" spans="1:41" s="69" customFormat="1" ht="15.75" customHeight="1">
      <c r="A1201" s="1015"/>
      <c r="B1201" s="466"/>
      <c r="C1201" s="388"/>
      <c r="D1201" s="223" t="s">
        <v>816</v>
      </c>
      <c r="E1201" s="320" t="s">
        <v>64</v>
      </c>
      <c r="F1201" s="261"/>
      <c r="G1201" s="426">
        <v>22182.22</v>
      </c>
      <c r="H1201" s="320" t="s">
        <v>64</v>
      </c>
      <c r="I1201" s="261"/>
      <c r="J1201" s="1164"/>
      <c r="K1201" s="1158"/>
      <c r="L1201" s="961"/>
      <c r="M1201" s="954"/>
      <c r="N1201" s="955"/>
      <c r="O1201" s="731"/>
      <c r="P1201" s="731"/>
      <c r="Q1201" s="731"/>
      <c r="R1201" s="961"/>
      <c r="S1201" s="954"/>
      <c r="T1201" s="955"/>
      <c r="U1201" s="961"/>
      <c r="V1201" s="954"/>
      <c r="W1201" s="955"/>
      <c r="X1201" s="961"/>
      <c r="Y1201" s="954"/>
      <c r="Z1201" s="955"/>
      <c r="AA1201" s="961"/>
      <c r="AB1201" s="954"/>
      <c r="AC1201" s="954"/>
      <c r="AD1201" s="964"/>
      <c r="AE1201" s="943"/>
      <c r="AF1201" s="944"/>
      <c r="AG1201" s="961"/>
      <c r="AH1201" s="954"/>
      <c r="AI1201" s="955"/>
      <c r="AJ1201" s="1003"/>
      <c r="AK1201" s="982"/>
      <c r="AL1201" s="10"/>
      <c r="AM1201" s="440"/>
      <c r="AN1201" s="89"/>
      <c r="AO1201" s="89"/>
    </row>
    <row r="1202" spans="1:41" s="69" customFormat="1" ht="15.75" customHeight="1">
      <c r="A1202" s="1015"/>
      <c r="B1202" s="466"/>
      <c r="C1202" s="388"/>
      <c r="D1202" s="223" t="s">
        <v>820</v>
      </c>
      <c r="E1202" s="320" t="s">
        <v>64</v>
      </c>
      <c r="F1202" s="261"/>
      <c r="G1202" s="426">
        <v>1101.24</v>
      </c>
      <c r="H1202" s="320" t="s">
        <v>64</v>
      </c>
      <c r="I1202" s="261"/>
      <c r="J1202" s="502" t="s">
        <v>327</v>
      </c>
      <c r="K1202" s="1158"/>
      <c r="L1202" s="965" t="s">
        <v>334</v>
      </c>
      <c r="M1202" s="939"/>
      <c r="N1202" s="939"/>
      <c r="O1202" s="939"/>
      <c r="P1202" s="939"/>
      <c r="Q1202" s="939"/>
      <c r="R1202" s="939"/>
      <c r="S1202" s="939"/>
      <c r="T1202" s="956"/>
      <c r="U1202" s="965" t="s">
        <v>334</v>
      </c>
      <c r="V1202" s="939"/>
      <c r="W1202" s="939"/>
      <c r="X1202" s="939"/>
      <c r="Y1202" s="939"/>
      <c r="Z1202" s="956"/>
      <c r="AA1202" s="965" t="s">
        <v>334</v>
      </c>
      <c r="AB1202" s="939"/>
      <c r="AC1202" s="939"/>
      <c r="AD1202" s="940"/>
      <c r="AE1202" s="943"/>
      <c r="AF1202" s="944"/>
      <c r="AG1202" s="965" t="s">
        <v>334</v>
      </c>
      <c r="AH1202" s="939"/>
      <c r="AI1202" s="956"/>
      <c r="AJ1202" s="1003"/>
      <c r="AK1202" s="982"/>
      <c r="AL1202" s="10"/>
      <c r="AM1202" s="440"/>
      <c r="AN1202" s="89"/>
      <c r="AO1202" s="89"/>
    </row>
    <row r="1203" spans="1:41" s="69" customFormat="1" ht="15.75" customHeight="1">
      <c r="A1203" s="1015"/>
      <c r="B1203" s="466"/>
      <c r="C1203" s="388"/>
      <c r="D1203" s="518" t="s">
        <v>871</v>
      </c>
      <c r="E1203" s="320" t="s">
        <v>64</v>
      </c>
      <c r="F1203" s="261"/>
      <c r="G1203" s="426">
        <v>1101.24</v>
      </c>
      <c r="H1203" s="320" t="s">
        <v>64</v>
      </c>
      <c r="I1203" s="261"/>
      <c r="J1203" s="1165" t="s">
        <v>325</v>
      </c>
      <c r="K1203" s="1158"/>
      <c r="L1203" s="119">
        <v>128.00430080000001</v>
      </c>
      <c r="M1203" s="225" t="s">
        <v>64</v>
      </c>
      <c r="N1203" s="346"/>
      <c r="O1203" s="346"/>
      <c r="P1203" s="346"/>
      <c r="Q1203" s="346"/>
      <c r="R1203" s="346"/>
      <c r="S1203" s="119">
        <v>128.00430080000001</v>
      </c>
      <c r="T1203" s="196">
        <v>471.74407665759406</v>
      </c>
      <c r="U1203" s="455"/>
      <c r="V1203" s="74"/>
      <c r="W1203" s="74"/>
      <c r="X1203" s="456"/>
      <c r="Y1203" s="119">
        <v>3</v>
      </c>
      <c r="Z1203" s="196">
        <v>11.056130310683923</v>
      </c>
      <c r="AA1203" s="633">
        <f t="shared" ref="AA1203:AA1213" si="47">Y1203+Z1203</f>
        <v>14.056130310683923</v>
      </c>
      <c r="AB1203" s="483">
        <v>89.16540897036964</v>
      </c>
      <c r="AC1203" s="483">
        <v>45.364464000000005</v>
      </c>
      <c r="AD1203" s="484">
        <v>167.1851418194432</v>
      </c>
      <c r="AE1203" s="943"/>
      <c r="AF1203" s="944"/>
      <c r="AG1203" s="487">
        <v>128.00430080000001</v>
      </c>
      <c r="AH1203" s="488">
        <v>943.48815331518813</v>
      </c>
      <c r="AI1203" s="185">
        <f t="shared" ref="AI1203:AI1213" si="48">AH1203</f>
        <v>943.48815331518813</v>
      </c>
      <c r="AJ1203" s="1003"/>
      <c r="AK1203" s="982"/>
      <c r="AL1203" s="10"/>
      <c r="AM1203" s="440"/>
      <c r="AN1203" s="89"/>
      <c r="AO1203" s="89"/>
    </row>
    <row r="1204" spans="1:41" s="69" customFormat="1" ht="15.75" customHeight="1">
      <c r="A1204" s="1015"/>
      <c r="B1204" s="466"/>
      <c r="C1204" s="388"/>
      <c r="D1204" s="223" t="s">
        <v>821</v>
      </c>
      <c r="E1204" s="320" t="s">
        <v>64</v>
      </c>
      <c r="F1204" s="261"/>
      <c r="G1204" s="427">
        <v>4666.62</v>
      </c>
      <c r="H1204" s="320" t="s">
        <v>64</v>
      </c>
      <c r="I1204" s="261"/>
      <c r="J1204" s="1166"/>
      <c r="K1204" s="1158"/>
      <c r="L1204" s="965" t="s">
        <v>335</v>
      </c>
      <c r="M1204" s="939"/>
      <c r="N1204" s="939"/>
      <c r="O1204" s="939"/>
      <c r="P1204" s="939"/>
      <c r="Q1204" s="939"/>
      <c r="R1204" s="939"/>
      <c r="S1204" s="939"/>
      <c r="T1204" s="956"/>
      <c r="U1204" s="965" t="s">
        <v>335</v>
      </c>
      <c r="V1204" s="939"/>
      <c r="W1204" s="939"/>
      <c r="X1204" s="939"/>
      <c r="Y1204" s="939"/>
      <c r="Z1204" s="939"/>
      <c r="AA1204" s="939"/>
      <c r="AB1204" s="939"/>
      <c r="AC1204" s="939"/>
      <c r="AD1204" s="940"/>
      <c r="AE1204" s="943"/>
      <c r="AF1204" s="944"/>
      <c r="AG1204" s="965" t="s">
        <v>335</v>
      </c>
      <c r="AH1204" s="939"/>
      <c r="AI1204" s="956"/>
      <c r="AJ1204" s="1003"/>
      <c r="AK1204" s="982"/>
      <c r="AL1204" s="10"/>
      <c r="AM1204" s="440"/>
      <c r="AN1204" s="89"/>
      <c r="AO1204" s="89"/>
    </row>
    <row r="1205" spans="1:41" s="69" customFormat="1" ht="15.75" customHeight="1">
      <c r="A1205" s="1015"/>
      <c r="B1205" s="466"/>
      <c r="C1205" s="388"/>
      <c r="D1205" s="518" t="s">
        <v>862</v>
      </c>
      <c r="E1205" s="320" t="s">
        <v>64</v>
      </c>
      <c r="F1205" s="261"/>
      <c r="G1205" s="427">
        <v>666.66</v>
      </c>
      <c r="H1205" s="320" t="s">
        <v>64</v>
      </c>
      <c r="I1205" s="261"/>
      <c r="J1205" s="1166"/>
      <c r="K1205" s="1158"/>
      <c r="L1205" s="119">
        <v>123.69326720000001</v>
      </c>
      <c r="M1205" s="225" t="s">
        <v>64</v>
      </c>
      <c r="N1205" s="346"/>
      <c r="O1205" s="346"/>
      <c r="P1205" s="346"/>
      <c r="Q1205" s="346"/>
      <c r="R1205" s="346"/>
      <c r="S1205" s="119">
        <v>123.69326720000001</v>
      </c>
      <c r="T1205" s="196">
        <v>455.8562935724816</v>
      </c>
      <c r="U1205" s="455"/>
      <c r="V1205" s="74"/>
      <c r="W1205" s="74"/>
      <c r="X1205" s="456"/>
      <c r="Y1205" s="119">
        <v>3</v>
      </c>
      <c r="Z1205" s="196">
        <v>11.056130310683923</v>
      </c>
      <c r="AA1205" s="633">
        <f t="shared" si="47"/>
        <v>14.056130310683923</v>
      </c>
      <c r="AB1205" s="483">
        <v>86.090354179702757</v>
      </c>
      <c r="AC1205" s="483">
        <v>43.799976000000001</v>
      </c>
      <c r="AD1205" s="484">
        <v>161.41941408694268</v>
      </c>
      <c r="AE1205" s="943"/>
      <c r="AF1205" s="944"/>
      <c r="AG1205" s="487">
        <v>123.69326720000001</v>
      </c>
      <c r="AH1205" s="488">
        <v>911.71258714496321</v>
      </c>
      <c r="AI1205" s="185">
        <f t="shared" si="48"/>
        <v>911.71258714496321</v>
      </c>
      <c r="AJ1205" s="1003"/>
      <c r="AK1205" s="982"/>
      <c r="AL1205" s="10"/>
      <c r="AM1205" s="440"/>
      <c r="AN1205" s="89"/>
      <c r="AO1205" s="89"/>
    </row>
    <row r="1206" spans="1:41" s="69" customFormat="1" ht="15.75" customHeight="1">
      <c r="A1206" s="1015"/>
      <c r="B1206" s="466"/>
      <c r="C1206" s="388"/>
      <c r="D1206" s="518" t="s">
        <v>863</v>
      </c>
      <c r="E1206" s="320" t="s">
        <v>64</v>
      </c>
      <c r="F1206" s="261"/>
      <c r="G1206" s="428">
        <v>66.599999999999994</v>
      </c>
      <c r="H1206" s="320" t="s">
        <v>64</v>
      </c>
      <c r="I1206" s="261"/>
      <c r="J1206" s="1167"/>
      <c r="K1206" s="1158"/>
      <c r="L1206" s="119">
        <v>117.74067200000002</v>
      </c>
      <c r="M1206" s="225" t="s">
        <v>64</v>
      </c>
      <c r="N1206" s="346"/>
      <c r="O1206" s="346"/>
      <c r="P1206" s="346"/>
      <c r="Q1206" s="346"/>
      <c r="R1206" s="346"/>
      <c r="S1206" s="119">
        <v>117.74067200000002</v>
      </c>
      <c r="T1206" s="196">
        <v>433.91873749983085</v>
      </c>
      <c r="U1206" s="455"/>
      <c r="V1206" s="74"/>
      <c r="W1206" s="74"/>
      <c r="X1206" s="456"/>
      <c r="Y1206" s="119">
        <v>3</v>
      </c>
      <c r="Z1206" s="196">
        <v>11.056130310683923</v>
      </c>
      <c r="AA1206" s="633">
        <f t="shared" si="47"/>
        <v>14.056130310683923</v>
      </c>
      <c r="AB1206" s="483">
        <v>81.8443755849962</v>
      </c>
      <c r="AC1206" s="483">
        <v>41.639760000000003</v>
      </c>
      <c r="AD1206" s="484">
        <v>153.4582042218679</v>
      </c>
      <c r="AE1206" s="943"/>
      <c r="AF1206" s="944"/>
      <c r="AG1206" s="487">
        <v>117.74067200000002</v>
      </c>
      <c r="AH1206" s="488">
        <v>867.83747499966171</v>
      </c>
      <c r="AI1206" s="185">
        <f t="shared" si="48"/>
        <v>867.83747499966171</v>
      </c>
      <c r="AJ1206" s="1003"/>
      <c r="AK1206" s="982"/>
      <c r="AL1206" s="10"/>
      <c r="AM1206" s="440"/>
      <c r="AN1206" s="89"/>
      <c r="AO1206" s="89"/>
    </row>
    <row r="1207" spans="1:41" s="69" customFormat="1" ht="15.75" customHeight="1">
      <c r="A1207" s="1015"/>
      <c r="B1207" s="466"/>
      <c r="C1207" s="388"/>
      <c r="D1207" s="223" t="s">
        <v>822</v>
      </c>
      <c r="E1207" s="320" t="s">
        <v>64</v>
      </c>
      <c r="F1207" s="261"/>
      <c r="G1207" s="428">
        <v>66.599999999999994</v>
      </c>
      <c r="H1207" s="320" t="s">
        <v>64</v>
      </c>
      <c r="I1207" s="261"/>
      <c r="J1207" s="502" t="s">
        <v>327</v>
      </c>
      <c r="K1207" s="1158"/>
      <c r="L1207" s="965" t="s">
        <v>334</v>
      </c>
      <c r="M1207" s="939"/>
      <c r="N1207" s="939"/>
      <c r="O1207" s="939"/>
      <c r="P1207" s="939"/>
      <c r="Q1207" s="939"/>
      <c r="R1207" s="939"/>
      <c r="S1207" s="939"/>
      <c r="T1207" s="956"/>
      <c r="U1207" s="965" t="s">
        <v>334</v>
      </c>
      <c r="V1207" s="939"/>
      <c r="W1207" s="939"/>
      <c r="X1207" s="939"/>
      <c r="Y1207" s="939"/>
      <c r="Z1207" s="956"/>
      <c r="AA1207" s="965" t="s">
        <v>334</v>
      </c>
      <c r="AB1207" s="939"/>
      <c r="AC1207" s="939"/>
      <c r="AD1207" s="940"/>
      <c r="AE1207" s="943"/>
      <c r="AF1207" s="944"/>
      <c r="AG1207" s="965" t="s">
        <v>334</v>
      </c>
      <c r="AH1207" s="939"/>
      <c r="AI1207" s="956"/>
      <c r="AJ1207" s="1003"/>
      <c r="AK1207" s="982"/>
      <c r="AL1207" s="10"/>
      <c r="AM1207" s="440"/>
      <c r="AN1207" s="89"/>
      <c r="AO1207" s="89"/>
    </row>
    <row r="1208" spans="1:41" s="69" customFormat="1" ht="15.75" customHeight="1">
      <c r="A1208" s="1015"/>
      <c r="B1208" s="466"/>
      <c r="C1208" s="388"/>
      <c r="D1208" s="223" t="s">
        <v>823</v>
      </c>
      <c r="E1208" s="320" t="s">
        <v>64</v>
      </c>
      <c r="F1208" s="261"/>
      <c r="G1208" s="475">
        <v>5000</v>
      </c>
      <c r="H1208" s="320" t="s">
        <v>64</v>
      </c>
      <c r="I1208" s="261"/>
      <c r="J1208" s="1165" t="s">
        <v>325</v>
      </c>
      <c r="K1208" s="1158"/>
      <c r="L1208" s="966" t="s">
        <v>335</v>
      </c>
      <c r="M1208" s="948"/>
      <c r="N1208" s="949"/>
      <c r="O1208" s="739"/>
      <c r="P1208" s="739"/>
      <c r="Q1208" s="739"/>
      <c r="R1208" s="966" t="s">
        <v>335</v>
      </c>
      <c r="S1208" s="948"/>
      <c r="T1208" s="949"/>
      <c r="U1208" s="966" t="s">
        <v>335</v>
      </c>
      <c r="V1208" s="948"/>
      <c r="W1208" s="949"/>
      <c r="X1208" s="966" t="s">
        <v>335</v>
      </c>
      <c r="Y1208" s="948"/>
      <c r="Z1208" s="949"/>
      <c r="AA1208" s="966" t="s">
        <v>335</v>
      </c>
      <c r="AB1208" s="948"/>
      <c r="AC1208" s="948"/>
      <c r="AD1208" s="967"/>
      <c r="AE1208" s="943"/>
      <c r="AF1208" s="944"/>
      <c r="AG1208" s="966" t="s">
        <v>335</v>
      </c>
      <c r="AH1208" s="948"/>
      <c r="AI1208" s="949"/>
      <c r="AJ1208" s="1003"/>
      <c r="AK1208" s="982"/>
      <c r="AL1208" s="10"/>
      <c r="AM1208" s="440"/>
      <c r="AN1208" s="89"/>
      <c r="AO1208" s="89"/>
    </row>
    <row r="1209" spans="1:41" s="69" customFormat="1" ht="15.75" customHeight="1">
      <c r="A1209" s="1015"/>
      <c r="B1209" s="466"/>
      <c r="C1209" s="388"/>
      <c r="D1209" s="223" t="s">
        <v>825</v>
      </c>
      <c r="E1209" s="320" t="s">
        <v>64</v>
      </c>
      <c r="F1209" s="261"/>
      <c r="G1209" s="475">
        <v>40903</v>
      </c>
      <c r="H1209" s="320" t="s">
        <v>64</v>
      </c>
      <c r="I1209" s="261"/>
      <c r="J1209" s="1166"/>
      <c r="K1209" s="1158"/>
      <c r="L1209" s="960"/>
      <c r="M1209" s="951"/>
      <c r="N1209" s="952"/>
      <c r="O1209" s="737"/>
      <c r="P1209" s="737"/>
      <c r="Q1209" s="737"/>
      <c r="R1209" s="960"/>
      <c r="S1209" s="951"/>
      <c r="T1209" s="952"/>
      <c r="U1209" s="960"/>
      <c r="V1209" s="951"/>
      <c r="W1209" s="952"/>
      <c r="X1209" s="960"/>
      <c r="Y1209" s="951"/>
      <c r="Z1209" s="952"/>
      <c r="AA1209" s="960"/>
      <c r="AB1209" s="951"/>
      <c r="AC1209" s="951"/>
      <c r="AD1209" s="963"/>
      <c r="AE1209" s="943"/>
      <c r="AF1209" s="944"/>
      <c r="AG1209" s="960"/>
      <c r="AH1209" s="951"/>
      <c r="AI1209" s="952"/>
      <c r="AJ1209" s="1003"/>
      <c r="AK1209" s="982"/>
      <c r="AL1209" s="10"/>
      <c r="AM1209" s="440"/>
      <c r="AN1209" s="89"/>
      <c r="AO1209" s="89"/>
    </row>
    <row r="1210" spans="1:41" s="69" customFormat="1" ht="15.75" customHeight="1">
      <c r="A1210" s="1015"/>
      <c r="B1210" s="466"/>
      <c r="C1210" s="388"/>
      <c r="D1210" s="223" t="s">
        <v>826</v>
      </c>
      <c r="E1210" s="320" t="s">
        <v>64</v>
      </c>
      <c r="F1210" s="261"/>
      <c r="G1210" s="475">
        <f>G1209*10%</f>
        <v>4090.3</v>
      </c>
      <c r="H1210" s="320" t="s">
        <v>64</v>
      </c>
      <c r="I1210" s="261"/>
      <c r="J1210" s="1167"/>
      <c r="K1210" s="1158"/>
      <c r="L1210" s="961"/>
      <c r="M1210" s="954"/>
      <c r="N1210" s="955"/>
      <c r="O1210" s="731"/>
      <c r="P1210" s="731"/>
      <c r="Q1210" s="731"/>
      <c r="R1210" s="961"/>
      <c r="S1210" s="954"/>
      <c r="T1210" s="955"/>
      <c r="U1210" s="961"/>
      <c r="V1210" s="954"/>
      <c r="W1210" s="955"/>
      <c r="X1210" s="961"/>
      <c r="Y1210" s="954"/>
      <c r="Z1210" s="955"/>
      <c r="AA1210" s="961"/>
      <c r="AB1210" s="954"/>
      <c r="AC1210" s="954"/>
      <c r="AD1210" s="964"/>
      <c r="AE1210" s="943"/>
      <c r="AF1210" s="944"/>
      <c r="AG1210" s="961"/>
      <c r="AH1210" s="954"/>
      <c r="AI1210" s="955"/>
      <c r="AJ1210" s="1003"/>
      <c r="AK1210" s="982"/>
      <c r="AL1210" s="10"/>
      <c r="AM1210" s="440"/>
      <c r="AN1210" s="89"/>
      <c r="AO1210" s="89"/>
    </row>
    <row r="1211" spans="1:41" s="69" customFormat="1" ht="15.75" customHeight="1">
      <c r="A1211" s="1015"/>
      <c r="B1211" s="466"/>
      <c r="C1211" s="388"/>
      <c r="D1211" s="223" t="s">
        <v>827</v>
      </c>
      <c r="E1211" s="320" t="s">
        <v>64</v>
      </c>
      <c r="F1211" s="261"/>
      <c r="G1211" s="475">
        <v>4090.3</v>
      </c>
      <c r="H1211" s="320" t="s">
        <v>64</v>
      </c>
      <c r="I1211" s="261"/>
      <c r="J1211" s="502" t="s">
        <v>327</v>
      </c>
      <c r="K1211" s="1158"/>
      <c r="L1211" s="965" t="s">
        <v>334</v>
      </c>
      <c r="M1211" s="939"/>
      <c r="N1211" s="939"/>
      <c r="O1211" s="939"/>
      <c r="P1211" s="939"/>
      <c r="Q1211" s="939"/>
      <c r="R1211" s="939"/>
      <c r="S1211" s="939"/>
      <c r="T1211" s="956"/>
      <c r="U1211" s="965" t="s">
        <v>334</v>
      </c>
      <c r="V1211" s="939"/>
      <c r="W1211" s="939"/>
      <c r="X1211" s="939"/>
      <c r="Y1211" s="939"/>
      <c r="Z1211" s="956"/>
      <c r="AA1211" s="965" t="s">
        <v>334</v>
      </c>
      <c r="AB1211" s="939"/>
      <c r="AC1211" s="939"/>
      <c r="AD1211" s="940"/>
      <c r="AE1211" s="943"/>
      <c r="AF1211" s="944"/>
      <c r="AG1211" s="965" t="s">
        <v>334</v>
      </c>
      <c r="AH1211" s="939"/>
      <c r="AI1211" s="956"/>
      <c r="AJ1211" s="1003"/>
      <c r="AK1211" s="982"/>
      <c r="AL1211" s="10"/>
      <c r="AM1211" s="440"/>
      <c r="AN1211" s="89"/>
      <c r="AO1211" s="89"/>
    </row>
    <row r="1212" spans="1:41" s="69" customFormat="1" ht="15.75" customHeight="1">
      <c r="A1212" s="1015"/>
      <c r="B1212" s="466"/>
      <c r="C1212" s="388"/>
      <c r="D1212" s="223" t="s">
        <v>828</v>
      </c>
      <c r="E1212" s="320" t="s">
        <v>64</v>
      </c>
      <c r="F1212" s="261"/>
      <c r="G1212" s="475">
        <v>15000</v>
      </c>
      <c r="H1212" s="320" t="s">
        <v>64</v>
      </c>
      <c r="I1212" s="261"/>
      <c r="J1212" s="1165" t="s">
        <v>325</v>
      </c>
      <c r="K1212" s="1158"/>
      <c r="L1212" s="965" t="s">
        <v>335</v>
      </c>
      <c r="M1212" s="939"/>
      <c r="N1212" s="939"/>
      <c r="O1212" s="939"/>
      <c r="P1212" s="939"/>
      <c r="Q1212" s="939"/>
      <c r="R1212" s="939"/>
      <c r="S1212" s="939"/>
      <c r="T1212" s="956"/>
      <c r="U1212" s="965" t="s">
        <v>335</v>
      </c>
      <c r="V1212" s="939"/>
      <c r="W1212" s="939"/>
      <c r="X1212" s="939"/>
      <c r="Y1212" s="939"/>
      <c r="Z1212" s="956"/>
      <c r="AA1212" s="965" t="s">
        <v>335</v>
      </c>
      <c r="AB1212" s="939"/>
      <c r="AC1212" s="939"/>
      <c r="AD1212" s="940"/>
      <c r="AE1212" s="943"/>
      <c r="AF1212" s="944"/>
      <c r="AG1212" s="965" t="s">
        <v>335</v>
      </c>
      <c r="AH1212" s="939"/>
      <c r="AI1212" s="956"/>
      <c r="AJ1212" s="1003"/>
      <c r="AK1212" s="982"/>
      <c r="AL1212" s="10"/>
      <c r="AM1212" s="440"/>
      <c r="AN1212" s="89"/>
      <c r="AO1212" s="89"/>
    </row>
    <row r="1213" spans="1:41" s="69" customFormat="1" ht="15.75" customHeight="1">
      <c r="A1213" s="1015"/>
      <c r="B1213" s="466"/>
      <c r="C1213" s="388"/>
      <c r="D1213" s="518" t="s">
        <v>864</v>
      </c>
      <c r="E1213" s="320" t="s">
        <v>64</v>
      </c>
      <c r="F1213" s="261"/>
      <c r="G1213" s="426">
        <v>1500</v>
      </c>
      <c r="H1213" s="320" t="s">
        <v>64</v>
      </c>
      <c r="I1213" s="261"/>
      <c r="J1213" s="1167"/>
      <c r="K1213" s="1158"/>
      <c r="L1213" s="119">
        <v>131.96</v>
      </c>
      <c r="M1213" s="225" t="s">
        <v>64</v>
      </c>
      <c r="N1213" s="346"/>
      <c r="O1213" s="346"/>
      <c r="P1213" s="346"/>
      <c r="Q1213" s="346"/>
      <c r="R1213" s="346"/>
      <c r="S1213" s="119">
        <v>131.96</v>
      </c>
      <c r="T1213" s="196">
        <v>486.32231859928305</v>
      </c>
      <c r="U1213" s="455"/>
      <c r="V1213" s="74"/>
      <c r="W1213" s="74"/>
      <c r="X1213" s="456"/>
      <c r="Y1213" s="119">
        <v>3</v>
      </c>
      <c r="Z1213" s="196">
        <v>11.056130310683923</v>
      </c>
      <c r="AA1213" s="633">
        <f t="shared" si="47"/>
        <v>14.056130310683923</v>
      </c>
      <c r="AB1213" s="483">
        <v>91.987004184890225</v>
      </c>
      <c r="AC1213" s="483">
        <v>46.800000000000004</v>
      </c>
      <c r="AD1213" s="484">
        <v>172.4756328466691</v>
      </c>
      <c r="AE1213" s="943"/>
      <c r="AF1213" s="944"/>
      <c r="AG1213" s="487">
        <v>131.96</v>
      </c>
      <c r="AH1213" s="488">
        <v>972.6446371985661</v>
      </c>
      <c r="AI1213" s="185">
        <f t="shared" si="48"/>
        <v>972.6446371985661</v>
      </c>
      <c r="AJ1213" s="1003"/>
      <c r="AK1213" s="982"/>
      <c r="AL1213" s="10"/>
      <c r="AM1213" s="440"/>
      <c r="AN1213" s="89"/>
      <c r="AO1213" s="89"/>
    </row>
    <row r="1214" spans="1:41" s="69" customFormat="1" ht="15.75" customHeight="1">
      <c r="A1214" s="1015"/>
      <c r="B1214" s="466"/>
      <c r="C1214" s="388"/>
      <c r="D1214" s="223" t="s">
        <v>829</v>
      </c>
      <c r="E1214" s="320" t="s">
        <v>64</v>
      </c>
      <c r="F1214" s="261"/>
      <c r="G1214" s="426">
        <v>1500</v>
      </c>
      <c r="H1214" s="320" t="s">
        <v>64</v>
      </c>
      <c r="I1214" s="261"/>
      <c r="J1214" s="502" t="s">
        <v>327</v>
      </c>
      <c r="K1214" s="1158"/>
      <c r="L1214" s="965" t="s">
        <v>334</v>
      </c>
      <c r="M1214" s="939"/>
      <c r="N1214" s="939"/>
      <c r="O1214" s="939"/>
      <c r="P1214" s="939"/>
      <c r="Q1214" s="939"/>
      <c r="R1214" s="939"/>
      <c r="S1214" s="939"/>
      <c r="T1214" s="956"/>
      <c r="U1214" s="965" t="s">
        <v>334</v>
      </c>
      <c r="V1214" s="939"/>
      <c r="W1214" s="939"/>
      <c r="X1214" s="939"/>
      <c r="Y1214" s="939"/>
      <c r="Z1214" s="956"/>
      <c r="AA1214" s="965" t="s">
        <v>334</v>
      </c>
      <c r="AB1214" s="939"/>
      <c r="AC1214" s="939"/>
      <c r="AD1214" s="940"/>
      <c r="AE1214" s="943"/>
      <c r="AF1214" s="944"/>
      <c r="AG1214" s="965" t="s">
        <v>334</v>
      </c>
      <c r="AH1214" s="939"/>
      <c r="AI1214" s="956"/>
      <c r="AJ1214" s="1003"/>
      <c r="AK1214" s="982"/>
      <c r="AL1214" s="10"/>
      <c r="AM1214" s="440"/>
      <c r="AN1214" s="89"/>
      <c r="AO1214" s="89"/>
    </row>
    <row r="1215" spans="1:41" s="69" customFormat="1" ht="15.75" customHeight="1">
      <c r="A1215" s="1015"/>
      <c r="B1215" s="466"/>
      <c r="C1215" s="388"/>
      <c r="D1215" s="223" t="s">
        <v>830</v>
      </c>
      <c r="E1215" s="320" t="s">
        <v>64</v>
      </c>
      <c r="F1215" s="261"/>
      <c r="G1215" s="476">
        <v>6.66</v>
      </c>
      <c r="H1215" s="320" t="s">
        <v>64</v>
      </c>
      <c r="I1215" s="261"/>
      <c r="J1215" s="1165" t="s">
        <v>325</v>
      </c>
      <c r="K1215" s="1158"/>
      <c r="L1215" s="966" t="s">
        <v>335</v>
      </c>
      <c r="M1215" s="948"/>
      <c r="N1215" s="949"/>
      <c r="O1215" s="739"/>
      <c r="P1215" s="739"/>
      <c r="Q1215" s="739"/>
      <c r="R1215" s="966" t="s">
        <v>335</v>
      </c>
      <c r="S1215" s="948"/>
      <c r="T1215" s="949"/>
      <c r="U1215" s="966" t="s">
        <v>335</v>
      </c>
      <c r="V1215" s="948"/>
      <c r="W1215" s="949"/>
      <c r="X1215" s="966" t="s">
        <v>335</v>
      </c>
      <c r="Y1215" s="948"/>
      <c r="Z1215" s="949"/>
      <c r="AA1215" s="966" t="s">
        <v>335</v>
      </c>
      <c r="AB1215" s="948"/>
      <c r="AC1215" s="948"/>
      <c r="AD1215" s="967"/>
      <c r="AE1215" s="943"/>
      <c r="AF1215" s="944"/>
      <c r="AG1215" s="947" t="s">
        <v>335</v>
      </c>
      <c r="AH1215" s="948"/>
      <c r="AI1215" s="967"/>
      <c r="AJ1215" s="1003"/>
      <c r="AK1215" s="982"/>
      <c r="AL1215" s="10"/>
      <c r="AM1215" s="440"/>
      <c r="AN1215" s="89"/>
      <c r="AO1215" s="89"/>
    </row>
    <row r="1216" spans="1:41" s="69" customFormat="1" ht="15.75" customHeight="1">
      <c r="A1216" s="1015"/>
      <c r="B1216" s="466"/>
      <c r="C1216" s="388"/>
      <c r="D1216" s="223" t="s">
        <v>831</v>
      </c>
      <c r="E1216" s="320" t="s">
        <v>64</v>
      </c>
      <c r="F1216" s="261"/>
      <c r="G1216" s="476">
        <v>66.599999999999994</v>
      </c>
      <c r="H1216" s="320" t="s">
        <v>64</v>
      </c>
      <c r="I1216" s="261"/>
      <c r="J1216" s="1166"/>
      <c r="K1216" s="1158"/>
      <c r="L1216" s="960"/>
      <c r="M1216" s="951"/>
      <c r="N1216" s="952"/>
      <c r="O1216" s="737"/>
      <c r="P1216" s="737"/>
      <c r="Q1216" s="737"/>
      <c r="R1216" s="960"/>
      <c r="S1216" s="951"/>
      <c r="T1216" s="952"/>
      <c r="U1216" s="960"/>
      <c r="V1216" s="951"/>
      <c r="W1216" s="952"/>
      <c r="X1216" s="960"/>
      <c r="Y1216" s="951"/>
      <c r="Z1216" s="952"/>
      <c r="AA1216" s="960"/>
      <c r="AB1216" s="951"/>
      <c r="AC1216" s="951"/>
      <c r="AD1216" s="963"/>
      <c r="AE1216" s="943"/>
      <c r="AF1216" s="944"/>
      <c r="AG1216" s="950"/>
      <c r="AH1216" s="951"/>
      <c r="AI1216" s="963"/>
      <c r="AJ1216" s="1003"/>
      <c r="AK1216" s="982"/>
      <c r="AL1216" s="10"/>
      <c r="AM1216" s="440"/>
      <c r="AN1216" s="89"/>
      <c r="AO1216" s="89"/>
    </row>
    <row r="1217" spans="1:42" s="69" customFormat="1" ht="15.75" customHeight="1">
      <c r="A1217" s="1015"/>
      <c r="B1217" s="466"/>
      <c r="C1217" s="388"/>
      <c r="D1217" s="223" t="s">
        <v>833</v>
      </c>
      <c r="E1217" s="320" t="s">
        <v>64</v>
      </c>
      <c r="F1217" s="261"/>
      <c r="G1217" s="476">
        <v>666.66</v>
      </c>
      <c r="H1217" s="320" t="s">
        <v>64</v>
      </c>
      <c r="I1217" s="261"/>
      <c r="J1217" s="1166"/>
      <c r="K1217" s="1158"/>
      <c r="L1217" s="960"/>
      <c r="M1217" s="951"/>
      <c r="N1217" s="952"/>
      <c r="O1217" s="737"/>
      <c r="P1217" s="737"/>
      <c r="Q1217" s="737"/>
      <c r="R1217" s="960"/>
      <c r="S1217" s="951"/>
      <c r="T1217" s="952"/>
      <c r="U1217" s="960"/>
      <c r="V1217" s="951"/>
      <c r="W1217" s="952"/>
      <c r="X1217" s="960"/>
      <c r="Y1217" s="951"/>
      <c r="Z1217" s="952"/>
      <c r="AA1217" s="960"/>
      <c r="AB1217" s="951"/>
      <c r="AC1217" s="951"/>
      <c r="AD1217" s="963"/>
      <c r="AE1217" s="943"/>
      <c r="AF1217" s="944"/>
      <c r="AG1217" s="950"/>
      <c r="AH1217" s="951"/>
      <c r="AI1217" s="963"/>
      <c r="AJ1217" s="1003"/>
      <c r="AK1217" s="982"/>
      <c r="AL1217" s="10"/>
      <c r="AM1217" s="440"/>
      <c r="AN1217" s="89"/>
      <c r="AO1217" s="89"/>
    </row>
    <row r="1218" spans="1:42" s="69" customFormat="1" ht="16.5" customHeight="1" thickBot="1">
      <c r="A1218" s="1016"/>
      <c r="B1218" s="467"/>
      <c r="C1218" s="390"/>
      <c r="D1218" s="224" t="s">
        <v>834</v>
      </c>
      <c r="E1218" s="226" t="s">
        <v>64</v>
      </c>
      <c r="F1218" s="324"/>
      <c r="G1218" s="432">
        <f>50*78.66</f>
        <v>3933</v>
      </c>
      <c r="H1218" s="226" t="s">
        <v>64</v>
      </c>
      <c r="I1218" s="324"/>
      <c r="J1218" s="1168"/>
      <c r="K1218" s="1159"/>
      <c r="L1218" s="1086"/>
      <c r="M1218" s="973"/>
      <c r="N1218" s="1087"/>
      <c r="O1218" s="738"/>
      <c r="P1218" s="738"/>
      <c r="Q1218" s="738"/>
      <c r="R1218" s="1086"/>
      <c r="S1218" s="973"/>
      <c r="T1218" s="1087"/>
      <c r="U1218" s="1086"/>
      <c r="V1218" s="973"/>
      <c r="W1218" s="1087"/>
      <c r="X1218" s="1086"/>
      <c r="Y1218" s="973"/>
      <c r="Z1218" s="1087"/>
      <c r="AA1218" s="1086"/>
      <c r="AB1218" s="973"/>
      <c r="AC1218" s="973"/>
      <c r="AD1218" s="974"/>
      <c r="AE1218" s="945"/>
      <c r="AF1218" s="946"/>
      <c r="AG1218" s="972"/>
      <c r="AH1218" s="973"/>
      <c r="AI1218" s="974"/>
      <c r="AJ1218" s="1004"/>
      <c r="AK1218" s="983"/>
      <c r="AL1218" s="10"/>
      <c r="AM1218" s="440"/>
      <c r="AN1218" s="89"/>
      <c r="AO1218" s="89"/>
    </row>
    <row r="1219" spans="1:42" s="69" customFormat="1">
      <c r="A1219" s="66"/>
      <c r="B1219" s="66"/>
      <c r="C1219" s="67"/>
      <c r="D1219" s="128"/>
      <c r="E1219" s="128"/>
      <c r="F1219" s="128"/>
      <c r="G1219" s="59"/>
      <c r="H1219" s="59"/>
      <c r="I1219" s="59"/>
      <c r="J1219" s="128"/>
      <c r="K1219" s="128"/>
      <c r="L1219" s="61"/>
      <c r="M1219" s="60"/>
      <c r="N1219" s="61"/>
      <c r="O1219" s="61"/>
      <c r="P1219" s="61"/>
      <c r="Q1219" s="61"/>
      <c r="R1219" s="160"/>
      <c r="S1219" s="61"/>
      <c r="T1219" s="160"/>
      <c r="U1219" s="61"/>
      <c r="V1219" s="61"/>
      <c r="W1219" s="61"/>
      <c r="X1219" s="151"/>
      <c r="Y1219" s="60"/>
      <c r="Z1219" s="151"/>
      <c r="AA1219" s="60"/>
      <c r="AB1219" s="60"/>
      <c r="AC1219" s="60"/>
      <c r="AD1219" s="60"/>
      <c r="AE1219" s="60"/>
      <c r="AF1219" s="60"/>
      <c r="AG1219" s="60"/>
      <c r="AH1219" s="151"/>
      <c r="AI1219" s="151"/>
      <c r="AJ1219" s="60"/>
      <c r="AL1219" s="10"/>
      <c r="AM1219" s="850"/>
      <c r="AN1219" s="128"/>
      <c r="AO1219" s="106"/>
    </row>
    <row r="1220" spans="1:42" s="144" customFormat="1">
      <c r="A1220" s="139"/>
      <c r="B1220" s="139"/>
      <c r="C1220" s="140"/>
      <c r="D1220" s="141"/>
      <c r="E1220" s="141"/>
      <c r="F1220" s="141"/>
      <c r="G1220" s="142"/>
      <c r="H1220" s="142"/>
      <c r="I1220" s="142"/>
      <c r="J1220" s="141"/>
      <c r="K1220" s="141"/>
      <c r="L1220" s="143"/>
      <c r="M1220" s="137"/>
      <c r="N1220" s="143"/>
      <c r="O1220" s="143"/>
      <c r="P1220" s="143"/>
      <c r="Q1220" s="143"/>
      <c r="R1220" s="169"/>
      <c r="S1220" s="143"/>
      <c r="T1220" s="169"/>
      <c r="U1220" s="143"/>
      <c r="V1220" s="143"/>
      <c r="W1220" s="143"/>
      <c r="X1220" s="155"/>
      <c r="Y1220" s="137"/>
      <c r="Z1220" s="155"/>
      <c r="AA1220" s="137"/>
      <c r="AB1220" s="137"/>
      <c r="AC1220" s="137"/>
      <c r="AD1220" s="137"/>
      <c r="AE1220" s="137"/>
      <c r="AF1220" s="137"/>
      <c r="AG1220" s="137"/>
      <c r="AH1220" s="155"/>
      <c r="AI1220" s="155"/>
      <c r="AJ1220" s="137"/>
      <c r="AL1220" s="132"/>
      <c r="AM1220" s="851"/>
      <c r="AN1220" s="141"/>
      <c r="AO1220" s="145"/>
    </row>
    <row r="1221" spans="1:42" s="69" customFormat="1" ht="13.5" thickBot="1">
      <c r="A1221" s="66"/>
      <c r="B1221" s="66"/>
      <c r="C1221" s="67"/>
      <c r="D1221" s="128"/>
      <c r="E1221" s="63"/>
      <c r="F1221" s="63"/>
      <c r="G1221" s="62"/>
      <c r="H1221" s="62"/>
      <c r="I1221" s="62"/>
      <c r="J1221" s="63"/>
      <c r="K1221" s="63"/>
      <c r="L1221" s="65"/>
      <c r="M1221" s="64"/>
      <c r="N1221" s="65"/>
      <c r="O1221" s="65"/>
      <c r="P1221" s="65"/>
      <c r="Q1221" s="65"/>
      <c r="R1221" s="168"/>
      <c r="S1221" s="65"/>
      <c r="T1221" s="168"/>
      <c r="U1221" s="65"/>
      <c r="V1221" s="65"/>
      <c r="W1221" s="65"/>
      <c r="X1221" s="152"/>
      <c r="Y1221" s="64"/>
      <c r="Z1221" s="152"/>
      <c r="AA1221" s="64"/>
      <c r="AB1221" s="64"/>
      <c r="AC1221" s="64"/>
      <c r="AD1221" s="64"/>
      <c r="AE1221" s="64"/>
      <c r="AF1221" s="64"/>
      <c r="AG1221" s="64"/>
      <c r="AH1221" s="152"/>
      <c r="AI1221" s="152"/>
      <c r="AJ1221" s="64"/>
      <c r="AL1221" s="10"/>
      <c r="AM1221" s="850"/>
      <c r="AN1221" s="128"/>
      <c r="AO1221" s="106"/>
    </row>
    <row r="1222" spans="1:42" s="69" customFormat="1" ht="12.75" customHeight="1" thickBot="1">
      <c r="A1222" s="997" t="s">
        <v>565</v>
      </c>
      <c r="B1222" s="766">
        <v>4595</v>
      </c>
      <c r="C1222" s="763">
        <v>29262</v>
      </c>
      <c r="D1222" s="764" t="s">
        <v>557</v>
      </c>
      <c r="E1222" s="312" t="s">
        <v>566</v>
      </c>
      <c r="F1222" s="768" t="s">
        <v>151</v>
      </c>
      <c r="G1222" s="91">
        <v>0</v>
      </c>
      <c r="H1222" s="91">
        <v>0</v>
      </c>
      <c r="I1222" s="661" t="s">
        <v>50</v>
      </c>
      <c r="J1222" s="1047" t="s">
        <v>570</v>
      </c>
      <c r="K1222" s="1348" t="s">
        <v>572</v>
      </c>
      <c r="L1222" s="92">
        <v>1.6639765223771092</v>
      </c>
      <c r="M1222" s="92">
        <v>0.75</v>
      </c>
      <c r="N1222" s="778"/>
      <c r="O1222" s="606"/>
      <c r="P1222" s="606"/>
      <c r="Q1222" s="606"/>
      <c r="R1222" s="606"/>
      <c r="S1222" s="92">
        <v>0.91562729273661037</v>
      </c>
      <c r="T1222" s="126">
        <v>2938.1323045158983</v>
      </c>
      <c r="U1222" s="779"/>
      <c r="V1222" s="779"/>
      <c r="W1222" s="92">
        <v>0</v>
      </c>
      <c r="X1222" s="126">
        <v>0</v>
      </c>
      <c r="Y1222" s="92">
        <v>6.7498165810711663E-2</v>
      </c>
      <c r="Z1222" s="126">
        <v>216.59308655085133</v>
      </c>
      <c r="AA1222" s="778"/>
      <c r="AB1222" s="778"/>
      <c r="AC1222" s="92">
        <v>0.26588407923697727</v>
      </c>
      <c r="AD1222" s="126">
        <v>853.18841919596196</v>
      </c>
      <c r="AE1222" s="1351" t="s">
        <v>19</v>
      </c>
      <c r="AF1222" s="1352"/>
      <c r="AG1222" s="92">
        <v>0.91562729273661037</v>
      </c>
      <c r="AH1222" s="126">
        <v>5876.2646090317967</v>
      </c>
      <c r="AI1222" s="905">
        <f>AH1222</f>
        <v>5876.2646090317967</v>
      </c>
      <c r="AJ1222" s="975">
        <v>46212</v>
      </c>
      <c r="AK1222" s="666">
        <f>AI1222</f>
        <v>5876.2646090317967</v>
      </c>
      <c r="AL1222" s="1284">
        <f>AK1222+AK1223+AK1227+AK1240+AK1253</f>
        <v>4493180.070708517</v>
      </c>
      <c r="AM1222" s="151"/>
      <c r="AN1222" s="90"/>
      <c r="AO1222" s="128"/>
      <c r="AP1222" s="106"/>
    </row>
    <row r="1223" spans="1:42" s="69" customFormat="1" ht="15" customHeight="1">
      <c r="A1223" s="998"/>
      <c r="B1223" s="608">
        <v>4596</v>
      </c>
      <c r="C1223" s="529">
        <v>29262</v>
      </c>
      <c r="D1223" s="222" t="s">
        <v>558</v>
      </c>
      <c r="E1223" s="315" t="s">
        <v>566</v>
      </c>
      <c r="F1223" s="535" t="s">
        <v>151</v>
      </c>
      <c r="G1223" s="11">
        <v>0</v>
      </c>
      <c r="H1223" s="11">
        <v>0</v>
      </c>
      <c r="I1223" s="771" t="s">
        <v>50</v>
      </c>
      <c r="J1223" s="1048"/>
      <c r="K1223" s="1349"/>
      <c r="L1223" s="120">
        <v>1.6639765223771092</v>
      </c>
      <c r="M1223" s="120">
        <v>0.75</v>
      </c>
      <c r="N1223" s="774"/>
      <c r="O1223" s="115"/>
      <c r="P1223" s="115"/>
      <c r="Q1223" s="115"/>
      <c r="R1223" s="115"/>
      <c r="S1223" s="24">
        <v>0.91562729273661037</v>
      </c>
      <c r="T1223" s="159">
        <v>2938.1323045158983</v>
      </c>
      <c r="U1223" s="775"/>
      <c r="V1223" s="775"/>
      <c r="W1223" s="24">
        <v>0</v>
      </c>
      <c r="X1223" s="159">
        <v>0</v>
      </c>
      <c r="Y1223" s="24">
        <v>6.7498165810711663E-2</v>
      </c>
      <c r="Z1223" s="159">
        <v>216.59308655085133</v>
      </c>
      <c r="AA1223" s="774"/>
      <c r="AB1223" s="774"/>
      <c r="AC1223" s="24">
        <v>0.441085840058694</v>
      </c>
      <c r="AD1223" s="159">
        <v>1415.3887351562175</v>
      </c>
      <c r="AE1223" s="1353"/>
      <c r="AF1223" s="1354"/>
      <c r="AG1223" s="24">
        <v>0.91562729273661037</v>
      </c>
      <c r="AH1223" s="159">
        <v>5876.2646090317967</v>
      </c>
      <c r="AI1223" s="906">
        <f t="shared" ref="AI1223:AI1239" si="49">AH1223</f>
        <v>5876.2646090317967</v>
      </c>
      <c r="AJ1223" s="976"/>
      <c r="AK1223" s="1019">
        <f>SUM(AI1223:AI1226)</f>
        <v>987722.9736394342</v>
      </c>
      <c r="AL1223" s="1285"/>
      <c r="AM1223" s="151"/>
      <c r="AN1223" s="90"/>
      <c r="AO1223" s="128"/>
      <c r="AP1223" s="106"/>
    </row>
    <row r="1224" spans="1:42" s="69" customFormat="1" ht="15" customHeight="1">
      <c r="A1224" s="998"/>
      <c r="B1224" s="610"/>
      <c r="C1224" s="525"/>
      <c r="D1224" s="223" t="s">
        <v>559</v>
      </c>
      <c r="E1224" s="225" t="s">
        <v>64</v>
      </c>
      <c r="F1224" s="534" t="s">
        <v>151</v>
      </c>
      <c r="G1224" s="6">
        <v>0</v>
      </c>
      <c r="H1224" s="225" t="s">
        <v>64</v>
      </c>
      <c r="I1224" s="771" t="s">
        <v>50</v>
      </c>
      <c r="J1224" s="1048"/>
      <c r="K1224" s="1349"/>
      <c r="L1224" s="7">
        <v>0.32281731474688186</v>
      </c>
      <c r="M1224" s="225" t="s">
        <v>64</v>
      </c>
      <c r="N1224" s="773"/>
      <c r="O1224" s="188"/>
      <c r="P1224" s="188"/>
      <c r="Q1224" s="188"/>
      <c r="R1224" s="188"/>
      <c r="S1224" s="119">
        <v>0.32281731474688186</v>
      </c>
      <c r="T1224" s="196">
        <v>1035.8799791562465</v>
      </c>
      <c r="U1224" s="494"/>
      <c r="V1224" s="494"/>
      <c r="W1224" s="119">
        <v>0</v>
      </c>
      <c r="X1224" s="196">
        <v>0</v>
      </c>
      <c r="Y1224" s="119">
        <v>6.1628760088041086E-2</v>
      </c>
      <c r="Z1224" s="196">
        <v>197.75890511164738</v>
      </c>
      <c r="AA1224" s="773"/>
      <c r="AB1224" s="773"/>
      <c r="AC1224" s="119">
        <v>8.8041085840058694E-2</v>
      </c>
      <c r="AD1224" s="196">
        <v>282.5127215880666</v>
      </c>
      <c r="AE1224" s="1353"/>
      <c r="AF1224" s="1354"/>
      <c r="AG1224" s="119">
        <v>0.32281731474688186</v>
      </c>
      <c r="AH1224" s="196">
        <v>2071.7599583124929</v>
      </c>
      <c r="AI1224" s="907">
        <f t="shared" si="49"/>
        <v>2071.7599583124929</v>
      </c>
      <c r="AJ1224" s="976"/>
      <c r="AK1224" s="1020"/>
      <c r="AL1224" s="1285"/>
      <c r="AM1224" s="151"/>
      <c r="AN1224" s="90"/>
      <c r="AO1224" s="128"/>
      <c r="AP1224" s="106"/>
    </row>
    <row r="1225" spans="1:42" s="69" customFormat="1" ht="15" customHeight="1">
      <c r="A1225" s="998"/>
      <c r="B1225" s="610"/>
      <c r="C1225" s="525"/>
      <c r="D1225" s="223" t="s">
        <v>560</v>
      </c>
      <c r="E1225" s="225" t="s">
        <v>64</v>
      </c>
      <c r="F1225" s="534" t="s">
        <v>151</v>
      </c>
      <c r="G1225" s="6">
        <v>0</v>
      </c>
      <c r="H1225" s="225" t="s">
        <v>64</v>
      </c>
      <c r="I1225" s="771" t="s">
        <v>50</v>
      </c>
      <c r="J1225" s="1048"/>
      <c r="K1225" s="1349"/>
      <c r="L1225" s="7">
        <v>0.32281731474688186</v>
      </c>
      <c r="M1225" s="225" t="s">
        <v>64</v>
      </c>
      <c r="N1225" s="773"/>
      <c r="O1225" s="188"/>
      <c r="P1225" s="188"/>
      <c r="Q1225" s="188"/>
      <c r="R1225" s="188"/>
      <c r="S1225" s="119">
        <v>0.32281731474688186</v>
      </c>
      <c r="T1225" s="196">
        <v>1035.8799791562465</v>
      </c>
      <c r="U1225" s="494"/>
      <c r="V1225" s="494"/>
      <c r="W1225" s="119">
        <v>0</v>
      </c>
      <c r="X1225" s="196">
        <v>0</v>
      </c>
      <c r="Y1225" s="119">
        <v>6.1628760088041086E-2</v>
      </c>
      <c r="Z1225" s="196">
        <v>197.75890511164738</v>
      </c>
      <c r="AA1225" s="773"/>
      <c r="AB1225" s="773"/>
      <c r="AC1225" s="119">
        <v>8.8041085840058694E-2</v>
      </c>
      <c r="AD1225" s="196">
        <v>282.5127215880666</v>
      </c>
      <c r="AE1225" s="1353"/>
      <c r="AF1225" s="1354"/>
      <c r="AG1225" s="119">
        <v>0.32281731474688186</v>
      </c>
      <c r="AH1225" s="196">
        <v>2071.7599583124929</v>
      </c>
      <c r="AI1225" s="907">
        <f t="shared" si="49"/>
        <v>2071.7599583124929</v>
      </c>
      <c r="AJ1225" s="976"/>
      <c r="AK1225" s="1020"/>
      <c r="AL1225" s="1285"/>
      <c r="AM1225" s="151"/>
      <c r="AN1225" s="90"/>
      <c r="AO1225" s="128"/>
      <c r="AP1225" s="106"/>
    </row>
    <row r="1226" spans="1:42" s="69" customFormat="1" ht="15" customHeight="1" thickBot="1">
      <c r="A1226" s="998"/>
      <c r="B1226" s="667"/>
      <c r="C1226" s="527"/>
      <c r="D1226" s="224" t="s">
        <v>561</v>
      </c>
      <c r="E1226" s="226" t="s">
        <v>64</v>
      </c>
      <c r="F1226" s="536" t="s">
        <v>151</v>
      </c>
      <c r="G1226" s="27">
        <v>6521.5612619222302</v>
      </c>
      <c r="H1226" s="226" t="s">
        <v>64</v>
      </c>
      <c r="I1226" s="660" t="s">
        <v>50</v>
      </c>
      <c r="J1226" s="1049"/>
      <c r="K1226" s="1349"/>
      <c r="L1226" s="28">
        <v>152.34367131327954</v>
      </c>
      <c r="M1226" s="226" t="s">
        <v>64</v>
      </c>
      <c r="N1226" s="776"/>
      <c r="O1226" s="116"/>
      <c r="P1226" s="116"/>
      <c r="Q1226" s="116"/>
      <c r="R1226" s="116"/>
      <c r="S1226" s="28">
        <v>152.34367131327954</v>
      </c>
      <c r="T1226" s="118">
        <v>488851.59455688874</v>
      </c>
      <c r="U1226" s="777"/>
      <c r="V1226" s="777"/>
      <c r="W1226" s="28">
        <v>84.780296404989002</v>
      </c>
      <c r="X1226" s="118">
        <v>272049.26025024767</v>
      </c>
      <c r="Y1226" s="28">
        <v>10.213743800440206</v>
      </c>
      <c r="Z1226" s="118">
        <v>32774.61347884361</v>
      </c>
      <c r="AA1226" s="776"/>
      <c r="AB1226" s="776"/>
      <c r="AC1226" s="28">
        <v>20.180971386647101</v>
      </c>
      <c r="AD1226" s="118">
        <v>64758.187570404159</v>
      </c>
      <c r="AE1226" s="1353"/>
      <c r="AF1226" s="1354"/>
      <c r="AG1226" s="28">
        <v>152.34367131327954</v>
      </c>
      <c r="AH1226" s="118">
        <v>977703.18911377748</v>
      </c>
      <c r="AI1226" s="908">
        <f t="shared" si="49"/>
        <v>977703.18911377748</v>
      </c>
      <c r="AJ1226" s="976"/>
      <c r="AK1226" s="1021"/>
      <c r="AL1226" s="1285"/>
      <c r="AM1226" s="151"/>
      <c r="AN1226" s="90"/>
      <c r="AO1226" s="128"/>
      <c r="AP1226" s="106"/>
    </row>
    <row r="1227" spans="1:42" s="69" customFormat="1" ht="15" customHeight="1">
      <c r="A1227" s="998"/>
      <c r="B1227" s="668">
        <v>8753</v>
      </c>
      <c r="C1227" s="529">
        <v>32480</v>
      </c>
      <c r="D1227" s="223" t="s">
        <v>791</v>
      </c>
      <c r="E1227" s="223" t="s">
        <v>562</v>
      </c>
      <c r="F1227" s="535" t="s">
        <v>151</v>
      </c>
      <c r="G1227" s="11">
        <v>332.33</v>
      </c>
      <c r="H1227" s="11">
        <v>178.54732208363905</v>
      </c>
      <c r="I1227" s="771" t="s">
        <v>50</v>
      </c>
      <c r="J1227" s="1047" t="s">
        <v>792</v>
      </c>
      <c r="K1227" s="1349"/>
      <c r="L1227" s="120">
        <v>80.239999999999995</v>
      </c>
      <c r="M1227" s="120">
        <v>53.46</v>
      </c>
      <c r="N1227" s="774"/>
      <c r="O1227" s="115"/>
      <c r="P1227" s="115"/>
      <c r="Q1227" s="115"/>
      <c r="R1227" s="115"/>
      <c r="S1227" s="24">
        <v>26.78</v>
      </c>
      <c r="T1227" s="159">
        <v>13662</v>
      </c>
      <c r="U1227" s="775"/>
      <c r="V1227" s="775"/>
      <c r="W1227" s="24">
        <v>-2.3477622890660967E-4</v>
      </c>
      <c r="X1227" s="159">
        <v>-0.11977286664842876</v>
      </c>
      <c r="Y1227" s="24">
        <v>4.45</v>
      </c>
      <c r="Z1227" s="159">
        <v>2270</v>
      </c>
      <c r="AA1227" s="774"/>
      <c r="AB1227" s="774"/>
      <c r="AC1227" s="24">
        <v>6.88</v>
      </c>
      <c r="AD1227" s="159">
        <v>3510</v>
      </c>
      <c r="AE1227" s="1353"/>
      <c r="AF1227" s="1354"/>
      <c r="AG1227" s="24">
        <v>26.78</v>
      </c>
      <c r="AH1227" s="159">
        <v>27324</v>
      </c>
      <c r="AI1227" s="906">
        <f t="shared" si="49"/>
        <v>27324</v>
      </c>
      <c r="AJ1227" s="976"/>
      <c r="AK1227" s="1019">
        <f>SUM(AI1227:AI1239)</f>
        <v>1653094.9675910235</v>
      </c>
      <c r="AL1227" s="1285"/>
      <c r="AM1227" s="151"/>
      <c r="AN1227" s="90"/>
      <c r="AO1227" s="128"/>
      <c r="AP1227" s="106"/>
    </row>
    <row r="1228" spans="1:42" s="69" customFormat="1" ht="15" customHeight="1">
      <c r="A1228" s="998"/>
      <c r="B1228" s="669"/>
      <c r="C1228" s="525"/>
      <c r="D1228" s="223" t="s">
        <v>809</v>
      </c>
      <c r="E1228" s="225" t="s">
        <v>64</v>
      </c>
      <c r="F1228" s="534" t="s">
        <v>151</v>
      </c>
      <c r="G1228" s="6">
        <v>111.52</v>
      </c>
      <c r="H1228" s="225" t="s">
        <v>64</v>
      </c>
      <c r="I1228" s="771" t="s">
        <v>50</v>
      </c>
      <c r="J1228" s="1048"/>
      <c r="K1228" s="1349"/>
      <c r="L1228" s="7">
        <v>38.738077769625825</v>
      </c>
      <c r="M1228" s="225" t="s">
        <v>64</v>
      </c>
      <c r="N1228" s="773"/>
      <c r="O1228" s="188"/>
      <c r="P1228" s="188"/>
      <c r="Q1228" s="188"/>
      <c r="R1228" s="188"/>
      <c r="S1228" s="119">
        <v>38.738077769625825</v>
      </c>
      <c r="T1228" s="196">
        <v>19762.522997008724</v>
      </c>
      <c r="U1228" s="494"/>
      <c r="V1228" s="494"/>
      <c r="W1228" s="119">
        <v>0</v>
      </c>
      <c r="X1228" s="196">
        <v>0</v>
      </c>
      <c r="Y1228" s="119">
        <v>2.3888481291269259</v>
      </c>
      <c r="Z1228" s="196">
        <v>1218.6889181488693</v>
      </c>
      <c r="AA1228" s="773"/>
      <c r="AB1228" s="773"/>
      <c r="AC1228" s="119">
        <v>11.181217901687454</v>
      </c>
      <c r="AD1228" s="196">
        <v>5704.1827741366078</v>
      </c>
      <c r="AE1228" s="1353"/>
      <c r="AF1228" s="1354"/>
      <c r="AG1228" s="119">
        <v>38.738077769625825</v>
      </c>
      <c r="AH1228" s="196">
        <v>39525.045994017448</v>
      </c>
      <c r="AI1228" s="907">
        <f t="shared" si="49"/>
        <v>39525.045994017448</v>
      </c>
      <c r="AJ1228" s="976"/>
      <c r="AK1228" s="1020"/>
      <c r="AL1228" s="1285"/>
      <c r="AM1228" s="151"/>
      <c r="AN1228" s="90"/>
      <c r="AO1228" s="128"/>
      <c r="AP1228" s="106"/>
    </row>
    <row r="1229" spans="1:42" s="69" customFormat="1" ht="15" customHeight="1">
      <c r="A1229" s="998"/>
      <c r="B1229" s="669"/>
      <c r="C1229" s="525"/>
      <c r="D1229" s="223" t="s">
        <v>810</v>
      </c>
      <c r="E1229" s="225" t="s">
        <v>64</v>
      </c>
      <c r="F1229" s="534" t="s">
        <v>151</v>
      </c>
      <c r="G1229" s="73">
        <v>217.38537539740767</v>
      </c>
      <c r="H1229" s="225" t="s">
        <v>64</v>
      </c>
      <c r="I1229" s="771" t="s">
        <v>50</v>
      </c>
      <c r="J1229" s="1048"/>
      <c r="K1229" s="1349"/>
      <c r="L1229" s="7">
        <v>42.039074492540969</v>
      </c>
      <c r="M1229" s="225" t="s">
        <v>64</v>
      </c>
      <c r="N1229" s="773"/>
      <c r="O1229" s="188"/>
      <c r="P1229" s="188"/>
      <c r="Q1229" s="188"/>
      <c r="R1229" s="188"/>
      <c r="S1229" s="119">
        <v>42.039074492540969</v>
      </c>
      <c r="T1229" s="196">
        <v>21446.551410540687</v>
      </c>
      <c r="U1229" s="494"/>
      <c r="V1229" s="494"/>
      <c r="W1229" s="119">
        <v>2.8260098801662998</v>
      </c>
      <c r="X1229" s="196">
        <v>1441.7102877095044</v>
      </c>
      <c r="Y1229" s="119">
        <v>2.4600961555392518</v>
      </c>
      <c r="Z1229" s="196">
        <v>1255.0366370222428</v>
      </c>
      <c r="AA1229" s="773"/>
      <c r="AB1229" s="773"/>
      <c r="AC1229" s="119">
        <v>11.323713954512106</v>
      </c>
      <c r="AD1229" s="196">
        <v>5776.8782118833578</v>
      </c>
      <c r="AE1229" s="1353"/>
      <c r="AF1229" s="1354"/>
      <c r="AG1229" s="119">
        <v>42.039074492540969</v>
      </c>
      <c r="AH1229" s="196">
        <v>42893.102821081375</v>
      </c>
      <c r="AI1229" s="907">
        <f t="shared" si="49"/>
        <v>42893.102821081375</v>
      </c>
      <c r="AJ1229" s="976"/>
      <c r="AK1229" s="1020"/>
      <c r="AL1229" s="1285"/>
      <c r="AM1229" s="151"/>
      <c r="AN1229" s="90"/>
      <c r="AO1229" s="128"/>
      <c r="AP1229" s="106"/>
    </row>
    <row r="1230" spans="1:42" s="69" customFormat="1" ht="15" customHeight="1">
      <c r="A1230" s="998"/>
      <c r="B1230" s="669"/>
      <c r="C1230" s="525"/>
      <c r="D1230" s="223" t="s">
        <v>811</v>
      </c>
      <c r="E1230" s="225" t="s">
        <v>64</v>
      </c>
      <c r="F1230" s="534" t="s">
        <v>151</v>
      </c>
      <c r="G1230" s="73">
        <v>21.738537539740769</v>
      </c>
      <c r="H1230" s="225" t="s">
        <v>64</v>
      </c>
      <c r="I1230" s="771" t="s">
        <v>50</v>
      </c>
      <c r="J1230" s="1048"/>
      <c r="K1230" s="1349"/>
      <c r="L1230" s="7">
        <v>28.173147468818783</v>
      </c>
      <c r="M1230" s="225" t="s">
        <v>64</v>
      </c>
      <c r="N1230" s="773"/>
      <c r="O1230" s="188"/>
      <c r="P1230" s="188"/>
      <c r="Q1230" s="188"/>
      <c r="R1230" s="188"/>
      <c r="S1230" s="119">
        <v>28.173147468818783</v>
      </c>
      <c r="T1230" s="196">
        <v>14372.743997824527</v>
      </c>
      <c r="U1230" s="494"/>
      <c r="V1230" s="494"/>
      <c r="W1230" s="119">
        <v>0</v>
      </c>
      <c r="X1230" s="196">
        <v>0</v>
      </c>
      <c r="Y1230" s="119">
        <v>2.3888481291269259</v>
      </c>
      <c r="Z1230" s="196">
        <v>1218.6889181488693</v>
      </c>
      <c r="AA1230" s="773"/>
      <c r="AB1230" s="773"/>
      <c r="AC1230" s="119">
        <v>8.0117388114453405</v>
      </c>
      <c r="AD1230" s="196">
        <v>4087.2490743813446</v>
      </c>
      <c r="AE1230" s="1353"/>
      <c r="AF1230" s="1354"/>
      <c r="AG1230" s="119">
        <v>28.173147468818783</v>
      </c>
      <c r="AH1230" s="196">
        <v>28745.487995649055</v>
      </c>
      <c r="AI1230" s="907">
        <f t="shared" si="49"/>
        <v>28745.487995649055</v>
      </c>
      <c r="AJ1230" s="976"/>
      <c r="AK1230" s="1020"/>
      <c r="AL1230" s="1285"/>
      <c r="AM1230" s="151"/>
      <c r="AN1230" s="90"/>
      <c r="AO1230" s="128"/>
      <c r="AP1230" s="106"/>
    </row>
    <row r="1231" spans="1:42" s="69" customFormat="1" ht="15" customHeight="1">
      <c r="A1231" s="998"/>
      <c r="B1231" s="669"/>
      <c r="C1231" s="525"/>
      <c r="D1231" s="223" t="s">
        <v>812</v>
      </c>
      <c r="E1231" s="225" t="s">
        <v>64</v>
      </c>
      <c r="F1231" s="534" t="s">
        <v>151</v>
      </c>
      <c r="G1231" s="6">
        <v>42259.721203228175</v>
      </c>
      <c r="H1231" s="225" t="s">
        <v>64</v>
      </c>
      <c r="I1231" s="771" t="s">
        <v>50</v>
      </c>
      <c r="J1231" s="1048"/>
      <c r="K1231" s="1349"/>
      <c r="L1231" s="7">
        <v>1061.5113719735878</v>
      </c>
      <c r="M1231" s="225" t="s">
        <v>64</v>
      </c>
      <c r="N1231" s="773"/>
      <c r="O1231" s="188"/>
      <c r="P1231" s="188"/>
      <c r="Q1231" s="188"/>
      <c r="R1231" s="188"/>
      <c r="S1231" s="119">
        <v>1061.5113719735878</v>
      </c>
      <c r="T1231" s="196">
        <v>541538.04494303185</v>
      </c>
      <c r="U1231" s="494"/>
      <c r="V1231" s="494"/>
      <c r="W1231" s="119">
        <v>549.37637564196632</v>
      </c>
      <c r="X1231" s="196">
        <v>280268.50795757899</v>
      </c>
      <c r="Y1231" s="119">
        <v>74.98312545854732</v>
      </c>
      <c r="Z1231" s="196">
        <v>38253.207866293247</v>
      </c>
      <c r="AA1231" s="773"/>
      <c r="AB1231" s="773"/>
      <c r="AC1231" s="119">
        <v>153.20029347028614</v>
      </c>
      <c r="AD1231" s="196">
        <v>78156.286970670059</v>
      </c>
      <c r="AE1231" s="1353"/>
      <c r="AF1231" s="1354"/>
      <c r="AG1231" s="119">
        <v>1061.5113719735878</v>
      </c>
      <c r="AH1231" s="196">
        <v>1083076.0898860637</v>
      </c>
      <c r="AI1231" s="907">
        <f t="shared" si="49"/>
        <v>1083076.0898860637</v>
      </c>
      <c r="AJ1231" s="976"/>
      <c r="AK1231" s="1020"/>
      <c r="AL1231" s="1285"/>
      <c r="AM1231" s="151"/>
      <c r="AN1231" s="90"/>
      <c r="AO1231" s="128"/>
      <c r="AP1231" s="106"/>
    </row>
    <row r="1232" spans="1:42" s="69" customFormat="1" ht="15" customHeight="1">
      <c r="A1232" s="998"/>
      <c r="B1232" s="669"/>
      <c r="C1232" s="525"/>
      <c r="D1232" s="223" t="s">
        <v>813</v>
      </c>
      <c r="E1232" s="223" t="s">
        <v>441</v>
      </c>
      <c r="F1232" s="534" t="s">
        <v>151</v>
      </c>
      <c r="G1232" s="6">
        <v>1760.8217168011738</v>
      </c>
      <c r="H1232" s="770" t="s">
        <v>542</v>
      </c>
      <c r="I1232" s="771"/>
      <c r="J1232" s="1048"/>
      <c r="K1232" s="1349"/>
      <c r="L1232" s="7">
        <v>69.288334556126188</v>
      </c>
      <c r="M1232" s="780" t="s">
        <v>542</v>
      </c>
      <c r="N1232" s="773"/>
      <c r="O1232" s="188"/>
      <c r="P1232" s="188"/>
      <c r="Q1232" s="188"/>
      <c r="R1232" s="188"/>
      <c r="S1232" s="119">
        <v>69.288334556126188</v>
      </c>
      <c r="T1232" s="196">
        <v>35347.9672696497</v>
      </c>
      <c r="U1232" s="494"/>
      <c r="V1232" s="494"/>
      <c r="W1232" s="119">
        <v>0</v>
      </c>
      <c r="X1232" s="196">
        <v>0</v>
      </c>
      <c r="Y1232" s="119">
        <v>5.1225238444607486</v>
      </c>
      <c r="Z1232" s="196">
        <v>2613.2942341877838</v>
      </c>
      <c r="AA1232" s="773"/>
      <c r="AB1232" s="773"/>
      <c r="AC1232" s="119">
        <v>13.479090242112987</v>
      </c>
      <c r="AD1232" s="196">
        <v>6876.4597064591781</v>
      </c>
      <c r="AE1232" s="1353"/>
      <c r="AF1232" s="1354"/>
      <c r="AG1232" s="119">
        <v>69.288334556126188</v>
      </c>
      <c r="AH1232" s="196">
        <v>70695.9345392994</v>
      </c>
      <c r="AI1232" s="907">
        <f t="shared" si="49"/>
        <v>70695.9345392994</v>
      </c>
      <c r="AJ1232" s="976"/>
      <c r="AK1232" s="1020"/>
      <c r="AL1232" s="1285"/>
      <c r="AM1232" s="151"/>
      <c r="AN1232" s="90"/>
      <c r="AO1232" s="128"/>
      <c r="AP1232" s="106"/>
    </row>
    <row r="1233" spans="1:42" s="69" customFormat="1" ht="15" customHeight="1">
      <c r="A1233" s="998"/>
      <c r="B1233" s="669"/>
      <c r="C1233" s="525"/>
      <c r="D1233" s="223" t="s">
        <v>814</v>
      </c>
      <c r="E1233" s="225" t="s">
        <v>64</v>
      </c>
      <c r="F1233" s="534" t="s">
        <v>151</v>
      </c>
      <c r="G1233" s="6">
        <v>2201.0271460014674</v>
      </c>
      <c r="H1233" s="320" t="s">
        <v>64</v>
      </c>
      <c r="I1233" s="659" t="s">
        <v>50</v>
      </c>
      <c r="J1233" s="1048"/>
      <c r="K1233" s="1349"/>
      <c r="L1233" s="7">
        <v>51.460014673514308</v>
      </c>
      <c r="M1233" s="225" t="s">
        <v>64</v>
      </c>
      <c r="N1233" s="773"/>
      <c r="O1233" s="188"/>
      <c r="P1233" s="188"/>
      <c r="Q1233" s="188"/>
      <c r="R1233" s="188"/>
      <c r="S1233" s="119">
        <v>59.9</v>
      </c>
      <c r="T1233" s="196">
        <v>30558</v>
      </c>
      <c r="U1233" s="494"/>
      <c r="V1233" s="494"/>
      <c r="W1233" s="119">
        <v>0</v>
      </c>
      <c r="X1233" s="196">
        <v>0</v>
      </c>
      <c r="Y1233" s="119">
        <v>7.15</v>
      </c>
      <c r="Z1233" s="196">
        <v>3648</v>
      </c>
      <c r="AA1233" s="773"/>
      <c r="AB1233" s="773"/>
      <c r="AC1233" s="119">
        <v>17.53</v>
      </c>
      <c r="AD1233" s="196">
        <v>8943</v>
      </c>
      <c r="AE1233" s="1353"/>
      <c r="AF1233" s="1354"/>
      <c r="AG1233" s="119">
        <v>59.9</v>
      </c>
      <c r="AH1233" s="196">
        <v>61117</v>
      </c>
      <c r="AI1233" s="907">
        <f t="shared" si="49"/>
        <v>61117</v>
      </c>
      <c r="AJ1233" s="976"/>
      <c r="AK1233" s="1020"/>
      <c r="AL1233" s="1285"/>
      <c r="AM1233" s="151"/>
      <c r="AN1233" s="90"/>
      <c r="AO1233" s="128"/>
      <c r="AP1233" s="106"/>
    </row>
    <row r="1234" spans="1:42" s="69" customFormat="1" ht="15" customHeight="1">
      <c r="A1234" s="998"/>
      <c r="B1234" s="669"/>
      <c r="C1234" s="525"/>
      <c r="D1234" s="223" t="s">
        <v>815</v>
      </c>
      <c r="E1234" s="225" t="s">
        <v>64</v>
      </c>
      <c r="F1234" s="534" t="s">
        <v>151</v>
      </c>
      <c r="G1234" s="73">
        <v>652.15553925165079</v>
      </c>
      <c r="H1234" s="320" t="s">
        <v>64</v>
      </c>
      <c r="I1234" s="659" t="s">
        <v>50</v>
      </c>
      <c r="J1234" s="1048"/>
      <c r="K1234" s="1349"/>
      <c r="L1234" s="7">
        <v>42.126013206162874</v>
      </c>
      <c r="M1234" s="225" t="s">
        <v>64</v>
      </c>
      <c r="N1234" s="773"/>
      <c r="O1234" s="188"/>
      <c r="P1234" s="188"/>
      <c r="Q1234" s="188"/>
      <c r="R1234" s="188"/>
      <c r="S1234" s="119">
        <v>42.126013206162874</v>
      </c>
      <c r="T1234" s="196">
        <v>21490.903852019634</v>
      </c>
      <c r="U1234" s="494"/>
      <c r="V1234" s="494"/>
      <c r="W1234" s="119">
        <v>8.4780220102714612</v>
      </c>
      <c r="X1234" s="196">
        <v>4325.1269705103487</v>
      </c>
      <c r="Y1234" s="119">
        <v>3.210074688187821</v>
      </c>
      <c r="Z1234" s="196">
        <v>1637.6438507015862</v>
      </c>
      <c r="AA1234" s="773"/>
      <c r="AB1234" s="773"/>
      <c r="AC1234" s="119">
        <v>9.6541919295671317</v>
      </c>
      <c r="AD1234" s="196">
        <v>4925.1589394867742</v>
      </c>
      <c r="AE1234" s="1353"/>
      <c r="AF1234" s="1354"/>
      <c r="AG1234" s="119">
        <v>42.126013206162874</v>
      </c>
      <c r="AH1234" s="196">
        <v>42981.807704039267</v>
      </c>
      <c r="AI1234" s="907">
        <f t="shared" si="49"/>
        <v>42981.807704039267</v>
      </c>
      <c r="AJ1234" s="976"/>
      <c r="AK1234" s="1020"/>
      <c r="AL1234" s="1285"/>
      <c r="AM1234" s="151"/>
      <c r="AN1234" s="107"/>
      <c r="AO1234" s="128"/>
      <c r="AP1234" s="106"/>
    </row>
    <row r="1235" spans="1:42" s="69" customFormat="1" ht="12.75" customHeight="1">
      <c r="A1235" s="998"/>
      <c r="B1235" s="669"/>
      <c r="C1235" s="525"/>
      <c r="D1235" s="223" t="s">
        <v>816</v>
      </c>
      <c r="E1235" s="225" t="s">
        <v>64</v>
      </c>
      <c r="F1235" s="535" t="s">
        <v>151</v>
      </c>
      <c r="G1235" s="73">
        <v>3260.7806309611151</v>
      </c>
      <c r="H1235" s="320" t="s">
        <v>64</v>
      </c>
      <c r="I1235" s="659" t="s">
        <v>50</v>
      </c>
      <c r="J1235" s="1048"/>
      <c r="K1235" s="1349"/>
      <c r="L1235" s="7">
        <v>106.03732795304475</v>
      </c>
      <c r="M1235" s="225" t="s">
        <v>64</v>
      </c>
      <c r="N1235" s="773"/>
      <c r="O1235" s="188"/>
      <c r="P1235" s="188"/>
      <c r="Q1235" s="188"/>
      <c r="R1235" s="188"/>
      <c r="S1235" s="119">
        <v>106.03732795304475</v>
      </c>
      <c r="T1235" s="196">
        <v>54095.743848614889</v>
      </c>
      <c r="U1235" s="494"/>
      <c r="V1235" s="494"/>
      <c r="W1235" s="119">
        <v>42.390148202494501</v>
      </c>
      <c r="X1235" s="196">
        <v>21625.654315642518</v>
      </c>
      <c r="Y1235" s="119">
        <v>7.709952971386647</v>
      </c>
      <c r="Z1235" s="196">
        <v>3933.2907484210496</v>
      </c>
      <c r="AA1235" s="773"/>
      <c r="AB1235" s="773"/>
      <c r="AC1235" s="119">
        <v>18.653948495964784</v>
      </c>
      <c r="AD1235" s="196">
        <v>9516.4527349257096</v>
      </c>
      <c r="AE1235" s="1353"/>
      <c r="AF1235" s="1354"/>
      <c r="AG1235" s="119">
        <v>106.03732795304475</v>
      </c>
      <c r="AH1235" s="196">
        <v>108191.48769722978</v>
      </c>
      <c r="AI1235" s="907">
        <f t="shared" si="49"/>
        <v>108191.48769722978</v>
      </c>
      <c r="AJ1235" s="976"/>
      <c r="AK1235" s="1020"/>
      <c r="AL1235" s="1285"/>
      <c r="AM1235" s="151"/>
      <c r="AN1235" s="90"/>
      <c r="AO1235" s="128"/>
      <c r="AP1235" s="106"/>
    </row>
    <row r="1236" spans="1:42" s="69" customFormat="1" ht="15" customHeight="1">
      <c r="A1236" s="998"/>
      <c r="B1236" s="669"/>
      <c r="C1236" s="525"/>
      <c r="D1236" s="223" t="s">
        <v>820</v>
      </c>
      <c r="E1236" s="225" t="s">
        <v>64</v>
      </c>
      <c r="F1236" s="534" t="s">
        <v>151</v>
      </c>
      <c r="G1236" s="73">
        <v>1304.3122523844461</v>
      </c>
      <c r="H1236" s="320" t="s">
        <v>64</v>
      </c>
      <c r="I1236" s="659" t="s">
        <v>50</v>
      </c>
      <c r="J1236" s="1048"/>
      <c r="K1236" s="1349"/>
      <c r="L1236" s="7">
        <v>41.147793396918559</v>
      </c>
      <c r="M1236" s="225" t="s">
        <v>64</v>
      </c>
      <c r="N1236" s="773"/>
      <c r="O1236" s="188"/>
      <c r="P1236" s="188"/>
      <c r="Q1236" s="188"/>
      <c r="R1236" s="188"/>
      <c r="S1236" s="119">
        <v>41.147793396918559</v>
      </c>
      <c r="T1236" s="196">
        <v>20991.8576269775</v>
      </c>
      <c r="U1236" s="494"/>
      <c r="V1236" s="494"/>
      <c r="W1236" s="119">
        <v>0</v>
      </c>
      <c r="X1236" s="196">
        <v>0</v>
      </c>
      <c r="Y1236" s="119">
        <v>4.34</v>
      </c>
      <c r="Z1236" s="196">
        <v>2214</v>
      </c>
      <c r="AA1236" s="773"/>
      <c r="AB1236" s="773"/>
      <c r="AC1236" s="119">
        <v>11.904132589875275</v>
      </c>
      <c r="AD1236" s="196">
        <v>6072.9831631272418</v>
      </c>
      <c r="AE1236" s="1353"/>
      <c r="AF1236" s="1354"/>
      <c r="AG1236" s="119">
        <v>41.147793396918559</v>
      </c>
      <c r="AH1236" s="196">
        <v>41983.715253955001</v>
      </c>
      <c r="AI1236" s="907">
        <f t="shared" si="49"/>
        <v>41983.715253955001</v>
      </c>
      <c r="AJ1236" s="976"/>
      <c r="AK1236" s="1020"/>
      <c r="AL1236" s="1285"/>
      <c r="AM1236" s="151"/>
      <c r="AN1236" s="90"/>
      <c r="AO1236" s="128"/>
      <c r="AP1236" s="106"/>
    </row>
    <row r="1237" spans="1:42" s="69" customFormat="1" ht="15" customHeight="1">
      <c r="A1237" s="998"/>
      <c r="B1237" s="669"/>
      <c r="C1237" s="525"/>
      <c r="D1237" s="223" t="s">
        <v>821</v>
      </c>
      <c r="E1237" s="225" t="s">
        <v>64</v>
      </c>
      <c r="F1237" s="534" t="s">
        <v>151</v>
      </c>
      <c r="G1237" s="73">
        <v>326.0777696258254</v>
      </c>
      <c r="H1237" s="320" t="s">
        <v>64</v>
      </c>
      <c r="I1237" s="659" t="s">
        <v>50</v>
      </c>
      <c r="J1237" s="1048"/>
      <c r="K1237" s="1349"/>
      <c r="L1237" s="7">
        <v>32.412158473954513</v>
      </c>
      <c r="M1237" s="225" t="s">
        <v>64</v>
      </c>
      <c r="N1237" s="773"/>
      <c r="O1237" s="188"/>
      <c r="P1237" s="188"/>
      <c r="Q1237" s="188"/>
      <c r="R1237" s="188"/>
      <c r="S1237" s="119">
        <v>34.14</v>
      </c>
      <c r="T1237" s="196">
        <v>17417</v>
      </c>
      <c r="U1237" s="494"/>
      <c r="V1237" s="494"/>
      <c r="W1237" s="119">
        <v>4.2390110051357306</v>
      </c>
      <c r="X1237" s="196">
        <v>2162.5634852551743</v>
      </c>
      <c r="Y1237" s="119">
        <v>2.3888481291269259</v>
      </c>
      <c r="Z1237" s="196">
        <v>1218.6889181488693</v>
      </c>
      <c r="AA1237" s="773"/>
      <c r="AB1237" s="773"/>
      <c r="AC1237" s="119">
        <v>8.5299999999999994</v>
      </c>
      <c r="AD1237" s="196">
        <v>4352</v>
      </c>
      <c r="AE1237" s="1353"/>
      <c r="AF1237" s="1354"/>
      <c r="AG1237" s="119">
        <v>34.14</v>
      </c>
      <c r="AH1237" s="196">
        <v>34834</v>
      </c>
      <c r="AI1237" s="907">
        <f t="shared" si="49"/>
        <v>34834</v>
      </c>
      <c r="AJ1237" s="976"/>
      <c r="AK1237" s="1020"/>
      <c r="AL1237" s="1285"/>
      <c r="AM1237" s="151"/>
      <c r="AN1237" s="90"/>
      <c r="AO1237" s="128"/>
      <c r="AP1237" s="106"/>
    </row>
    <row r="1238" spans="1:42" s="69" customFormat="1" ht="15" customHeight="1">
      <c r="A1238" s="998"/>
      <c r="B1238" s="669"/>
      <c r="C1238" s="525"/>
      <c r="D1238" s="223" t="s">
        <v>822</v>
      </c>
      <c r="E1238" s="225" t="s">
        <v>64</v>
      </c>
      <c r="F1238" s="534" t="s">
        <v>151</v>
      </c>
      <c r="G1238" s="6">
        <v>146.73514306676449</v>
      </c>
      <c r="H1238" s="320" t="s">
        <v>64</v>
      </c>
      <c r="I1238" s="659" t="s">
        <v>50</v>
      </c>
      <c r="J1238" s="1048"/>
      <c r="K1238" s="1349"/>
      <c r="L1238" s="7">
        <v>28.173147468818783</v>
      </c>
      <c r="M1238" s="225" t="s">
        <v>64</v>
      </c>
      <c r="N1238" s="773"/>
      <c r="O1238" s="188"/>
      <c r="P1238" s="188"/>
      <c r="Q1238" s="188"/>
      <c r="R1238" s="188"/>
      <c r="S1238" s="119">
        <v>28.173147468818783</v>
      </c>
      <c r="T1238" s="196">
        <v>14372.743997824527</v>
      </c>
      <c r="U1238" s="494"/>
      <c r="V1238" s="494"/>
      <c r="W1238" s="119">
        <v>0</v>
      </c>
      <c r="X1238" s="196">
        <v>0</v>
      </c>
      <c r="Y1238" s="119">
        <v>2.3888481291269259</v>
      </c>
      <c r="Z1238" s="196">
        <v>1218.6889181488693</v>
      </c>
      <c r="AA1238" s="773"/>
      <c r="AB1238" s="773"/>
      <c r="AC1238" s="119">
        <v>8.0117388114453405</v>
      </c>
      <c r="AD1238" s="196">
        <v>4087.2490743813446</v>
      </c>
      <c r="AE1238" s="1353"/>
      <c r="AF1238" s="1354"/>
      <c r="AG1238" s="119">
        <v>28.173147468818783</v>
      </c>
      <c r="AH1238" s="196">
        <v>28745.487995649055</v>
      </c>
      <c r="AI1238" s="907">
        <f t="shared" si="49"/>
        <v>28745.487995649055</v>
      </c>
      <c r="AJ1238" s="976"/>
      <c r="AK1238" s="1020"/>
      <c r="AL1238" s="1285"/>
      <c r="AM1238" s="151"/>
      <c r="AN1238" s="90"/>
      <c r="AO1238" s="128"/>
      <c r="AP1238" s="106"/>
    </row>
    <row r="1239" spans="1:42" s="69" customFormat="1" ht="15" customHeight="1" thickBot="1">
      <c r="A1239" s="998"/>
      <c r="B1239" s="670"/>
      <c r="C1239" s="527"/>
      <c r="D1239" s="224" t="s">
        <v>823</v>
      </c>
      <c r="E1239" s="226" t="s">
        <v>64</v>
      </c>
      <c r="F1239" s="536" t="s">
        <v>151</v>
      </c>
      <c r="G1239" s="94">
        <v>652.15553925165079</v>
      </c>
      <c r="H1239" s="226" t="s">
        <v>64</v>
      </c>
      <c r="I1239" s="660" t="s">
        <v>50</v>
      </c>
      <c r="J1239" s="1048"/>
      <c r="K1239" s="1349"/>
      <c r="L1239" s="28">
        <v>42.126013206162874</v>
      </c>
      <c r="M1239" s="226" t="s">
        <v>64</v>
      </c>
      <c r="N1239" s="776"/>
      <c r="O1239" s="116"/>
      <c r="P1239" s="116"/>
      <c r="Q1239" s="116"/>
      <c r="R1239" s="116"/>
      <c r="S1239" s="28">
        <v>42.126013206162874</v>
      </c>
      <c r="T1239" s="118">
        <v>21490.903852019634</v>
      </c>
      <c r="U1239" s="777"/>
      <c r="V1239" s="777"/>
      <c r="W1239" s="28">
        <v>8.4780220102714612</v>
      </c>
      <c r="X1239" s="118">
        <v>4325.1269705103487</v>
      </c>
      <c r="Y1239" s="28">
        <v>3.210074688187821</v>
      </c>
      <c r="Z1239" s="118">
        <v>1637.6438507015862</v>
      </c>
      <c r="AA1239" s="776"/>
      <c r="AB1239" s="776"/>
      <c r="AC1239" s="28">
        <v>9.6541919295671317</v>
      </c>
      <c r="AD1239" s="118">
        <v>4925.1589394867742</v>
      </c>
      <c r="AE1239" s="1353"/>
      <c r="AF1239" s="1354"/>
      <c r="AG1239" s="28">
        <v>42.126013206162874</v>
      </c>
      <c r="AH1239" s="118">
        <v>42981.807704039267</v>
      </c>
      <c r="AI1239" s="908">
        <f t="shared" si="49"/>
        <v>42981.807704039267</v>
      </c>
      <c r="AJ1239" s="977"/>
      <c r="AK1239" s="1021"/>
      <c r="AL1239" s="1285"/>
      <c r="AM1239" s="151"/>
      <c r="AN1239" s="90"/>
      <c r="AO1239" s="128"/>
      <c r="AP1239" s="106"/>
    </row>
    <row r="1240" spans="1:42" s="69" customFormat="1" ht="15" customHeight="1">
      <c r="A1240" s="998"/>
      <c r="B1240" s="608">
        <v>8754</v>
      </c>
      <c r="C1240" s="529">
        <v>32480</v>
      </c>
      <c r="D1240" s="222" t="s">
        <v>562</v>
      </c>
      <c r="E1240" s="223" t="s">
        <v>562</v>
      </c>
      <c r="F1240" s="535" t="s">
        <v>151</v>
      </c>
      <c r="G1240" s="11">
        <v>178.54732208363905</v>
      </c>
      <c r="H1240" s="11">
        <v>178.54732208363905</v>
      </c>
      <c r="I1240" s="771" t="s">
        <v>50</v>
      </c>
      <c r="J1240" s="1047" t="s">
        <v>571</v>
      </c>
      <c r="K1240" s="1349"/>
      <c r="L1240" s="120">
        <v>65.832956713132788</v>
      </c>
      <c r="M1240" s="120">
        <v>49.92</v>
      </c>
      <c r="N1240" s="774"/>
      <c r="O1240" s="115"/>
      <c r="P1240" s="115"/>
      <c r="Q1240" s="115"/>
      <c r="R1240" s="115"/>
      <c r="S1240" s="24">
        <v>15.910726338958176</v>
      </c>
      <c r="T1240" s="159">
        <v>8116.97722955473</v>
      </c>
      <c r="U1240" s="775"/>
      <c r="V1240" s="775"/>
      <c r="W1240" s="24">
        <v>-2.3477622890660967E-4</v>
      </c>
      <c r="X1240" s="159">
        <v>-0.11977286664842876</v>
      </c>
      <c r="Y1240" s="24">
        <v>3.2470990462215701</v>
      </c>
      <c r="Z1240" s="159">
        <v>1656.5321066300967</v>
      </c>
      <c r="AA1240" s="774"/>
      <c r="AB1240" s="774"/>
      <c r="AC1240" s="24">
        <v>3.6181892883345559</v>
      </c>
      <c r="AD1240" s="159">
        <v>1845.8465968156122</v>
      </c>
      <c r="AE1240" s="1353"/>
      <c r="AF1240" s="1354"/>
      <c r="AG1240" s="24">
        <v>15.910726338958176</v>
      </c>
      <c r="AH1240" s="159">
        <v>16233.95445910946</v>
      </c>
      <c r="AI1240" s="906">
        <f t="shared" ref="AI1240:AI1264" si="50">AH1240</f>
        <v>16233.95445910946</v>
      </c>
      <c r="AJ1240" s="975">
        <v>46265</v>
      </c>
      <c r="AK1240" s="1019">
        <f>SUM(AI1240:AI1252)</f>
        <v>1631629.9674333446</v>
      </c>
      <c r="AL1240" s="1285"/>
      <c r="AM1240" s="151"/>
      <c r="AN1240" s="90"/>
      <c r="AO1240" s="128"/>
      <c r="AP1240" s="106"/>
    </row>
    <row r="1241" spans="1:42" s="69" customFormat="1" ht="15" customHeight="1">
      <c r="A1241" s="998"/>
      <c r="B1241" s="610"/>
      <c r="C1241" s="525"/>
      <c r="D1241" s="223" t="s">
        <v>809</v>
      </c>
      <c r="E1241" s="225" t="s">
        <v>64</v>
      </c>
      <c r="F1241" s="534" t="s">
        <v>151</v>
      </c>
      <c r="G1241" s="6">
        <v>59.515774027879679</v>
      </c>
      <c r="H1241" s="225" t="s">
        <v>64</v>
      </c>
      <c r="I1241" s="771" t="s">
        <v>50</v>
      </c>
      <c r="J1241" s="1048"/>
      <c r="K1241" s="1349"/>
      <c r="L1241" s="7">
        <v>38.738077769625825</v>
      </c>
      <c r="M1241" s="225" t="s">
        <v>64</v>
      </c>
      <c r="N1241" s="773"/>
      <c r="O1241" s="188"/>
      <c r="P1241" s="188"/>
      <c r="Q1241" s="188"/>
      <c r="R1241" s="188"/>
      <c r="S1241" s="119">
        <v>38.738077769625825</v>
      </c>
      <c r="T1241" s="196">
        <v>19762.522997008724</v>
      </c>
      <c r="U1241" s="494"/>
      <c r="V1241" s="494"/>
      <c r="W1241" s="119">
        <v>0</v>
      </c>
      <c r="X1241" s="196">
        <v>0</v>
      </c>
      <c r="Y1241" s="119">
        <v>2.3888481291269259</v>
      </c>
      <c r="Z1241" s="196">
        <v>1218.6889181488693</v>
      </c>
      <c r="AA1241" s="773"/>
      <c r="AB1241" s="773"/>
      <c r="AC1241" s="119">
        <v>11.181217901687454</v>
      </c>
      <c r="AD1241" s="196">
        <v>5704.1827741366078</v>
      </c>
      <c r="AE1241" s="1353"/>
      <c r="AF1241" s="1354"/>
      <c r="AG1241" s="119">
        <v>38.738077769625825</v>
      </c>
      <c r="AH1241" s="196">
        <v>39525.045994017448</v>
      </c>
      <c r="AI1241" s="907">
        <f t="shared" si="50"/>
        <v>39525.045994017448</v>
      </c>
      <c r="AJ1241" s="1003"/>
      <c r="AK1241" s="1020"/>
      <c r="AL1241" s="1285"/>
      <c r="AM1241" s="151"/>
      <c r="AN1241" s="90"/>
      <c r="AO1241" s="128"/>
      <c r="AP1241" s="106"/>
    </row>
    <row r="1242" spans="1:42" s="69" customFormat="1" ht="15" customHeight="1">
      <c r="A1242" s="998"/>
      <c r="B1242" s="610"/>
      <c r="C1242" s="525"/>
      <c r="D1242" s="223" t="s">
        <v>810</v>
      </c>
      <c r="E1242" s="225" t="s">
        <v>64</v>
      </c>
      <c r="F1242" s="534" t="s">
        <v>151</v>
      </c>
      <c r="G1242" s="73">
        <v>217.38537539740767</v>
      </c>
      <c r="H1242" s="225" t="s">
        <v>64</v>
      </c>
      <c r="I1242" s="771" t="s">
        <v>50</v>
      </c>
      <c r="J1242" s="1048"/>
      <c r="K1242" s="1349"/>
      <c r="L1242" s="7">
        <v>42.039074492540969</v>
      </c>
      <c r="M1242" s="225" t="s">
        <v>64</v>
      </c>
      <c r="N1242" s="773"/>
      <c r="O1242" s="188"/>
      <c r="P1242" s="188"/>
      <c r="Q1242" s="188"/>
      <c r="R1242" s="188"/>
      <c r="S1242" s="119">
        <v>42.039074492540969</v>
      </c>
      <c r="T1242" s="196">
        <v>21446.551410540687</v>
      </c>
      <c r="U1242" s="494"/>
      <c r="V1242" s="494"/>
      <c r="W1242" s="119">
        <v>2.8260098801662998</v>
      </c>
      <c r="X1242" s="196">
        <v>1441.7102877095044</v>
      </c>
      <c r="Y1242" s="119">
        <v>2.4600961555392518</v>
      </c>
      <c r="Z1242" s="196">
        <v>1255.0366370222428</v>
      </c>
      <c r="AA1242" s="773"/>
      <c r="AB1242" s="773"/>
      <c r="AC1242" s="119">
        <v>11.323713954512106</v>
      </c>
      <c r="AD1242" s="196">
        <v>5776.8782118833578</v>
      </c>
      <c r="AE1242" s="1353"/>
      <c r="AF1242" s="1354"/>
      <c r="AG1242" s="119">
        <v>42.039074492540969</v>
      </c>
      <c r="AH1242" s="196">
        <v>42893.102821081375</v>
      </c>
      <c r="AI1242" s="907">
        <f t="shared" si="50"/>
        <v>42893.102821081375</v>
      </c>
      <c r="AJ1242" s="1003"/>
      <c r="AK1242" s="1020"/>
      <c r="AL1242" s="1285"/>
      <c r="AM1242" s="151"/>
      <c r="AN1242" s="90"/>
      <c r="AO1242" s="128"/>
      <c r="AP1242" s="106"/>
    </row>
    <row r="1243" spans="1:42" s="69" customFormat="1" ht="15" customHeight="1">
      <c r="A1243" s="998"/>
      <c r="B1243" s="610"/>
      <c r="C1243" s="525"/>
      <c r="D1243" s="223" t="s">
        <v>811</v>
      </c>
      <c r="E1243" s="225" t="s">
        <v>64</v>
      </c>
      <c r="F1243" s="534" t="s">
        <v>151</v>
      </c>
      <c r="G1243" s="73">
        <v>21.738537539740769</v>
      </c>
      <c r="H1243" s="225" t="s">
        <v>64</v>
      </c>
      <c r="I1243" s="771" t="s">
        <v>50</v>
      </c>
      <c r="J1243" s="1048"/>
      <c r="K1243" s="1349"/>
      <c r="L1243" s="7">
        <v>28.173147468818783</v>
      </c>
      <c r="M1243" s="225" t="s">
        <v>64</v>
      </c>
      <c r="N1243" s="773"/>
      <c r="O1243" s="188"/>
      <c r="P1243" s="188"/>
      <c r="Q1243" s="188"/>
      <c r="R1243" s="188"/>
      <c r="S1243" s="119">
        <v>28.173147468818783</v>
      </c>
      <c r="T1243" s="196">
        <v>14372.743997824527</v>
      </c>
      <c r="U1243" s="494"/>
      <c r="V1243" s="494"/>
      <c r="W1243" s="119">
        <v>0</v>
      </c>
      <c r="X1243" s="196">
        <v>0</v>
      </c>
      <c r="Y1243" s="119">
        <v>2.3888481291269259</v>
      </c>
      <c r="Z1243" s="196">
        <v>1218.6889181488693</v>
      </c>
      <c r="AA1243" s="773"/>
      <c r="AB1243" s="773"/>
      <c r="AC1243" s="119">
        <v>8.0117388114453405</v>
      </c>
      <c r="AD1243" s="196">
        <v>4087.2490743813446</v>
      </c>
      <c r="AE1243" s="1353"/>
      <c r="AF1243" s="1354"/>
      <c r="AG1243" s="119">
        <v>28.173147468818783</v>
      </c>
      <c r="AH1243" s="196">
        <v>28745.487995649055</v>
      </c>
      <c r="AI1243" s="907">
        <f t="shared" si="50"/>
        <v>28745.487995649055</v>
      </c>
      <c r="AJ1243" s="1003"/>
      <c r="AK1243" s="1020"/>
      <c r="AL1243" s="1285"/>
      <c r="AM1243" s="151"/>
      <c r="AN1243" s="90"/>
      <c r="AO1243" s="128"/>
      <c r="AP1243" s="106"/>
    </row>
    <row r="1244" spans="1:42" s="69" customFormat="1" ht="15" customHeight="1">
      <c r="A1244" s="998"/>
      <c r="B1244" s="610"/>
      <c r="C1244" s="525"/>
      <c r="D1244" s="223" t="s">
        <v>812</v>
      </c>
      <c r="E1244" s="225" t="s">
        <v>64</v>
      </c>
      <c r="F1244" s="534" t="s">
        <v>151</v>
      </c>
      <c r="G1244" s="6">
        <v>42259.721203228175</v>
      </c>
      <c r="H1244" s="225" t="s">
        <v>64</v>
      </c>
      <c r="I1244" s="771" t="s">
        <v>50</v>
      </c>
      <c r="J1244" s="1048"/>
      <c r="K1244" s="1349"/>
      <c r="L1244" s="7">
        <v>1061.5113719735878</v>
      </c>
      <c r="M1244" s="225" t="s">
        <v>64</v>
      </c>
      <c r="N1244" s="773"/>
      <c r="O1244" s="188"/>
      <c r="P1244" s="188"/>
      <c r="Q1244" s="188"/>
      <c r="R1244" s="188"/>
      <c r="S1244" s="119">
        <v>1061.5113719735878</v>
      </c>
      <c r="T1244" s="196">
        <v>541538.04494303185</v>
      </c>
      <c r="U1244" s="494"/>
      <c r="V1244" s="494"/>
      <c r="W1244" s="119">
        <v>549.37637564196632</v>
      </c>
      <c r="X1244" s="196">
        <v>280268.50795757899</v>
      </c>
      <c r="Y1244" s="119">
        <v>74.98312545854732</v>
      </c>
      <c r="Z1244" s="196">
        <v>38253.207866293247</v>
      </c>
      <c r="AA1244" s="773"/>
      <c r="AB1244" s="773"/>
      <c r="AC1244" s="119">
        <v>153.20029347028614</v>
      </c>
      <c r="AD1244" s="196">
        <v>78156.286970670059</v>
      </c>
      <c r="AE1244" s="1353"/>
      <c r="AF1244" s="1354"/>
      <c r="AG1244" s="119">
        <v>1061.5113719735878</v>
      </c>
      <c r="AH1244" s="196">
        <v>1083076.0898860637</v>
      </c>
      <c r="AI1244" s="907">
        <f t="shared" si="50"/>
        <v>1083076.0898860637</v>
      </c>
      <c r="AJ1244" s="1003"/>
      <c r="AK1244" s="1020"/>
      <c r="AL1244" s="1285"/>
      <c r="AM1244" s="151"/>
      <c r="AN1244" s="90"/>
      <c r="AO1244" s="128"/>
      <c r="AP1244" s="106"/>
    </row>
    <row r="1245" spans="1:42" s="69" customFormat="1" ht="15" customHeight="1">
      <c r="A1245" s="998"/>
      <c r="B1245" s="610"/>
      <c r="C1245" s="525"/>
      <c r="D1245" s="223" t="s">
        <v>813</v>
      </c>
      <c r="E1245" s="223" t="s">
        <v>441</v>
      </c>
      <c r="F1245" s="534" t="s">
        <v>151</v>
      </c>
      <c r="G1245" s="6">
        <v>1760.8217168011738</v>
      </c>
      <c r="H1245" s="770" t="s">
        <v>542</v>
      </c>
      <c r="I1245" s="771"/>
      <c r="J1245" s="1048"/>
      <c r="K1245" s="1349"/>
      <c r="L1245" s="7">
        <v>69.288334556126188</v>
      </c>
      <c r="M1245" s="780" t="s">
        <v>542</v>
      </c>
      <c r="N1245" s="773"/>
      <c r="O1245" s="188"/>
      <c r="P1245" s="188"/>
      <c r="Q1245" s="188"/>
      <c r="R1245" s="188"/>
      <c r="S1245" s="119">
        <v>69.288334556126188</v>
      </c>
      <c r="T1245" s="196">
        <v>35347.9672696497</v>
      </c>
      <c r="U1245" s="494"/>
      <c r="V1245" s="494"/>
      <c r="W1245" s="119">
        <v>0</v>
      </c>
      <c r="X1245" s="196">
        <v>0</v>
      </c>
      <c r="Y1245" s="119">
        <v>5.1225238444607486</v>
      </c>
      <c r="Z1245" s="196">
        <v>2613.2942341877838</v>
      </c>
      <c r="AA1245" s="773"/>
      <c r="AB1245" s="773"/>
      <c r="AC1245" s="119">
        <v>13.479090242112987</v>
      </c>
      <c r="AD1245" s="196">
        <v>6876.4597064591781</v>
      </c>
      <c r="AE1245" s="1353"/>
      <c r="AF1245" s="1354"/>
      <c r="AG1245" s="119">
        <v>69.288334556126188</v>
      </c>
      <c r="AH1245" s="196">
        <v>70695.9345392994</v>
      </c>
      <c r="AI1245" s="907">
        <f t="shared" si="50"/>
        <v>70695.9345392994</v>
      </c>
      <c r="AJ1245" s="1003"/>
      <c r="AK1245" s="1020"/>
      <c r="AL1245" s="1285"/>
      <c r="AM1245" s="151"/>
      <c r="AN1245" s="90"/>
      <c r="AO1245" s="128"/>
      <c r="AP1245" s="106"/>
    </row>
    <row r="1246" spans="1:42" s="69" customFormat="1" ht="15" customHeight="1">
      <c r="A1246" s="998"/>
      <c r="B1246" s="610"/>
      <c r="C1246" s="525"/>
      <c r="D1246" s="223" t="s">
        <v>814</v>
      </c>
      <c r="E1246" s="225" t="s">
        <v>64</v>
      </c>
      <c r="F1246" s="534" t="s">
        <v>151</v>
      </c>
      <c r="G1246" s="6">
        <v>2201.0271460014674</v>
      </c>
      <c r="H1246" s="320" t="s">
        <v>64</v>
      </c>
      <c r="I1246" s="659" t="s">
        <v>50</v>
      </c>
      <c r="J1246" s="1048"/>
      <c r="K1246" s="1349"/>
      <c r="L1246" s="7">
        <v>51.460014673514308</v>
      </c>
      <c r="M1246" s="225" t="s">
        <v>64</v>
      </c>
      <c r="N1246" s="773"/>
      <c r="O1246" s="188"/>
      <c r="P1246" s="188"/>
      <c r="Q1246" s="188"/>
      <c r="R1246" s="188"/>
      <c r="S1246" s="119">
        <v>51.460014673514308</v>
      </c>
      <c r="T1246" s="196">
        <v>26252.715208526355</v>
      </c>
      <c r="U1246" s="494"/>
      <c r="V1246" s="494"/>
      <c r="W1246" s="119">
        <v>0</v>
      </c>
      <c r="X1246" s="196">
        <v>0</v>
      </c>
      <c r="Y1246" s="119">
        <v>5.881878209831255</v>
      </c>
      <c r="Z1246" s="196">
        <v>3000.6845997541477</v>
      </c>
      <c r="AA1246" s="773"/>
      <c r="AB1246" s="773"/>
      <c r="AC1246" s="119">
        <v>14.997798972853998</v>
      </c>
      <c r="AD1246" s="196">
        <v>7651.2404375919141</v>
      </c>
      <c r="AE1246" s="1353"/>
      <c r="AF1246" s="1354"/>
      <c r="AG1246" s="119">
        <v>51.460014673514308</v>
      </c>
      <c r="AH1246" s="196">
        <v>52505.43041705271</v>
      </c>
      <c r="AI1246" s="907">
        <f t="shared" si="50"/>
        <v>52505.43041705271</v>
      </c>
      <c r="AJ1246" s="1003"/>
      <c r="AK1246" s="1020"/>
      <c r="AL1246" s="1285"/>
      <c r="AM1246" s="151"/>
      <c r="AN1246" s="90"/>
      <c r="AO1246" s="128"/>
      <c r="AP1246" s="106"/>
    </row>
    <row r="1247" spans="1:42" s="69" customFormat="1" ht="15" customHeight="1">
      <c r="A1247" s="998"/>
      <c r="B1247" s="610"/>
      <c r="C1247" s="525"/>
      <c r="D1247" s="223" t="s">
        <v>815</v>
      </c>
      <c r="E1247" s="225" t="s">
        <v>64</v>
      </c>
      <c r="F1247" s="534" t="s">
        <v>151</v>
      </c>
      <c r="G1247" s="73">
        <v>652.15553925165079</v>
      </c>
      <c r="H1247" s="320" t="s">
        <v>64</v>
      </c>
      <c r="I1247" s="659" t="s">
        <v>50</v>
      </c>
      <c r="J1247" s="1048"/>
      <c r="K1247" s="1349"/>
      <c r="L1247" s="7">
        <v>42.126013206162874</v>
      </c>
      <c r="M1247" s="225" t="s">
        <v>64</v>
      </c>
      <c r="N1247" s="773"/>
      <c r="O1247" s="188"/>
      <c r="P1247" s="188"/>
      <c r="Q1247" s="188"/>
      <c r="R1247" s="188"/>
      <c r="S1247" s="119">
        <v>42.126013206162874</v>
      </c>
      <c r="T1247" s="196">
        <v>21490.903852019634</v>
      </c>
      <c r="U1247" s="494"/>
      <c r="V1247" s="494"/>
      <c r="W1247" s="119">
        <v>8.4780220102714612</v>
      </c>
      <c r="X1247" s="196">
        <v>4325.1269705103487</v>
      </c>
      <c r="Y1247" s="119">
        <v>3.210074688187821</v>
      </c>
      <c r="Z1247" s="196">
        <v>1637.6438507015862</v>
      </c>
      <c r="AA1247" s="773"/>
      <c r="AB1247" s="773"/>
      <c r="AC1247" s="119">
        <v>9.6541919295671317</v>
      </c>
      <c r="AD1247" s="196">
        <v>4925.1589394867742</v>
      </c>
      <c r="AE1247" s="1353"/>
      <c r="AF1247" s="1354"/>
      <c r="AG1247" s="119">
        <v>42.126013206162874</v>
      </c>
      <c r="AH1247" s="196">
        <v>42981.807704039267</v>
      </c>
      <c r="AI1247" s="907">
        <f t="shared" si="50"/>
        <v>42981.807704039267</v>
      </c>
      <c r="AJ1247" s="1003"/>
      <c r="AK1247" s="1020"/>
      <c r="AL1247" s="1285"/>
      <c r="AM1247" s="151">
        <v>4493180</v>
      </c>
      <c r="AN1247" s="107" t="s">
        <v>77</v>
      </c>
      <c r="AO1247" s="128"/>
      <c r="AP1247" s="106"/>
    </row>
    <row r="1248" spans="1:42" s="69" customFormat="1" ht="12.75" customHeight="1">
      <c r="A1248" s="998"/>
      <c r="B1248" s="610"/>
      <c r="C1248" s="525"/>
      <c r="D1248" s="223" t="s">
        <v>816</v>
      </c>
      <c r="E1248" s="225" t="s">
        <v>64</v>
      </c>
      <c r="F1248" s="535" t="s">
        <v>151</v>
      </c>
      <c r="G1248" s="73">
        <v>3260.7806309611151</v>
      </c>
      <c r="H1248" s="320" t="s">
        <v>64</v>
      </c>
      <c r="I1248" s="659" t="s">
        <v>50</v>
      </c>
      <c r="J1248" s="1048"/>
      <c r="K1248" s="1349"/>
      <c r="L1248" s="7">
        <v>106.03732795304475</v>
      </c>
      <c r="M1248" s="225" t="s">
        <v>64</v>
      </c>
      <c r="N1248" s="773"/>
      <c r="O1248" s="188"/>
      <c r="P1248" s="188"/>
      <c r="Q1248" s="188"/>
      <c r="R1248" s="188"/>
      <c r="S1248" s="119">
        <v>106.03732795304475</v>
      </c>
      <c r="T1248" s="196">
        <v>54095.743848614889</v>
      </c>
      <c r="U1248" s="494"/>
      <c r="V1248" s="494"/>
      <c r="W1248" s="119">
        <v>42.390148202494501</v>
      </c>
      <c r="X1248" s="196">
        <v>21625.654315642518</v>
      </c>
      <c r="Y1248" s="119">
        <v>7.709952971386647</v>
      </c>
      <c r="Z1248" s="196">
        <v>3933.2907484210496</v>
      </c>
      <c r="AA1248" s="773"/>
      <c r="AB1248" s="773"/>
      <c r="AC1248" s="119">
        <v>18.653948495964784</v>
      </c>
      <c r="AD1248" s="196">
        <v>9516.4527349257096</v>
      </c>
      <c r="AE1248" s="1353"/>
      <c r="AF1248" s="1354"/>
      <c r="AG1248" s="119">
        <v>106.03732795304475</v>
      </c>
      <c r="AH1248" s="196">
        <v>108191.48769722978</v>
      </c>
      <c r="AI1248" s="907">
        <f t="shared" si="50"/>
        <v>108191.48769722978</v>
      </c>
      <c r="AJ1248" s="1003"/>
      <c r="AK1248" s="1020"/>
      <c r="AL1248" s="1285"/>
      <c r="AM1248" s="151"/>
      <c r="AN1248" s="90"/>
      <c r="AO1248" s="128"/>
      <c r="AP1248" s="106"/>
    </row>
    <row r="1249" spans="1:42" s="69" customFormat="1" ht="15" customHeight="1">
      <c r="A1249" s="998"/>
      <c r="B1249" s="610"/>
      <c r="C1249" s="525"/>
      <c r="D1249" s="223" t="s">
        <v>820</v>
      </c>
      <c r="E1249" s="225" t="s">
        <v>64</v>
      </c>
      <c r="F1249" s="534" t="s">
        <v>151</v>
      </c>
      <c r="G1249" s="73">
        <v>1304.3122523844461</v>
      </c>
      <c r="H1249" s="320" t="s">
        <v>64</v>
      </c>
      <c r="I1249" s="659" t="s">
        <v>50</v>
      </c>
      <c r="J1249" s="1048"/>
      <c r="K1249" s="1349"/>
      <c r="L1249" s="7">
        <v>41.147793396918559</v>
      </c>
      <c r="M1249" s="225" t="s">
        <v>64</v>
      </c>
      <c r="N1249" s="773"/>
      <c r="O1249" s="188"/>
      <c r="P1249" s="188"/>
      <c r="Q1249" s="188"/>
      <c r="R1249" s="188"/>
      <c r="S1249" s="119">
        <v>41.147793396918559</v>
      </c>
      <c r="T1249" s="196">
        <v>20991.8576269775</v>
      </c>
      <c r="U1249" s="494"/>
      <c r="V1249" s="494"/>
      <c r="W1249" s="119">
        <v>0</v>
      </c>
      <c r="X1249" s="196">
        <v>0</v>
      </c>
      <c r="Y1249" s="119">
        <v>68.722719401320617</v>
      </c>
      <c r="Z1249" s="196">
        <v>35059.414425835967</v>
      </c>
      <c r="AA1249" s="773"/>
      <c r="AB1249" s="773"/>
      <c r="AC1249" s="119">
        <v>11.904132589875275</v>
      </c>
      <c r="AD1249" s="196">
        <v>6072.9831631272418</v>
      </c>
      <c r="AE1249" s="1353"/>
      <c r="AF1249" s="1354"/>
      <c r="AG1249" s="119">
        <v>41.147793396918559</v>
      </c>
      <c r="AH1249" s="196">
        <v>41983.715253955001</v>
      </c>
      <c r="AI1249" s="907">
        <f t="shared" si="50"/>
        <v>41983.715253955001</v>
      </c>
      <c r="AJ1249" s="1003"/>
      <c r="AK1249" s="1020"/>
      <c r="AL1249" s="1285"/>
      <c r="AM1249" s="151"/>
      <c r="AN1249" s="90"/>
      <c r="AO1249" s="128"/>
      <c r="AP1249" s="106"/>
    </row>
    <row r="1250" spans="1:42" s="69" customFormat="1" ht="15" customHeight="1">
      <c r="A1250" s="998"/>
      <c r="B1250" s="610"/>
      <c r="C1250" s="525"/>
      <c r="D1250" s="223" t="s">
        <v>821</v>
      </c>
      <c r="E1250" s="225" t="s">
        <v>64</v>
      </c>
      <c r="F1250" s="534" t="s">
        <v>151</v>
      </c>
      <c r="G1250" s="73">
        <v>326.0777696258254</v>
      </c>
      <c r="H1250" s="320" t="s">
        <v>64</v>
      </c>
      <c r="I1250" s="659" t="s">
        <v>50</v>
      </c>
      <c r="J1250" s="1048"/>
      <c r="K1250" s="1349"/>
      <c r="L1250" s="7">
        <v>32.412158473954513</v>
      </c>
      <c r="M1250" s="225" t="s">
        <v>64</v>
      </c>
      <c r="N1250" s="773"/>
      <c r="O1250" s="188"/>
      <c r="P1250" s="188"/>
      <c r="Q1250" s="188"/>
      <c r="R1250" s="188"/>
      <c r="S1250" s="119">
        <v>32.412158473954513</v>
      </c>
      <c r="T1250" s="196">
        <v>16535.307483079716</v>
      </c>
      <c r="U1250" s="494"/>
      <c r="V1250" s="494"/>
      <c r="W1250" s="119">
        <v>4.2390110051357306</v>
      </c>
      <c r="X1250" s="196">
        <v>2162.5634852551743</v>
      </c>
      <c r="Y1250" s="119">
        <v>2.3888481291269259</v>
      </c>
      <c r="Z1250" s="196">
        <v>1218.6889181488693</v>
      </c>
      <c r="AA1250" s="773"/>
      <c r="AB1250" s="773"/>
      <c r="AC1250" s="119">
        <v>8.0117388114453405</v>
      </c>
      <c r="AD1250" s="196">
        <v>4087.2490743813446</v>
      </c>
      <c r="AE1250" s="1353"/>
      <c r="AF1250" s="1354"/>
      <c r="AG1250" s="119">
        <v>32.412158473954513</v>
      </c>
      <c r="AH1250" s="196">
        <v>33070.614966159432</v>
      </c>
      <c r="AI1250" s="907">
        <f t="shared" si="50"/>
        <v>33070.614966159432</v>
      </c>
      <c r="AJ1250" s="1003"/>
      <c r="AK1250" s="1020"/>
      <c r="AL1250" s="1285"/>
      <c r="AM1250" s="151"/>
      <c r="AN1250" s="90"/>
      <c r="AO1250" s="128"/>
      <c r="AP1250" s="106"/>
    </row>
    <row r="1251" spans="1:42" s="69" customFormat="1" ht="15" customHeight="1">
      <c r="A1251" s="998"/>
      <c r="B1251" s="610"/>
      <c r="C1251" s="525"/>
      <c r="D1251" s="223" t="s">
        <v>822</v>
      </c>
      <c r="E1251" s="225" t="s">
        <v>64</v>
      </c>
      <c r="F1251" s="534" t="s">
        <v>151</v>
      </c>
      <c r="G1251" s="6">
        <v>146.73514306676449</v>
      </c>
      <c r="H1251" s="320" t="s">
        <v>64</v>
      </c>
      <c r="I1251" s="659" t="s">
        <v>50</v>
      </c>
      <c r="J1251" s="1048"/>
      <c r="K1251" s="1349"/>
      <c r="L1251" s="7">
        <v>28.173147468818783</v>
      </c>
      <c r="M1251" s="225" t="s">
        <v>64</v>
      </c>
      <c r="N1251" s="773"/>
      <c r="O1251" s="188"/>
      <c r="P1251" s="188"/>
      <c r="Q1251" s="188"/>
      <c r="R1251" s="188"/>
      <c r="S1251" s="119">
        <v>28.173147468818783</v>
      </c>
      <c r="T1251" s="196">
        <v>14372.743997824527</v>
      </c>
      <c r="U1251" s="494"/>
      <c r="V1251" s="494"/>
      <c r="W1251" s="119">
        <v>0</v>
      </c>
      <c r="X1251" s="196">
        <v>0</v>
      </c>
      <c r="Y1251" s="119">
        <v>2.3888481291269259</v>
      </c>
      <c r="Z1251" s="196">
        <v>1218.6889181488693</v>
      </c>
      <c r="AA1251" s="773"/>
      <c r="AB1251" s="773"/>
      <c r="AC1251" s="119">
        <v>8.0117388114453405</v>
      </c>
      <c r="AD1251" s="196">
        <v>4087.2490743813446</v>
      </c>
      <c r="AE1251" s="1353"/>
      <c r="AF1251" s="1354"/>
      <c r="AG1251" s="119">
        <v>28.173147468818783</v>
      </c>
      <c r="AH1251" s="196">
        <v>28745.487995649055</v>
      </c>
      <c r="AI1251" s="907">
        <f t="shared" si="50"/>
        <v>28745.487995649055</v>
      </c>
      <c r="AJ1251" s="1003"/>
      <c r="AK1251" s="1020"/>
      <c r="AL1251" s="1285"/>
      <c r="AM1251" s="151"/>
      <c r="AN1251" s="90"/>
      <c r="AO1251" s="128"/>
      <c r="AP1251" s="106"/>
    </row>
    <row r="1252" spans="1:42" s="69" customFormat="1" ht="15" customHeight="1" thickBot="1">
      <c r="A1252" s="998"/>
      <c r="B1252" s="667"/>
      <c r="C1252" s="527"/>
      <c r="D1252" s="224" t="s">
        <v>823</v>
      </c>
      <c r="E1252" s="226" t="s">
        <v>64</v>
      </c>
      <c r="F1252" s="536" t="s">
        <v>151</v>
      </c>
      <c r="G1252" s="94">
        <v>652.15553925165079</v>
      </c>
      <c r="H1252" s="226" t="s">
        <v>64</v>
      </c>
      <c r="I1252" s="660" t="s">
        <v>50</v>
      </c>
      <c r="J1252" s="1048"/>
      <c r="K1252" s="1349"/>
      <c r="L1252" s="28">
        <v>42.126013206162874</v>
      </c>
      <c r="M1252" s="226" t="s">
        <v>64</v>
      </c>
      <c r="N1252" s="776"/>
      <c r="O1252" s="116"/>
      <c r="P1252" s="116"/>
      <c r="Q1252" s="116"/>
      <c r="R1252" s="116"/>
      <c r="S1252" s="28">
        <v>42.126013206162874</v>
      </c>
      <c r="T1252" s="118">
        <v>21490.903852019634</v>
      </c>
      <c r="U1252" s="777"/>
      <c r="V1252" s="777"/>
      <c r="W1252" s="28">
        <v>8.4780220102714612</v>
      </c>
      <c r="X1252" s="118">
        <v>4325.1269705103487</v>
      </c>
      <c r="Y1252" s="28">
        <v>3.210074688187821</v>
      </c>
      <c r="Z1252" s="118">
        <v>1637.6438507015862</v>
      </c>
      <c r="AA1252" s="776"/>
      <c r="AB1252" s="776"/>
      <c r="AC1252" s="28">
        <v>9.6541919295671317</v>
      </c>
      <c r="AD1252" s="118">
        <v>4925.1589394867742</v>
      </c>
      <c r="AE1252" s="1353"/>
      <c r="AF1252" s="1354"/>
      <c r="AG1252" s="28">
        <v>42.126013206162874</v>
      </c>
      <c r="AH1252" s="118">
        <v>42981.807704039267</v>
      </c>
      <c r="AI1252" s="908">
        <f t="shared" si="50"/>
        <v>42981.807704039267</v>
      </c>
      <c r="AJ1252" s="1004"/>
      <c r="AK1252" s="1021"/>
      <c r="AL1252" s="1285"/>
      <c r="AM1252" s="151"/>
      <c r="AN1252" s="90"/>
      <c r="AO1252" s="128"/>
      <c r="AP1252" s="106"/>
    </row>
    <row r="1253" spans="1:42" s="69" customFormat="1" ht="15" customHeight="1">
      <c r="A1253" s="998"/>
      <c r="B1253" s="668">
        <v>10089</v>
      </c>
      <c r="C1253" s="529">
        <v>33494</v>
      </c>
      <c r="D1253" s="222" t="s">
        <v>563</v>
      </c>
      <c r="E1253" s="223" t="s">
        <v>567</v>
      </c>
      <c r="F1253" s="535" t="s">
        <v>151</v>
      </c>
      <c r="G1253" s="11">
        <v>803.4629493763756</v>
      </c>
      <c r="H1253" s="320" t="s">
        <v>221</v>
      </c>
      <c r="I1253" s="771" t="s">
        <v>50</v>
      </c>
      <c r="J1253" s="1048"/>
      <c r="K1253" s="1349"/>
      <c r="L1253" s="120">
        <v>57.924020542920033</v>
      </c>
      <c r="M1253" s="120">
        <v>6.49</v>
      </c>
      <c r="N1253" s="774"/>
      <c r="O1253" s="115"/>
      <c r="P1253" s="115"/>
      <c r="Q1253" s="115"/>
      <c r="R1253" s="115"/>
      <c r="S1253" s="24">
        <v>51.432457813646373</v>
      </c>
      <c r="T1253" s="159">
        <v>13040.096180564809</v>
      </c>
      <c r="U1253" s="775"/>
      <c r="V1253" s="775"/>
      <c r="W1253" s="24">
        <v>10.445018341892885</v>
      </c>
      <c r="X1253" s="159">
        <v>2648.2118408486481</v>
      </c>
      <c r="Y1253" s="24">
        <v>2.9897887013939837</v>
      </c>
      <c r="Z1253" s="159">
        <v>758.02584366091094</v>
      </c>
      <c r="AA1253" s="774"/>
      <c r="AB1253" s="774"/>
      <c r="AC1253" s="24">
        <v>11.697552457813646</v>
      </c>
      <c r="AD1253" s="159">
        <v>2965.7771689576889</v>
      </c>
      <c r="AE1253" s="1353"/>
      <c r="AF1253" s="1354"/>
      <c r="AG1253" s="24">
        <v>51.432457813646373</v>
      </c>
      <c r="AH1253" s="159">
        <v>26080.192361129619</v>
      </c>
      <c r="AI1253" s="906">
        <f t="shared" si="50"/>
        <v>26080.192361129619</v>
      </c>
      <c r="AJ1253" s="975">
        <v>46212</v>
      </c>
      <c r="AK1253" s="1019">
        <f>SUM(AI1253:AI1264)</f>
        <v>214855.89743568329</v>
      </c>
      <c r="AL1253" s="1285"/>
      <c r="AM1253" s="151"/>
      <c r="AN1253" s="90"/>
      <c r="AO1253" s="128"/>
      <c r="AP1253" s="106"/>
    </row>
    <row r="1254" spans="1:42" s="69" customFormat="1" ht="15" customHeight="1">
      <c r="A1254" s="998"/>
      <c r="B1254" s="669"/>
      <c r="C1254" s="525"/>
      <c r="D1254" s="223" t="s">
        <v>809</v>
      </c>
      <c r="E1254" s="225" t="s">
        <v>64</v>
      </c>
      <c r="F1254" s="534" t="s">
        <v>151</v>
      </c>
      <c r="G1254" s="6">
        <v>267.82098312545855</v>
      </c>
      <c r="H1254" s="320" t="s">
        <v>64</v>
      </c>
      <c r="I1254" s="659" t="s">
        <v>50</v>
      </c>
      <c r="J1254" s="1048"/>
      <c r="K1254" s="1349"/>
      <c r="L1254" s="7">
        <v>11.619926632428466</v>
      </c>
      <c r="M1254" s="225" t="s">
        <v>64</v>
      </c>
      <c r="N1254" s="773"/>
      <c r="O1254" s="188"/>
      <c r="P1254" s="188"/>
      <c r="Q1254" s="188"/>
      <c r="R1254" s="188"/>
      <c r="S1254" s="119">
        <v>11.619926632428466</v>
      </c>
      <c r="T1254" s="196">
        <v>2946.0960517770636</v>
      </c>
      <c r="U1254" s="494"/>
      <c r="V1254" s="494"/>
      <c r="W1254" s="119">
        <v>0</v>
      </c>
      <c r="X1254" s="196">
        <v>0</v>
      </c>
      <c r="Y1254" s="119">
        <v>2.5470975788701389</v>
      </c>
      <c r="Z1254" s="196">
        <v>645.78670399332407</v>
      </c>
      <c r="AA1254" s="773"/>
      <c r="AB1254" s="773"/>
      <c r="AC1254" s="119">
        <v>3.0457725605282464</v>
      </c>
      <c r="AD1254" s="196">
        <v>772.21989424109222</v>
      </c>
      <c r="AE1254" s="1353"/>
      <c r="AF1254" s="1354"/>
      <c r="AG1254" s="119">
        <v>11.619926632428466</v>
      </c>
      <c r="AH1254" s="196">
        <v>5892.1921035541272</v>
      </c>
      <c r="AI1254" s="907">
        <f t="shared" si="50"/>
        <v>5892.1921035541272</v>
      </c>
      <c r="AJ1254" s="1003"/>
      <c r="AK1254" s="1020"/>
      <c r="AL1254" s="1285"/>
      <c r="AM1254" s="151"/>
      <c r="AN1254" s="90"/>
      <c r="AO1254" s="128"/>
      <c r="AP1254" s="106"/>
    </row>
    <row r="1255" spans="1:42" s="69" customFormat="1" ht="15" customHeight="1">
      <c r="A1255" s="998"/>
      <c r="B1255" s="669"/>
      <c r="C1255" s="525"/>
      <c r="D1255" s="223" t="s">
        <v>810</v>
      </c>
      <c r="E1255" s="225" t="s">
        <v>64</v>
      </c>
      <c r="F1255" s="534" t="s">
        <v>151</v>
      </c>
      <c r="G1255" s="6">
        <v>119.03154805575936</v>
      </c>
      <c r="H1255" s="320" t="s">
        <v>64</v>
      </c>
      <c r="I1255" s="659" t="s">
        <v>50</v>
      </c>
      <c r="J1255" s="1048"/>
      <c r="K1255" s="1349"/>
      <c r="L1255" s="7">
        <v>10.564930300807044</v>
      </c>
      <c r="M1255" s="225" t="s">
        <v>64</v>
      </c>
      <c r="N1255" s="773"/>
      <c r="O1255" s="188"/>
      <c r="P1255" s="188"/>
      <c r="Q1255" s="188"/>
      <c r="R1255" s="188"/>
      <c r="S1255" s="119">
        <v>10.564930300807044</v>
      </c>
      <c r="T1255" s="196">
        <v>2678.6141110085896</v>
      </c>
      <c r="U1255" s="494"/>
      <c r="V1255" s="494"/>
      <c r="W1255" s="119">
        <v>0</v>
      </c>
      <c r="X1255" s="196">
        <v>0</v>
      </c>
      <c r="Y1255" s="119">
        <v>2.3888481291269259</v>
      </c>
      <c r="Z1255" s="196">
        <v>605.66441287805526</v>
      </c>
      <c r="AA1255" s="773"/>
      <c r="AB1255" s="773"/>
      <c r="AC1255" s="119">
        <v>2.7292736610418196</v>
      </c>
      <c r="AD1255" s="196">
        <v>691.97531201055369</v>
      </c>
      <c r="AE1255" s="1353"/>
      <c r="AF1255" s="1354"/>
      <c r="AG1255" s="119">
        <v>10.564930300807044</v>
      </c>
      <c r="AH1255" s="196">
        <v>5357.2282220171792</v>
      </c>
      <c r="AI1255" s="907">
        <f t="shared" si="50"/>
        <v>5357.2282220171792</v>
      </c>
      <c r="AJ1255" s="1003"/>
      <c r="AK1255" s="1020"/>
      <c r="AL1255" s="1285"/>
      <c r="AM1255" s="151"/>
      <c r="AN1255" s="90"/>
      <c r="AO1255" s="128"/>
      <c r="AP1255" s="106"/>
    </row>
    <row r="1256" spans="1:42" s="69" customFormat="1" ht="15" customHeight="1">
      <c r="A1256" s="998"/>
      <c r="B1256" s="669"/>
      <c r="C1256" s="525"/>
      <c r="D1256" s="223" t="s">
        <v>811</v>
      </c>
      <c r="E1256" s="225" t="s">
        <v>64</v>
      </c>
      <c r="F1256" s="534" t="s">
        <v>151</v>
      </c>
      <c r="G1256" s="6">
        <v>178.54732208363905</v>
      </c>
      <c r="H1256" s="320" t="s">
        <v>64</v>
      </c>
      <c r="I1256" s="659" t="s">
        <v>50</v>
      </c>
      <c r="J1256" s="1048"/>
      <c r="K1256" s="1349"/>
      <c r="L1256" s="7">
        <v>8.8324578136463678</v>
      </c>
      <c r="M1256" s="225" t="s">
        <v>64</v>
      </c>
      <c r="N1256" s="773"/>
      <c r="O1256" s="188"/>
      <c r="P1256" s="188"/>
      <c r="Q1256" s="188"/>
      <c r="R1256" s="188"/>
      <c r="S1256" s="119">
        <v>8.8324578136463678</v>
      </c>
      <c r="T1256" s="196">
        <v>2239.3660403716995</v>
      </c>
      <c r="U1256" s="494"/>
      <c r="V1256" s="494"/>
      <c r="W1256" s="119">
        <v>0</v>
      </c>
      <c r="X1256" s="196">
        <v>0</v>
      </c>
      <c r="Y1256" s="119">
        <v>2.393100513573001</v>
      </c>
      <c r="Z1256" s="196">
        <v>606.74255505773453</v>
      </c>
      <c r="AA1256" s="773"/>
      <c r="AB1256" s="773"/>
      <c r="AC1256" s="119">
        <v>2.2095319148936166</v>
      </c>
      <c r="AD1256" s="196">
        <v>560.20089081948493</v>
      </c>
      <c r="AE1256" s="1353"/>
      <c r="AF1256" s="1354"/>
      <c r="AG1256" s="119">
        <v>8.8324578136463678</v>
      </c>
      <c r="AH1256" s="196">
        <v>4478.7320807433989</v>
      </c>
      <c r="AI1256" s="907">
        <f t="shared" si="50"/>
        <v>4478.7320807433989</v>
      </c>
      <c r="AJ1256" s="1003"/>
      <c r="AK1256" s="1020"/>
      <c r="AL1256" s="1285"/>
      <c r="AM1256" s="151"/>
      <c r="AN1256" s="90"/>
      <c r="AO1256" s="128"/>
      <c r="AP1256" s="106"/>
    </row>
    <row r="1257" spans="1:42" s="69" customFormat="1" ht="15" customHeight="1">
      <c r="A1257" s="998"/>
      <c r="B1257" s="669"/>
      <c r="C1257" s="525"/>
      <c r="D1257" s="223" t="s">
        <v>812</v>
      </c>
      <c r="E1257" s="225" t="s">
        <v>64</v>
      </c>
      <c r="F1257" s="534" t="s">
        <v>151</v>
      </c>
      <c r="G1257" s="6">
        <v>217.38537539740767</v>
      </c>
      <c r="H1257" s="320" t="s">
        <v>64</v>
      </c>
      <c r="I1257" s="659" t="s">
        <v>50</v>
      </c>
      <c r="J1257" s="1048"/>
      <c r="K1257" s="1349"/>
      <c r="L1257" s="7">
        <v>12.105105306921008</v>
      </c>
      <c r="M1257" s="225" t="s">
        <v>64</v>
      </c>
      <c r="N1257" s="773"/>
      <c r="O1257" s="188"/>
      <c r="P1257" s="188"/>
      <c r="Q1257" s="188"/>
      <c r="R1257" s="188"/>
      <c r="S1257" s="119">
        <v>12.105105306921008</v>
      </c>
      <c r="T1257" s="196">
        <v>3069.107411705952</v>
      </c>
      <c r="U1257" s="494"/>
      <c r="V1257" s="494"/>
      <c r="W1257" s="119">
        <v>2.8260098801662998</v>
      </c>
      <c r="X1257" s="196">
        <v>716.50164528628352</v>
      </c>
      <c r="Y1257" s="119">
        <v>23.952196936170211</v>
      </c>
      <c r="Z1257" s="196">
        <v>6072.7984829186444</v>
      </c>
      <c r="AA1257" s="773"/>
      <c r="AB1257" s="773"/>
      <c r="AC1257" s="119">
        <v>2.3435231988261189</v>
      </c>
      <c r="AD1257" s="196">
        <v>594.17280863387418</v>
      </c>
      <c r="AE1257" s="1353"/>
      <c r="AF1257" s="1354"/>
      <c r="AG1257" s="119">
        <v>12.105105306921008</v>
      </c>
      <c r="AH1257" s="196">
        <v>6138.214823411904</v>
      </c>
      <c r="AI1257" s="907">
        <f t="shared" si="50"/>
        <v>6138.214823411904</v>
      </c>
      <c r="AJ1257" s="1003"/>
      <c r="AK1257" s="1020"/>
      <c r="AL1257" s="1285"/>
      <c r="AM1257" s="151"/>
      <c r="AN1257" s="90"/>
      <c r="AO1257" s="128"/>
      <c r="AP1257" s="106"/>
    </row>
    <row r="1258" spans="1:42" s="69" customFormat="1" ht="15" customHeight="1">
      <c r="A1258" s="998"/>
      <c r="B1258" s="669"/>
      <c r="C1258" s="525"/>
      <c r="D1258" s="223" t="s">
        <v>813</v>
      </c>
      <c r="E1258" s="225" t="s">
        <v>64</v>
      </c>
      <c r="F1258" s="534" t="s">
        <v>151</v>
      </c>
      <c r="G1258" s="6">
        <v>434.77075079481534</v>
      </c>
      <c r="H1258" s="320" t="s">
        <v>64</v>
      </c>
      <c r="I1258" s="659" t="s">
        <v>50</v>
      </c>
      <c r="J1258" s="1048"/>
      <c r="K1258" s="1349"/>
      <c r="L1258" s="7">
        <v>17.431047004157495</v>
      </c>
      <c r="M1258" s="225" t="s">
        <v>64</v>
      </c>
      <c r="N1258" s="773"/>
      <c r="O1258" s="188"/>
      <c r="P1258" s="188"/>
      <c r="Q1258" s="188"/>
      <c r="R1258" s="188"/>
      <c r="S1258" s="119">
        <v>17.431047004157495</v>
      </c>
      <c r="T1258" s="196">
        <v>4419.4374355147138</v>
      </c>
      <c r="U1258" s="494"/>
      <c r="V1258" s="494"/>
      <c r="W1258" s="119">
        <v>5.6520197603325997</v>
      </c>
      <c r="X1258" s="196">
        <v>1433.003290572567</v>
      </c>
      <c r="Y1258" s="119">
        <v>2.83508592809978</v>
      </c>
      <c r="Z1258" s="196">
        <v>718.8027707433007</v>
      </c>
      <c r="AA1258" s="773"/>
      <c r="AB1258" s="773"/>
      <c r="AC1258" s="119">
        <v>3.0935027439471754</v>
      </c>
      <c r="AD1258" s="196">
        <v>784.32132219061771</v>
      </c>
      <c r="AE1258" s="1353"/>
      <c r="AF1258" s="1354"/>
      <c r="AG1258" s="119">
        <v>17.431047004157495</v>
      </c>
      <c r="AH1258" s="196">
        <v>8838.8748710294276</v>
      </c>
      <c r="AI1258" s="907">
        <f t="shared" si="50"/>
        <v>8838.8748710294276</v>
      </c>
      <c r="AJ1258" s="1003"/>
      <c r="AK1258" s="1020"/>
      <c r="AL1258" s="1285"/>
      <c r="AM1258" s="151"/>
      <c r="AN1258" s="90"/>
      <c r="AO1258" s="128"/>
      <c r="AP1258" s="106"/>
    </row>
    <row r="1259" spans="1:42" s="69" customFormat="1" ht="15" customHeight="1">
      <c r="A1259" s="998"/>
      <c r="B1259" s="669"/>
      <c r="C1259" s="525"/>
      <c r="D1259" s="223" t="s">
        <v>814</v>
      </c>
      <c r="E1259" s="225" t="s">
        <v>64</v>
      </c>
      <c r="F1259" s="534" t="s">
        <v>151</v>
      </c>
      <c r="G1259" s="6">
        <v>21.738537539740769</v>
      </c>
      <c r="H1259" s="320" t="s">
        <v>64</v>
      </c>
      <c r="I1259" s="659" t="s">
        <v>50</v>
      </c>
      <c r="J1259" s="1048"/>
      <c r="K1259" s="1349"/>
      <c r="L1259" s="7">
        <v>8.8041085840058688</v>
      </c>
      <c r="M1259" s="225" t="s">
        <v>64</v>
      </c>
      <c r="N1259" s="773"/>
      <c r="O1259" s="188"/>
      <c r="P1259" s="188"/>
      <c r="Q1259" s="188"/>
      <c r="R1259" s="188"/>
      <c r="S1259" s="119">
        <v>8.8041085840058688</v>
      </c>
      <c r="T1259" s="196">
        <v>2232.1784258404919</v>
      </c>
      <c r="U1259" s="494"/>
      <c r="V1259" s="494"/>
      <c r="W1259" s="119">
        <v>0</v>
      </c>
      <c r="X1259" s="196">
        <v>0</v>
      </c>
      <c r="Y1259" s="119">
        <v>2.3888481291269259</v>
      </c>
      <c r="Z1259" s="196">
        <v>605.66441287805526</v>
      </c>
      <c r="AA1259" s="773"/>
      <c r="AB1259" s="773"/>
      <c r="AC1259" s="119">
        <v>2.2010271460014672</v>
      </c>
      <c r="AD1259" s="196">
        <v>558.04460646012296</v>
      </c>
      <c r="AE1259" s="1353"/>
      <c r="AF1259" s="1354"/>
      <c r="AG1259" s="119">
        <v>8.8041085840058688</v>
      </c>
      <c r="AH1259" s="196">
        <v>4464.3568516809837</v>
      </c>
      <c r="AI1259" s="907">
        <f t="shared" si="50"/>
        <v>4464.3568516809837</v>
      </c>
      <c r="AJ1259" s="1003"/>
      <c r="AK1259" s="1020"/>
      <c r="AL1259" s="1285"/>
      <c r="AM1259" s="151"/>
      <c r="AN1259" s="90"/>
      <c r="AO1259" s="128"/>
      <c r="AP1259" s="106"/>
    </row>
    <row r="1260" spans="1:42" s="69" customFormat="1" ht="15" customHeight="1">
      <c r="A1260" s="998"/>
      <c r="B1260" s="669"/>
      <c r="C1260" s="525"/>
      <c r="D1260" s="223" t="s">
        <v>815</v>
      </c>
      <c r="E1260" s="320" t="s">
        <v>64</v>
      </c>
      <c r="F1260" s="534" t="s">
        <v>151</v>
      </c>
      <c r="G1260" s="6">
        <v>43.477075079481537</v>
      </c>
      <c r="H1260" s="320" t="s">
        <v>64</v>
      </c>
      <c r="I1260" s="659" t="s">
        <v>50</v>
      </c>
      <c r="J1260" s="1048"/>
      <c r="K1260" s="1349"/>
      <c r="L1260" s="7">
        <v>8.8041085840058688</v>
      </c>
      <c r="M1260" s="225" t="s">
        <v>64</v>
      </c>
      <c r="N1260" s="773"/>
      <c r="O1260" s="188"/>
      <c r="P1260" s="188"/>
      <c r="Q1260" s="188"/>
      <c r="R1260" s="188"/>
      <c r="S1260" s="119">
        <v>8.8041085840058688</v>
      </c>
      <c r="T1260" s="196">
        <v>2232.1784258404919</v>
      </c>
      <c r="U1260" s="494"/>
      <c r="V1260" s="494"/>
      <c r="W1260" s="119">
        <v>0</v>
      </c>
      <c r="X1260" s="196">
        <v>0</v>
      </c>
      <c r="Y1260" s="119">
        <v>2.3888481291269259</v>
      </c>
      <c r="Z1260" s="196">
        <v>605.66441287805526</v>
      </c>
      <c r="AA1260" s="773"/>
      <c r="AB1260" s="773"/>
      <c r="AC1260" s="119">
        <v>2.2010271460014672</v>
      </c>
      <c r="AD1260" s="196">
        <v>558.04460646012296</v>
      </c>
      <c r="AE1260" s="1353"/>
      <c r="AF1260" s="1354"/>
      <c r="AG1260" s="119">
        <v>8.8041085840058688</v>
      </c>
      <c r="AH1260" s="196">
        <v>4464.3568516809837</v>
      </c>
      <c r="AI1260" s="907">
        <f t="shared" si="50"/>
        <v>4464.3568516809837</v>
      </c>
      <c r="AJ1260" s="1003"/>
      <c r="AK1260" s="1020"/>
      <c r="AL1260" s="1285"/>
      <c r="AM1260" s="151"/>
      <c r="AN1260" s="107"/>
      <c r="AO1260" s="128"/>
      <c r="AP1260" s="106"/>
    </row>
    <row r="1261" spans="1:42" s="69" customFormat="1" ht="12.75" customHeight="1">
      <c r="A1261" s="998"/>
      <c r="B1261" s="669"/>
      <c r="C1261" s="525"/>
      <c r="D1261" s="223" t="s">
        <v>816</v>
      </c>
      <c r="E1261" s="320" t="s">
        <v>64</v>
      </c>
      <c r="F1261" s="535" t="s">
        <v>151</v>
      </c>
      <c r="G1261" s="6">
        <v>65.215612619222313</v>
      </c>
      <c r="H1261" s="320" t="s">
        <v>64</v>
      </c>
      <c r="I1261" s="659" t="s">
        <v>50</v>
      </c>
      <c r="J1261" s="1048"/>
      <c r="K1261" s="1349"/>
      <c r="L1261" s="7">
        <v>8.8041085840058688</v>
      </c>
      <c r="M1261" s="225" t="s">
        <v>64</v>
      </c>
      <c r="N1261" s="773"/>
      <c r="O1261" s="188"/>
      <c r="P1261" s="188"/>
      <c r="Q1261" s="188"/>
      <c r="R1261" s="188"/>
      <c r="S1261" s="119">
        <v>8.8041085840058688</v>
      </c>
      <c r="T1261" s="196">
        <v>2232.1784258404919</v>
      </c>
      <c r="U1261" s="494"/>
      <c r="V1261" s="494"/>
      <c r="W1261" s="119">
        <v>0</v>
      </c>
      <c r="X1261" s="196">
        <v>0</v>
      </c>
      <c r="Y1261" s="119">
        <v>2.3888481291269259</v>
      </c>
      <c r="Z1261" s="196">
        <v>605.66441287805526</v>
      </c>
      <c r="AA1261" s="773"/>
      <c r="AB1261" s="773"/>
      <c r="AC1261" s="119">
        <v>2.2010271460014672</v>
      </c>
      <c r="AD1261" s="196">
        <v>558.04460646012296</v>
      </c>
      <c r="AE1261" s="1353"/>
      <c r="AF1261" s="1354"/>
      <c r="AG1261" s="119">
        <v>8.8041085840058688</v>
      </c>
      <c r="AH1261" s="196">
        <v>4464.3568516809837</v>
      </c>
      <c r="AI1261" s="907">
        <f t="shared" si="50"/>
        <v>4464.3568516809837</v>
      </c>
      <c r="AJ1261" s="1003"/>
      <c r="AK1261" s="1020"/>
      <c r="AL1261" s="1285"/>
      <c r="AM1261" s="151"/>
      <c r="AN1261" s="90"/>
      <c r="AO1261" s="128"/>
      <c r="AP1261" s="106"/>
    </row>
    <row r="1262" spans="1:42" s="69" customFormat="1" ht="15" customHeight="1">
      <c r="A1262" s="998"/>
      <c r="B1262" s="669"/>
      <c r="C1262" s="525"/>
      <c r="D1262" s="223" t="s">
        <v>820</v>
      </c>
      <c r="E1262" s="225" t="s">
        <v>64</v>
      </c>
      <c r="F1262" s="534" t="s">
        <v>151</v>
      </c>
      <c r="G1262" s="6">
        <v>2201.0271460014674</v>
      </c>
      <c r="H1262" s="225" t="s">
        <v>64</v>
      </c>
      <c r="I1262" s="771" t="s">
        <v>50</v>
      </c>
      <c r="J1262" s="1048"/>
      <c r="K1262" s="1349"/>
      <c r="L1262" s="7">
        <v>32.090975788701392</v>
      </c>
      <c r="M1262" s="225" t="s">
        <v>64</v>
      </c>
      <c r="N1262" s="773"/>
      <c r="O1262" s="188"/>
      <c r="P1262" s="188"/>
      <c r="Q1262" s="188"/>
      <c r="R1262" s="188"/>
      <c r="S1262" s="119">
        <v>32.090975788701392</v>
      </c>
      <c r="T1262" s="196">
        <v>8136.2903621885962</v>
      </c>
      <c r="U1262" s="494"/>
      <c r="V1262" s="494"/>
      <c r="W1262" s="119">
        <v>0</v>
      </c>
      <c r="X1262" s="196">
        <v>0</v>
      </c>
      <c r="Y1262" s="119">
        <v>5.881878209831255</v>
      </c>
      <c r="Z1262" s="196">
        <v>1491.2812033302728</v>
      </c>
      <c r="AA1262" s="773"/>
      <c r="AB1262" s="773"/>
      <c r="AC1262" s="119">
        <v>9.187087307410124</v>
      </c>
      <c r="AD1262" s="196">
        <v>2329.2781873645572</v>
      </c>
      <c r="AE1262" s="1353"/>
      <c r="AF1262" s="1354"/>
      <c r="AG1262" s="119">
        <v>32.090975788701392</v>
      </c>
      <c r="AH1262" s="196">
        <v>16272.580724377192</v>
      </c>
      <c r="AI1262" s="907">
        <f t="shared" si="50"/>
        <v>16272.580724377192</v>
      </c>
      <c r="AJ1262" s="1003"/>
      <c r="AK1262" s="1020"/>
      <c r="AL1262" s="1285"/>
      <c r="AM1262" s="151"/>
      <c r="AN1262" s="90"/>
      <c r="AO1262" s="128"/>
      <c r="AP1262" s="106"/>
    </row>
    <row r="1263" spans="1:42" s="69" customFormat="1" ht="15" customHeight="1">
      <c r="A1263" s="998"/>
      <c r="B1263" s="669"/>
      <c r="C1263" s="525"/>
      <c r="D1263" s="223" t="s">
        <v>821</v>
      </c>
      <c r="E1263" s="225" t="s">
        <v>64</v>
      </c>
      <c r="F1263" s="534" t="s">
        <v>151</v>
      </c>
      <c r="G1263" s="6">
        <v>6521.5612619222302</v>
      </c>
      <c r="H1263" s="225" t="s">
        <v>64</v>
      </c>
      <c r="I1263" s="771" t="s">
        <v>50</v>
      </c>
      <c r="J1263" s="1048"/>
      <c r="K1263" s="1349"/>
      <c r="L1263" s="7">
        <v>166.55741452677916</v>
      </c>
      <c r="M1263" s="225" t="s">
        <v>64</v>
      </c>
      <c r="N1263" s="773"/>
      <c r="O1263" s="188"/>
      <c r="P1263" s="188"/>
      <c r="Q1263" s="188"/>
      <c r="R1263" s="188"/>
      <c r="S1263" s="119">
        <v>166.55741452677916</v>
      </c>
      <c r="T1263" s="196">
        <v>42228.678102160091</v>
      </c>
      <c r="U1263" s="494"/>
      <c r="V1263" s="494"/>
      <c r="W1263" s="119">
        <v>84.780296404989002</v>
      </c>
      <c r="X1263" s="196">
        <v>21495.049358588498</v>
      </c>
      <c r="Y1263" s="119">
        <v>13.33479955979457</v>
      </c>
      <c r="Z1263" s="196">
        <v>3380.8819605377244</v>
      </c>
      <c r="AA1263" s="773"/>
      <c r="AB1263" s="773"/>
      <c r="AC1263" s="119">
        <v>24.092930007336758</v>
      </c>
      <c r="AD1263" s="196">
        <v>6108.4797017794572</v>
      </c>
      <c r="AE1263" s="1353"/>
      <c r="AF1263" s="1354"/>
      <c r="AG1263" s="119">
        <v>166.55741452677916</v>
      </c>
      <c r="AH1263" s="196">
        <v>84457.356204320182</v>
      </c>
      <c r="AI1263" s="907">
        <f t="shared" si="50"/>
        <v>84457.356204320182</v>
      </c>
      <c r="AJ1263" s="1003"/>
      <c r="AK1263" s="1020"/>
      <c r="AL1263" s="1285"/>
      <c r="AM1263" s="151"/>
      <c r="AN1263" s="90"/>
      <c r="AO1263" s="128"/>
      <c r="AP1263" s="106"/>
    </row>
    <row r="1264" spans="1:42" s="69" customFormat="1" ht="15" customHeight="1" thickBot="1">
      <c r="A1264" s="998"/>
      <c r="B1264" s="670"/>
      <c r="C1264" s="527"/>
      <c r="D1264" s="223" t="s">
        <v>822</v>
      </c>
      <c r="E1264" s="226" t="s">
        <v>64</v>
      </c>
      <c r="F1264" s="536" t="s">
        <v>151</v>
      </c>
      <c r="G1264" s="27">
        <v>3260.7806309611151</v>
      </c>
      <c r="H1264" s="409" t="s">
        <v>64</v>
      </c>
      <c r="I1264" s="772" t="s">
        <v>50</v>
      </c>
      <c r="J1264" s="1049"/>
      <c r="K1264" s="1350"/>
      <c r="L1264" s="28">
        <v>86.668289068231843</v>
      </c>
      <c r="M1264" s="226" t="s">
        <v>64</v>
      </c>
      <c r="N1264" s="776"/>
      <c r="O1264" s="116"/>
      <c r="P1264" s="116"/>
      <c r="Q1264" s="116"/>
      <c r="R1264" s="116"/>
      <c r="S1264" s="119">
        <v>86.668289068231843</v>
      </c>
      <c r="T1264" s="196">
        <v>21973.727745028642</v>
      </c>
      <c r="U1264" s="777"/>
      <c r="V1264" s="777"/>
      <c r="W1264" s="119">
        <v>42.390148202494501</v>
      </c>
      <c r="X1264" s="196">
        <v>10747.524679294249</v>
      </c>
      <c r="Y1264" s="119">
        <v>7.709952971386647</v>
      </c>
      <c r="Z1264" s="196">
        <v>1954.7681088621366</v>
      </c>
      <c r="AA1264" s="776"/>
      <c r="AB1264" s="776"/>
      <c r="AC1264" s="119">
        <v>12.84323683052091</v>
      </c>
      <c r="AD1264" s="196">
        <v>3256.2519984282958</v>
      </c>
      <c r="AE1264" s="137"/>
      <c r="AF1264" s="137"/>
      <c r="AG1264" s="28">
        <v>86.668289068231843</v>
      </c>
      <c r="AH1264" s="118">
        <v>43947.455490057284</v>
      </c>
      <c r="AI1264" s="909">
        <f t="shared" si="50"/>
        <v>43947.455490057284</v>
      </c>
      <c r="AJ1264" s="1004"/>
      <c r="AK1264" s="1021"/>
      <c r="AL1264" s="1286"/>
      <c r="AM1264" s="151"/>
      <c r="AN1264" s="90"/>
      <c r="AO1264" s="128"/>
      <c r="AP1264" s="106"/>
    </row>
    <row r="1265" spans="1:42" s="69" customFormat="1" ht="15" customHeight="1" thickBot="1">
      <c r="A1265" s="999"/>
      <c r="B1265" s="767">
        <v>11622</v>
      </c>
      <c r="C1265" s="765">
        <v>34494</v>
      </c>
      <c r="D1265" s="224" t="s">
        <v>564</v>
      </c>
      <c r="E1265" s="769" t="s">
        <v>64</v>
      </c>
      <c r="F1265" s="658" t="s">
        <v>151</v>
      </c>
      <c r="G1265" s="1340" t="s">
        <v>569</v>
      </c>
      <c r="H1265" s="1341"/>
      <c r="I1265" s="1342"/>
      <c r="J1265" s="1343" t="s">
        <v>568</v>
      </c>
      <c r="K1265" s="1344"/>
      <c r="L1265" s="1345" t="s">
        <v>568</v>
      </c>
      <c r="M1265" s="1346"/>
      <c r="N1265" s="1346"/>
      <c r="O1265" s="1346"/>
      <c r="P1265" s="1346"/>
      <c r="Q1265" s="1346"/>
      <c r="R1265" s="1346"/>
      <c r="S1265" s="1346"/>
      <c r="T1265" s="1347"/>
      <c r="U1265" s="1345" t="s">
        <v>568</v>
      </c>
      <c r="V1265" s="1346"/>
      <c r="W1265" s="1346"/>
      <c r="X1265" s="1346"/>
      <c r="Y1265" s="1346"/>
      <c r="Z1265" s="1346"/>
      <c r="AA1265" s="1346"/>
      <c r="AB1265" s="1346"/>
      <c r="AC1265" s="1346"/>
      <c r="AD1265" s="1347"/>
      <c r="AE1265" s="1345" t="s">
        <v>573</v>
      </c>
      <c r="AF1265" s="1346"/>
      <c r="AG1265" s="1346"/>
      <c r="AH1265" s="1346"/>
      <c r="AI1265" s="1346"/>
      <c r="AJ1265" s="1346"/>
      <c r="AK1265" s="1346"/>
      <c r="AL1265" s="1347"/>
      <c r="AM1265" s="151"/>
      <c r="AN1265" s="90"/>
      <c r="AO1265" s="128"/>
      <c r="AP1265" s="106"/>
    </row>
    <row r="1266" spans="1:42" s="69" customFormat="1">
      <c r="A1266" s="66"/>
      <c r="B1266" s="66"/>
      <c r="C1266" s="67"/>
      <c r="D1266" s="128"/>
      <c r="E1266" s="128"/>
      <c r="F1266" s="128"/>
      <c r="G1266" s="59"/>
      <c r="H1266" s="59"/>
      <c r="I1266" s="59"/>
      <c r="J1266" s="128"/>
      <c r="K1266" s="128"/>
      <c r="L1266" s="61"/>
      <c r="M1266" s="60"/>
      <c r="N1266" s="61"/>
      <c r="O1266" s="61"/>
      <c r="P1266" s="61"/>
      <c r="Q1266" s="61"/>
      <c r="R1266" s="160"/>
      <c r="S1266" s="61"/>
      <c r="T1266" s="160"/>
      <c r="U1266" s="61"/>
      <c r="V1266" s="61"/>
      <c r="W1266" s="61"/>
      <c r="X1266" s="151"/>
      <c r="Y1266" s="60"/>
      <c r="Z1266" s="151"/>
      <c r="AA1266" s="60"/>
      <c r="AB1266" s="60"/>
      <c r="AC1266" s="60"/>
      <c r="AD1266" s="60"/>
      <c r="AE1266" s="60"/>
      <c r="AF1266" s="60"/>
      <c r="AG1266" s="60"/>
      <c r="AH1266" s="151"/>
      <c r="AI1266" s="151"/>
      <c r="AJ1266" s="60"/>
      <c r="AL1266" s="10"/>
      <c r="AM1266" s="850"/>
      <c r="AN1266" s="128"/>
      <c r="AO1266" s="106"/>
    </row>
    <row r="1267" spans="1:42" s="144" customFormat="1">
      <c r="A1267" s="139"/>
      <c r="B1267" s="139"/>
      <c r="C1267" s="140"/>
      <c r="D1267" s="141"/>
      <c r="E1267" s="141"/>
      <c r="F1267" s="141"/>
      <c r="G1267" s="142"/>
      <c r="H1267" s="142"/>
      <c r="I1267" s="142"/>
      <c r="J1267" s="141"/>
      <c r="K1267" s="141"/>
      <c r="L1267" s="143"/>
      <c r="M1267" s="137"/>
      <c r="N1267" s="143"/>
      <c r="O1267" s="143"/>
      <c r="P1267" s="143"/>
      <c r="Q1267" s="143"/>
      <c r="R1267" s="169"/>
      <c r="S1267" s="143"/>
      <c r="T1267" s="169"/>
      <c r="U1267" s="143"/>
      <c r="V1267" s="143"/>
      <c r="W1267" s="143"/>
      <c r="X1267" s="155"/>
      <c r="Y1267" s="137"/>
      <c r="Z1267" s="155"/>
      <c r="AA1267" s="137"/>
      <c r="AB1267" s="137"/>
      <c r="AC1267" s="137"/>
      <c r="AD1267" s="137"/>
      <c r="AE1267" s="137"/>
      <c r="AF1267" s="137"/>
      <c r="AG1267" s="137"/>
      <c r="AH1267" s="155"/>
      <c r="AI1267" s="155"/>
      <c r="AJ1267" s="137"/>
      <c r="AL1267" s="132"/>
      <c r="AM1267" s="851"/>
      <c r="AN1267" s="141"/>
      <c r="AO1267" s="145"/>
    </row>
    <row r="1268" spans="1:42" s="69" customFormat="1" ht="13.5" thickBot="1">
      <c r="A1268" s="66"/>
      <c r="B1268" s="70"/>
      <c r="C1268" s="71"/>
      <c r="D1268" s="63"/>
      <c r="E1268" s="63"/>
      <c r="F1268" s="63"/>
      <c r="G1268" s="62"/>
      <c r="H1268" s="62"/>
      <c r="I1268" s="62"/>
      <c r="J1268" s="63"/>
      <c r="K1268" s="63"/>
      <c r="L1268" s="65"/>
      <c r="M1268" s="64"/>
      <c r="N1268" s="65"/>
      <c r="O1268" s="65"/>
      <c r="P1268" s="65"/>
      <c r="Q1268" s="65"/>
      <c r="R1268" s="168"/>
      <c r="S1268" s="65"/>
      <c r="T1268" s="168"/>
      <c r="U1268" s="65"/>
      <c r="V1268" s="65"/>
      <c r="W1268" s="65"/>
      <c r="X1268" s="152"/>
      <c r="Y1268" s="64"/>
      <c r="Z1268" s="152"/>
      <c r="AA1268" s="64"/>
      <c r="AB1268" s="64"/>
      <c r="AC1268" s="64"/>
      <c r="AD1268" s="64"/>
      <c r="AE1268" s="64"/>
      <c r="AF1268" s="64"/>
      <c r="AG1268" s="64"/>
      <c r="AH1268" s="152"/>
      <c r="AI1268" s="152"/>
      <c r="AJ1268" s="64"/>
      <c r="AL1268" s="10"/>
      <c r="AM1268" s="850"/>
      <c r="AN1268" s="128"/>
      <c r="AO1268" s="106"/>
    </row>
    <row r="1269" spans="1:42" s="69" customFormat="1">
      <c r="A1269" s="997" t="s">
        <v>783</v>
      </c>
      <c r="B1269" s="591">
        <v>9095</v>
      </c>
      <c r="C1269" s="529">
        <v>32736</v>
      </c>
      <c r="D1269" s="222" t="s">
        <v>771</v>
      </c>
      <c r="E1269" s="222" t="s">
        <v>74</v>
      </c>
      <c r="F1269" s="535" t="s">
        <v>151</v>
      </c>
      <c r="G1269" s="11">
        <v>319.89728539985327</v>
      </c>
      <c r="H1269" s="11">
        <v>319.89728539985327</v>
      </c>
      <c r="I1269" s="898" t="s">
        <v>151</v>
      </c>
      <c r="J1269" s="1000" t="s">
        <v>784</v>
      </c>
      <c r="K1269" s="1000" t="s">
        <v>785</v>
      </c>
      <c r="L1269" s="209">
        <v>85.290161408657369</v>
      </c>
      <c r="M1269" s="120">
        <v>10.49</v>
      </c>
      <c r="N1269" s="774"/>
      <c r="O1269" s="115"/>
      <c r="P1269" s="115"/>
      <c r="Q1269" s="115"/>
      <c r="R1269" s="115"/>
      <c r="S1269" s="24">
        <v>74.798598679383701</v>
      </c>
      <c r="T1269" s="159">
        <v>33408.066587018264</v>
      </c>
      <c r="U1269" s="39" t="s">
        <v>50</v>
      </c>
      <c r="V1269" s="775"/>
      <c r="W1269" s="24">
        <v>4.1586647101980923</v>
      </c>
      <c r="X1269" s="159">
        <v>1857.4271444161986</v>
      </c>
      <c r="Y1269" s="24">
        <v>5.6215220102714598</v>
      </c>
      <c r="Z1269" s="159">
        <v>2510.7981293144335</v>
      </c>
      <c r="AA1269" s="774"/>
      <c r="AB1269" s="774"/>
      <c r="AC1269" s="24">
        <v>19.215457813646367</v>
      </c>
      <c r="AD1269" s="187">
        <v>8582.3973372816072</v>
      </c>
      <c r="AE1269" s="941" t="s">
        <v>19</v>
      </c>
      <c r="AF1269" s="942"/>
      <c r="AG1269" s="210">
        <v>74.798598679383701</v>
      </c>
      <c r="AH1269" s="159">
        <v>66816.133174036528</v>
      </c>
      <c r="AI1269" s="902">
        <f t="shared" ref="AI1269:AI1293" si="51">AH1269</f>
        <v>66816.133174036528</v>
      </c>
      <c r="AJ1269" s="975">
        <v>46254</v>
      </c>
      <c r="AK1269" s="978">
        <f>SUM(AI1269:AI1283)</f>
        <v>2841626.3835710827</v>
      </c>
      <c r="AL1269" s="1284">
        <f>AK1269+AK1284</f>
        <v>3068065.4294021493</v>
      </c>
      <c r="AM1269" s="151"/>
      <c r="AN1269" s="90"/>
      <c r="AO1269" s="128"/>
      <c r="AP1269" s="106"/>
    </row>
    <row r="1270" spans="1:42" s="69" customFormat="1">
      <c r="A1270" s="998"/>
      <c r="B1270" s="589"/>
      <c r="C1270" s="525"/>
      <c r="D1270" s="223" t="s">
        <v>809</v>
      </c>
      <c r="E1270" s="225" t="s">
        <v>64</v>
      </c>
      <c r="F1270" s="534" t="s">
        <v>151</v>
      </c>
      <c r="G1270" s="6">
        <v>106.69112252384446</v>
      </c>
      <c r="H1270" s="225" t="s">
        <v>64</v>
      </c>
      <c r="I1270" s="899" t="s">
        <v>151</v>
      </c>
      <c r="J1270" s="1001"/>
      <c r="K1270" s="1001"/>
      <c r="L1270" s="211">
        <v>40.498899486427</v>
      </c>
      <c r="M1270" s="225" t="s">
        <v>64</v>
      </c>
      <c r="N1270" s="773"/>
      <c r="O1270" s="188"/>
      <c r="P1270" s="188"/>
      <c r="Q1270" s="188"/>
      <c r="R1270" s="188"/>
      <c r="S1270" s="119">
        <v>40.498899486427</v>
      </c>
      <c r="T1270" s="196">
        <v>18088.439551427473</v>
      </c>
      <c r="U1270" s="39" t="s">
        <v>50</v>
      </c>
      <c r="V1270" s="494"/>
      <c r="W1270" s="119">
        <v>0</v>
      </c>
      <c r="X1270" s="196">
        <v>0</v>
      </c>
      <c r="Y1270" s="119">
        <v>3.8561995597945709</v>
      </c>
      <c r="Z1270" s="196">
        <v>1722.3340268533082</v>
      </c>
      <c r="AA1270" s="773"/>
      <c r="AB1270" s="773"/>
      <c r="AC1270" s="119">
        <v>11.269258987527513</v>
      </c>
      <c r="AD1270" s="562">
        <v>5033.304918658082</v>
      </c>
      <c r="AE1270" s="943"/>
      <c r="AF1270" s="944"/>
      <c r="AG1270" s="901">
        <v>40.498899486427</v>
      </c>
      <c r="AH1270" s="196">
        <v>36176.879102854946</v>
      </c>
      <c r="AI1270" s="903">
        <f t="shared" si="51"/>
        <v>36176.879102854946</v>
      </c>
      <c r="AJ1270" s="1003"/>
      <c r="AK1270" s="979"/>
      <c r="AL1270" s="1285"/>
      <c r="AM1270" s="151"/>
      <c r="AN1270" s="90"/>
      <c r="AO1270" s="128"/>
      <c r="AP1270" s="106"/>
    </row>
    <row r="1271" spans="1:42" s="69" customFormat="1">
      <c r="A1271" s="998"/>
      <c r="B1271" s="589"/>
      <c r="C1271" s="525"/>
      <c r="D1271" s="223" t="s">
        <v>810</v>
      </c>
      <c r="E1271" s="225" t="s">
        <v>64</v>
      </c>
      <c r="F1271" s="534" t="s">
        <v>151</v>
      </c>
      <c r="G1271" s="73">
        <v>195.64683785766692</v>
      </c>
      <c r="H1271" s="225" t="s">
        <v>64</v>
      </c>
      <c r="I1271" s="899" t="s">
        <v>151</v>
      </c>
      <c r="J1271" s="1001"/>
      <c r="K1271" s="1001"/>
      <c r="L1271" s="211">
        <v>44.14771289801908</v>
      </c>
      <c r="M1271" s="225" t="s">
        <v>64</v>
      </c>
      <c r="N1271" s="773"/>
      <c r="O1271" s="188"/>
      <c r="P1271" s="188"/>
      <c r="Q1271" s="188"/>
      <c r="R1271" s="188"/>
      <c r="S1271" s="119">
        <v>44.14771289801908</v>
      </c>
      <c r="T1271" s="196">
        <v>19718.146572284684</v>
      </c>
      <c r="U1271" s="39" t="s">
        <v>50</v>
      </c>
      <c r="V1271" s="494"/>
      <c r="W1271" s="119">
        <v>2.54340889214967</v>
      </c>
      <c r="X1271" s="196">
        <v>1135.9888437371285</v>
      </c>
      <c r="Y1271" s="119">
        <v>3.8899486089508435</v>
      </c>
      <c r="Z1271" s="196">
        <v>1737.4077114058002</v>
      </c>
      <c r="AA1271" s="773"/>
      <c r="AB1271" s="773"/>
      <c r="AC1271" s="119">
        <v>11.600880343360235</v>
      </c>
      <c r="AD1271" s="562">
        <v>5181.4203717941009</v>
      </c>
      <c r="AE1271" s="943"/>
      <c r="AF1271" s="944"/>
      <c r="AG1271" s="901">
        <v>44.14771289801908</v>
      </c>
      <c r="AH1271" s="196">
        <v>39436.293144569368</v>
      </c>
      <c r="AI1271" s="903">
        <f t="shared" si="51"/>
        <v>39436.293144569368</v>
      </c>
      <c r="AJ1271" s="1003"/>
      <c r="AK1271" s="979"/>
      <c r="AL1271" s="1285"/>
      <c r="AM1271" s="151"/>
      <c r="AN1271" s="90"/>
      <c r="AO1271" s="128"/>
      <c r="AP1271" s="106"/>
    </row>
    <row r="1272" spans="1:42" s="69" customFormat="1">
      <c r="A1272" s="998"/>
      <c r="B1272" s="589"/>
      <c r="C1272" s="525"/>
      <c r="D1272" s="223" t="s">
        <v>811</v>
      </c>
      <c r="E1272" s="225" t="s">
        <v>64</v>
      </c>
      <c r="F1272" s="534" t="s">
        <v>151</v>
      </c>
      <c r="G1272" s="73">
        <v>19.564683785766693</v>
      </c>
      <c r="H1272" s="225" t="s">
        <v>64</v>
      </c>
      <c r="I1272" s="899" t="s">
        <v>151</v>
      </c>
      <c r="J1272" s="1001"/>
      <c r="K1272" s="1001"/>
      <c r="L1272" s="211">
        <v>28.46661775495231</v>
      </c>
      <c r="M1272" s="225" t="s">
        <v>64</v>
      </c>
      <c r="N1272" s="773"/>
      <c r="O1272" s="188"/>
      <c r="P1272" s="188"/>
      <c r="Q1272" s="188"/>
      <c r="R1272" s="188"/>
      <c r="S1272" s="119">
        <v>28.46661775495231</v>
      </c>
      <c r="T1272" s="196">
        <v>12714.337945568575</v>
      </c>
      <c r="U1272" s="39" t="s">
        <v>50</v>
      </c>
      <c r="V1272" s="494"/>
      <c r="W1272" s="119">
        <v>0</v>
      </c>
      <c r="X1272" s="196">
        <v>0</v>
      </c>
      <c r="Y1272" s="119">
        <v>2.3888481291269259</v>
      </c>
      <c r="Z1272" s="196">
        <v>1066.9557822363715</v>
      </c>
      <c r="AA1272" s="773"/>
      <c r="AB1272" s="773"/>
      <c r="AC1272" s="119">
        <v>8.0997798972853996</v>
      </c>
      <c r="AD1272" s="562">
        <v>3617.6879102854919</v>
      </c>
      <c r="AE1272" s="943"/>
      <c r="AF1272" s="944"/>
      <c r="AG1272" s="901">
        <v>28.46661775495231</v>
      </c>
      <c r="AH1272" s="196">
        <v>25428.675891137151</v>
      </c>
      <c r="AI1272" s="903">
        <f t="shared" si="51"/>
        <v>25428.675891137151</v>
      </c>
      <c r="AJ1272" s="1003"/>
      <c r="AK1272" s="979"/>
      <c r="AL1272" s="1285"/>
      <c r="AM1272" s="151"/>
      <c r="AN1272" s="90"/>
      <c r="AO1272" s="128"/>
      <c r="AP1272" s="106"/>
    </row>
    <row r="1273" spans="1:42" s="69" customFormat="1">
      <c r="A1273" s="998"/>
      <c r="B1273" s="589"/>
      <c r="C1273" s="525"/>
      <c r="D1273" s="223" t="s">
        <v>812</v>
      </c>
      <c r="E1273" s="225" t="s">
        <v>64</v>
      </c>
      <c r="F1273" s="534" t="s">
        <v>151</v>
      </c>
      <c r="G1273" s="73">
        <v>652.15553925165079</v>
      </c>
      <c r="H1273" s="225" t="s">
        <v>64</v>
      </c>
      <c r="I1273" s="899" t="s">
        <v>151</v>
      </c>
      <c r="J1273" s="1001"/>
      <c r="K1273" s="1001"/>
      <c r="L1273" s="211">
        <v>43.299894350696995</v>
      </c>
      <c r="M1273" s="225" t="s">
        <v>64</v>
      </c>
      <c r="N1273" s="773"/>
      <c r="O1273" s="188"/>
      <c r="P1273" s="188"/>
      <c r="Q1273" s="188"/>
      <c r="R1273" s="188"/>
      <c r="S1273" s="119">
        <v>43.299894350696995</v>
      </c>
      <c r="T1273" s="196">
        <v>19339.476664255355</v>
      </c>
      <c r="U1273" s="39" t="s">
        <v>50</v>
      </c>
      <c r="V1273" s="494"/>
      <c r="W1273" s="119">
        <v>8.4780220102714612</v>
      </c>
      <c r="X1273" s="196">
        <v>3786.626071156893</v>
      </c>
      <c r="Y1273" s="119">
        <v>3.210074688187821</v>
      </c>
      <c r="Z1273" s="196">
        <v>1433.7486373503309</v>
      </c>
      <c r="AA1273" s="773"/>
      <c r="AB1273" s="773"/>
      <c r="AC1273" s="119">
        <v>10.006356272927366</v>
      </c>
      <c r="AD1273" s="562">
        <v>4469.241704544459</v>
      </c>
      <c r="AE1273" s="943"/>
      <c r="AF1273" s="944"/>
      <c r="AG1273" s="901">
        <v>43.299894350696995</v>
      </c>
      <c r="AH1273" s="196">
        <v>38678.95332851071</v>
      </c>
      <c r="AI1273" s="903">
        <f t="shared" si="51"/>
        <v>38678.95332851071</v>
      </c>
      <c r="AJ1273" s="1003"/>
      <c r="AK1273" s="979"/>
      <c r="AL1273" s="1285"/>
      <c r="AM1273" s="151"/>
      <c r="AN1273" s="90"/>
      <c r="AO1273" s="128"/>
      <c r="AP1273" s="106"/>
    </row>
    <row r="1274" spans="1:42" s="69" customFormat="1">
      <c r="A1274" s="998"/>
      <c r="B1274" s="589"/>
      <c r="C1274" s="525"/>
      <c r="D1274" s="223" t="s">
        <v>813</v>
      </c>
      <c r="E1274" s="225" t="s">
        <v>64</v>
      </c>
      <c r="F1274" s="534" t="s">
        <v>151</v>
      </c>
      <c r="G1274" s="6">
        <v>86280.264123257526</v>
      </c>
      <c r="H1274" s="225" t="s">
        <v>64</v>
      </c>
      <c r="I1274" s="899" t="s">
        <v>151</v>
      </c>
      <c r="J1274" s="1001"/>
      <c r="K1274" s="1001"/>
      <c r="L1274" s="211">
        <v>2141.188554658841</v>
      </c>
      <c r="M1274" s="225" t="s">
        <v>64</v>
      </c>
      <c r="N1274" s="773"/>
      <c r="O1274" s="188"/>
      <c r="P1274" s="188"/>
      <c r="Q1274" s="188"/>
      <c r="R1274" s="188"/>
      <c r="S1274" s="119">
        <v>2141.188554658841</v>
      </c>
      <c r="T1274" s="196">
        <v>956341.04210992705</v>
      </c>
      <c r="U1274" s="39" t="s">
        <v>50</v>
      </c>
      <c r="V1274" s="494"/>
      <c r="W1274" s="119">
        <v>1121.6434336023478</v>
      </c>
      <c r="X1274" s="196">
        <v>500971.13018518646</v>
      </c>
      <c r="Y1274" s="119">
        <v>150.91856199559791</v>
      </c>
      <c r="Z1274" s="196">
        <v>67406.307837096552</v>
      </c>
      <c r="AA1274" s="773"/>
      <c r="AB1274" s="773"/>
      <c r="AC1274" s="119">
        <v>305.42333088774762</v>
      </c>
      <c r="AD1274" s="562">
        <v>136414.36010403698</v>
      </c>
      <c r="AE1274" s="943"/>
      <c r="AF1274" s="944"/>
      <c r="AG1274" s="901">
        <v>2141.188554658841</v>
      </c>
      <c r="AH1274" s="196">
        <v>1912682.0842198541</v>
      </c>
      <c r="AI1274" s="903">
        <f t="shared" si="51"/>
        <v>1912682.0842198541</v>
      </c>
      <c r="AJ1274" s="1003"/>
      <c r="AK1274" s="979"/>
      <c r="AL1274" s="1285"/>
      <c r="AM1274" s="151"/>
      <c r="AN1274" s="90"/>
      <c r="AO1274" s="128"/>
      <c r="AP1274" s="106"/>
    </row>
    <row r="1275" spans="1:42" s="69" customFormat="1">
      <c r="A1275" s="998"/>
      <c r="B1275" s="589"/>
      <c r="C1275" s="525"/>
      <c r="D1275" s="223" t="s">
        <v>814</v>
      </c>
      <c r="E1275" s="223" t="s">
        <v>441</v>
      </c>
      <c r="F1275" s="534" t="s">
        <v>151</v>
      </c>
      <c r="G1275" s="6">
        <v>1760.8217168011738</v>
      </c>
      <c r="H1275" s="6">
        <v>1760.8217168011738</v>
      </c>
      <c r="I1275" s="899" t="s">
        <v>151</v>
      </c>
      <c r="J1275" s="1001"/>
      <c r="K1275" s="1001"/>
      <c r="L1275" s="211">
        <v>110.02201027146002</v>
      </c>
      <c r="M1275" s="211">
        <v>47.57</v>
      </c>
      <c r="N1275" s="773"/>
      <c r="O1275" s="188"/>
      <c r="P1275" s="188"/>
      <c r="Q1275" s="188"/>
      <c r="R1275" s="188"/>
      <c r="S1275" s="119">
        <v>62.450476889214968</v>
      </c>
      <c r="T1275" s="196">
        <v>27892.898090896811</v>
      </c>
      <c r="U1275" s="39" t="s">
        <v>50</v>
      </c>
      <c r="V1275" s="494"/>
      <c r="W1275" s="119">
        <v>0</v>
      </c>
      <c r="X1275" s="196">
        <v>0</v>
      </c>
      <c r="Y1275" s="119">
        <v>6.531181217901687</v>
      </c>
      <c r="Z1275" s="196">
        <v>2917.0885667899861</v>
      </c>
      <c r="AA1275" s="773"/>
      <c r="AB1275" s="773"/>
      <c r="AC1275" s="119">
        <v>17.872340425531913</v>
      </c>
      <c r="AD1275" s="562">
        <v>7982.5070194342816</v>
      </c>
      <c r="AE1275" s="943"/>
      <c r="AF1275" s="944"/>
      <c r="AG1275" s="901">
        <v>62.450476889214968</v>
      </c>
      <c r="AH1275" s="196">
        <v>55785.796181793623</v>
      </c>
      <c r="AI1275" s="903">
        <f t="shared" si="51"/>
        <v>55785.796181793623</v>
      </c>
      <c r="AJ1275" s="1003"/>
      <c r="AK1275" s="979"/>
      <c r="AL1275" s="1285"/>
      <c r="AM1275" s="151"/>
      <c r="AN1275" s="90"/>
      <c r="AO1275" s="128"/>
      <c r="AP1275" s="106"/>
    </row>
    <row r="1276" spans="1:42" s="69" customFormat="1">
      <c r="A1276" s="998"/>
      <c r="B1276" s="589"/>
      <c r="C1276" s="525"/>
      <c r="D1276" s="223" t="s">
        <v>815</v>
      </c>
      <c r="E1276" s="225" t="s">
        <v>64</v>
      </c>
      <c r="F1276" s="534" t="s">
        <v>151</v>
      </c>
      <c r="G1276" s="6">
        <v>4402.0542920029347</v>
      </c>
      <c r="H1276" s="320" t="s">
        <v>64</v>
      </c>
      <c r="I1276" s="899" t="s">
        <v>151</v>
      </c>
      <c r="J1276" s="1001"/>
      <c r="K1276" s="1001"/>
      <c r="L1276" s="211">
        <v>77.065297138664704</v>
      </c>
      <c r="M1276" s="225" t="s">
        <v>64</v>
      </c>
      <c r="N1276" s="773"/>
      <c r="O1276" s="188"/>
      <c r="P1276" s="188"/>
      <c r="Q1276" s="188"/>
      <c r="R1276" s="188"/>
      <c r="S1276" s="119">
        <v>77.065297138664704</v>
      </c>
      <c r="T1276" s="196">
        <v>34420.465407281568</v>
      </c>
      <c r="U1276" s="39" t="s">
        <v>50</v>
      </c>
      <c r="V1276" s="494"/>
      <c r="W1276" s="119">
        <v>0</v>
      </c>
      <c r="X1276" s="196">
        <v>0</v>
      </c>
      <c r="Y1276" s="119">
        <v>9.6786500366837842</v>
      </c>
      <c r="Z1276" s="196">
        <v>4322.874901493321</v>
      </c>
      <c r="AA1276" s="773"/>
      <c r="AB1276" s="773"/>
      <c r="AC1276" s="119">
        <v>22.679383712399119</v>
      </c>
      <c r="AD1276" s="562">
        <v>10129.526148799374</v>
      </c>
      <c r="AE1276" s="943"/>
      <c r="AF1276" s="944"/>
      <c r="AG1276" s="901">
        <v>77.065297138664704</v>
      </c>
      <c r="AH1276" s="196">
        <v>68840.930814563137</v>
      </c>
      <c r="AI1276" s="903">
        <f t="shared" si="51"/>
        <v>68840.930814563137</v>
      </c>
      <c r="AJ1276" s="1003"/>
      <c r="AK1276" s="979"/>
      <c r="AL1276" s="1285"/>
      <c r="AM1276" s="151"/>
      <c r="AN1276" s="107"/>
      <c r="AO1276" s="128"/>
      <c r="AP1276" s="106"/>
    </row>
    <row r="1277" spans="1:42" s="69" customFormat="1">
      <c r="A1277" s="998"/>
      <c r="B1277" s="589"/>
      <c r="C1277" s="525"/>
      <c r="D1277" s="223" t="s">
        <v>816</v>
      </c>
      <c r="E1277" s="225" t="s">
        <v>64</v>
      </c>
      <c r="F1277" s="535" t="s">
        <v>151</v>
      </c>
      <c r="G1277" s="73">
        <v>9782.3418928833453</v>
      </c>
      <c r="H1277" s="320" t="s">
        <v>64</v>
      </c>
      <c r="I1277" s="898" t="s">
        <v>151</v>
      </c>
      <c r="J1277" s="1001"/>
      <c r="K1277" s="1001"/>
      <c r="L1277" s="211">
        <v>266.98946001467351</v>
      </c>
      <c r="M1277" s="225" t="s">
        <v>64</v>
      </c>
      <c r="N1277" s="773"/>
      <c r="O1277" s="188"/>
      <c r="P1277" s="188"/>
      <c r="Q1277" s="188"/>
      <c r="R1277" s="188"/>
      <c r="S1277" s="119">
        <v>266.98946001467351</v>
      </c>
      <c r="T1277" s="196">
        <v>119248.24549768923</v>
      </c>
      <c r="U1277" s="39" t="s">
        <v>50</v>
      </c>
      <c r="V1277" s="494"/>
      <c r="W1277" s="119">
        <v>127.1704446074835</v>
      </c>
      <c r="X1277" s="196">
        <v>56799.442186856366</v>
      </c>
      <c r="Y1277" s="119">
        <v>18.959646148202491</v>
      </c>
      <c r="Z1277" s="196">
        <v>8468.1415450104796</v>
      </c>
      <c r="AA1277" s="773"/>
      <c r="AB1277" s="773"/>
      <c r="AC1277" s="119">
        <v>41.505499192956712</v>
      </c>
      <c r="AD1277" s="562">
        <v>18538.027519864696</v>
      </c>
      <c r="AE1277" s="943"/>
      <c r="AF1277" s="944"/>
      <c r="AG1277" s="901">
        <v>266.98946001467351</v>
      </c>
      <c r="AH1277" s="196">
        <v>238496.49099537847</v>
      </c>
      <c r="AI1277" s="903">
        <f t="shared" si="51"/>
        <v>238496.49099537847</v>
      </c>
      <c r="AJ1277" s="1003"/>
      <c r="AK1277" s="979"/>
      <c r="AL1277" s="1285"/>
      <c r="AM1277" s="151"/>
      <c r="AN1277" s="90"/>
      <c r="AO1277" s="128"/>
      <c r="AP1277" s="106"/>
    </row>
    <row r="1278" spans="1:42" s="69" customFormat="1">
      <c r="A1278" s="998"/>
      <c r="B1278" s="589"/>
      <c r="C1278" s="525"/>
      <c r="D1278" s="223" t="s">
        <v>820</v>
      </c>
      <c r="E1278" s="225" t="s">
        <v>64</v>
      </c>
      <c r="F1278" s="534" t="s">
        <v>151</v>
      </c>
      <c r="G1278" s="73">
        <v>3912.9367571533389</v>
      </c>
      <c r="H1278" s="320" t="s">
        <v>64</v>
      </c>
      <c r="I1278" s="899" t="s">
        <v>151</v>
      </c>
      <c r="J1278" s="1001"/>
      <c r="K1278" s="1001"/>
      <c r="L1278" s="211">
        <v>71.440445487894337</v>
      </c>
      <c r="M1278" s="225" t="s">
        <v>64</v>
      </c>
      <c r="N1278" s="773"/>
      <c r="O1278" s="188"/>
      <c r="P1278" s="188"/>
      <c r="Q1278" s="188"/>
      <c r="R1278" s="188"/>
      <c r="S1278" s="119">
        <v>71.440445487894337</v>
      </c>
      <c r="T1278" s="196">
        <v>31908.180126423325</v>
      </c>
      <c r="U1278" s="39" t="s">
        <v>50</v>
      </c>
      <c r="V1278" s="494"/>
      <c r="W1278" s="119">
        <v>0</v>
      </c>
      <c r="X1278" s="196">
        <v>0</v>
      </c>
      <c r="Y1278" s="119">
        <v>8.8349222890682313</v>
      </c>
      <c r="Z1278" s="196">
        <v>3946.0321093645834</v>
      </c>
      <c r="AA1278" s="773"/>
      <c r="AB1278" s="773"/>
      <c r="AC1278" s="119">
        <v>20.991928217168009</v>
      </c>
      <c r="AD1278" s="562">
        <v>9375.840564541917</v>
      </c>
      <c r="AE1278" s="943"/>
      <c r="AF1278" s="944"/>
      <c r="AG1278" s="901">
        <v>71.440445487894337</v>
      </c>
      <c r="AH1278" s="196">
        <v>63816.360252846651</v>
      </c>
      <c r="AI1278" s="903">
        <f t="shared" si="51"/>
        <v>63816.360252846651</v>
      </c>
      <c r="AJ1278" s="1003"/>
      <c r="AK1278" s="979"/>
      <c r="AL1278" s="1285"/>
      <c r="AM1278" s="151"/>
      <c r="AN1278" s="90"/>
      <c r="AO1278" s="128"/>
      <c r="AP1278" s="106"/>
    </row>
    <row r="1279" spans="1:42" s="69" customFormat="1">
      <c r="A1279" s="998"/>
      <c r="B1279" s="589"/>
      <c r="C1279" s="525"/>
      <c r="D1279" s="223" t="s">
        <v>821</v>
      </c>
      <c r="E1279" s="225" t="s">
        <v>64</v>
      </c>
      <c r="F1279" s="534" t="s">
        <v>151</v>
      </c>
      <c r="G1279" s="6">
        <v>35.216434336023475</v>
      </c>
      <c r="H1279" s="320" t="s">
        <v>64</v>
      </c>
      <c r="I1279" s="899" t="s">
        <v>151</v>
      </c>
      <c r="J1279" s="1001"/>
      <c r="K1279" s="1001"/>
      <c r="L1279" s="211">
        <v>28.46661775495231</v>
      </c>
      <c r="M1279" s="225" t="s">
        <v>64</v>
      </c>
      <c r="N1279" s="773"/>
      <c r="O1279" s="188"/>
      <c r="P1279" s="188"/>
      <c r="Q1279" s="188"/>
      <c r="R1279" s="188"/>
      <c r="S1279" s="119">
        <v>28.46661775495231</v>
      </c>
      <c r="T1279" s="196">
        <v>12714.337945568575</v>
      </c>
      <c r="U1279" s="39" t="s">
        <v>50</v>
      </c>
      <c r="V1279" s="494"/>
      <c r="W1279" s="119">
        <v>0</v>
      </c>
      <c r="X1279" s="196">
        <v>0</v>
      </c>
      <c r="Y1279" s="119">
        <v>2.3888481291269259</v>
      </c>
      <c r="Z1279" s="196">
        <v>1066.9557822363715</v>
      </c>
      <c r="AA1279" s="773"/>
      <c r="AB1279" s="773"/>
      <c r="AC1279" s="119">
        <v>8.0997798972853996</v>
      </c>
      <c r="AD1279" s="562">
        <v>3617.6879102854919</v>
      </c>
      <c r="AE1279" s="943"/>
      <c r="AF1279" s="944"/>
      <c r="AG1279" s="211">
        <v>28.46661775495231</v>
      </c>
      <c r="AH1279" s="157">
        <v>25428.675891137151</v>
      </c>
      <c r="AI1279" s="903">
        <f t="shared" si="51"/>
        <v>25428.675891137151</v>
      </c>
      <c r="AJ1279" s="1003"/>
      <c r="AK1279" s="979"/>
      <c r="AL1279" s="1285"/>
      <c r="AM1279" s="151"/>
      <c r="AN1279" s="90"/>
      <c r="AO1279" s="128"/>
      <c r="AP1279" s="106"/>
    </row>
    <row r="1280" spans="1:42" s="69" customFormat="1">
      <c r="A1280" s="998"/>
      <c r="B1280" s="589"/>
      <c r="C1280" s="525"/>
      <c r="D1280" s="223" t="s">
        <v>822</v>
      </c>
      <c r="E1280" s="225" t="s">
        <v>64</v>
      </c>
      <c r="F1280" s="534" t="s">
        <v>151</v>
      </c>
      <c r="G1280" s="73">
        <v>326.0777696258254</v>
      </c>
      <c r="H1280" s="320" t="s">
        <v>64</v>
      </c>
      <c r="I1280" s="899" t="s">
        <v>151</v>
      </c>
      <c r="J1280" s="1001"/>
      <c r="K1280" s="1104"/>
      <c r="L1280" s="7">
        <v>35.310988994864275</v>
      </c>
      <c r="M1280" s="320" t="s">
        <v>64</v>
      </c>
      <c r="N1280" s="773"/>
      <c r="O1280" s="188"/>
      <c r="P1280" s="188"/>
      <c r="Q1280" s="188"/>
      <c r="R1280" s="188"/>
      <c r="S1280" s="7">
        <v>35.310988994864275</v>
      </c>
      <c r="T1280" s="157">
        <v>15771.309789511361</v>
      </c>
      <c r="U1280" s="39" t="s">
        <v>50</v>
      </c>
      <c r="V1280" s="494"/>
      <c r="W1280" s="7">
        <v>4.2390110051357306</v>
      </c>
      <c r="X1280" s="157">
        <v>1893.3130355784465</v>
      </c>
      <c r="Y1280" s="7">
        <v>2.6475905355832721</v>
      </c>
      <c r="Z1280" s="157">
        <v>1182.5205614755005</v>
      </c>
      <c r="AA1280" s="773"/>
      <c r="AB1280" s="773"/>
      <c r="AC1280" s="7">
        <v>8.8813879677182683</v>
      </c>
      <c r="AD1280" s="176">
        <v>3966.7855527947859</v>
      </c>
      <c r="AE1280" s="943"/>
      <c r="AF1280" s="944"/>
      <c r="AG1280" s="211">
        <v>35.310988994864275</v>
      </c>
      <c r="AH1280" s="157">
        <v>31542.619579022721</v>
      </c>
      <c r="AI1280" s="903">
        <f t="shared" si="51"/>
        <v>31542.619579022721</v>
      </c>
      <c r="AJ1280" s="1003"/>
      <c r="AK1280" s="979"/>
      <c r="AL1280" s="1285"/>
      <c r="AM1280" s="151"/>
      <c r="AN1280" s="90"/>
      <c r="AO1280" s="128"/>
      <c r="AP1280" s="106"/>
    </row>
    <row r="1281" spans="1:42" s="69" customFormat="1">
      <c r="A1281" s="998"/>
      <c r="B1281" s="589"/>
      <c r="C1281" s="525"/>
      <c r="D1281" s="223" t="s">
        <v>823</v>
      </c>
      <c r="E1281" s="320" t="s">
        <v>64</v>
      </c>
      <c r="F1281" s="534" t="s">
        <v>151</v>
      </c>
      <c r="G1281" s="73">
        <v>9782.3418928833453</v>
      </c>
      <c r="H1281" s="320" t="s">
        <v>64</v>
      </c>
      <c r="I1281" s="899" t="s">
        <v>151</v>
      </c>
      <c r="J1281" s="1001"/>
      <c r="K1281" s="1104"/>
      <c r="L1281" s="7">
        <v>266.98946001467351</v>
      </c>
      <c r="M1281" s="320" t="s">
        <v>64</v>
      </c>
      <c r="N1281" s="773"/>
      <c r="O1281" s="188"/>
      <c r="P1281" s="188"/>
      <c r="Q1281" s="188"/>
      <c r="R1281" s="188"/>
      <c r="S1281" s="7">
        <v>266.98946001467351</v>
      </c>
      <c r="T1281" s="157">
        <v>119248.24549768923</v>
      </c>
      <c r="U1281" s="39" t="s">
        <v>50</v>
      </c>
      <c r="V1281" s="494"/>
      <c r="W1281" s="7">
        <v>127.1704446074835</v>
      </c>
      <c r="X1281" s="157">
        <v>56799.442186856366</v>
      </c>
      <c r="Y1281" s="7">
        <v>18.959646148202491</v>
      </c>
      <c r="Z1281" s="157">
        <v>8468.1415450104796</v>
      </c>
      <c r="AA1281" s="773"/>
      <c r="AB1281" s="773"/>
      <c r="AC1281" s="7">
        <v>41.505499192956712</v>
      </c>
      <c r="AD1281" s="176">
        <v>18538.027519864696</v>
      </c>
      <c r="AE1281" s="943"/>
      <c r="AF1281" s="944"/>
      <c r="AG1281" s="211">
        <v>266.98946001467351</v>
      </c>
      <c r="AH1281" s="157">
        <v>238496.49099537847</v>
      </c>
      <c r="AI1281" s="903">
        <f t="shared" si="51"/>
        <v>238496.49099537847</v>
      </c>
      <c r="AJ1281" s="1003"/>
      <c r="AK1281" s="979"/>
      <c r="AL1281" s="1285"/>
      <c r="AM1281" s="151"/>
      <c r="AN1281" s="90"/>
      <c r="AO1281" s="128"/>
      <c r="AP1281" s="106"/>
    </row>
    <row r="1282" spans="1:42" s="69" customFormat="1" ht="15" customHeight="1">
      <c r="A1282" s="998"/>
      <c r="B1282" s="591"/>
      <c r="C1282" s="529"/>
      <c r="D1282" s="869" t="s">
        <v>772</v>
      </c>
      <c r="E1282" s="320" t="s">
        <v>64</v>
      </c>
      <c r="F1282" s="534" t="s">
        <v>151</v>
      </c>
      <c r="G1282" s="6">
        <v>1760.8217168011738</v>
      </c>
      <c r="H1282" s="320" t="s">
        <v>64</v>
      </c>
      <c r="I1282" s="899" t="s">
        <v>151</v>
      </c>
      <c r="J1282" s="1001"/>
      <c r="K1282" s="1104"/>
      <c r="L1282" s="924" t="s">
        <v>786</v>
      </c>
      <c r="M1282" s="925"/>
      <c r="N1282" s="925"/>
      <c r="O1282" s="925"/>
      <c r="P1282" s="925"/>
      <c r="Q1282" s="926"/>
      <c r="R1282" s="924" t="s">
        <v>786</v>
      </c>
      <c r="S1282" s="925"/>
      <c r="T1282" s="925"/>
      <c r="U1282" s="925"/>
      <c r="V1282" s="925"/>
      <c r="W1282" s="926"/>
      <c r="X1282" s="924" t="s">
        <v>786</v>
      </c>
      <c r="Y1282" s="925"/>
      <c r="Z1282" s="925"/>
      <c r="AA1282" s="925"/>
      <c r="AB1282" s="925"/>
      <c r="AC1282" s="925"/>
      <c r="AD1282" s="935"/>
      <c r="AE1282" s="943"/>
      <c r="AF1282" s="944"/>
      <c r="AG1282" s="924" t="s">
        <v>786</v>
      </c>
      <c r="AH1282" s="925"/>
      <c r="AI1282" s="926"/>
      <c r="AJ1282" s="1003"/>
      <c r="AK1282" s="979"/>
      <c r="AL1282" s="1285"/>
      <c r="AM1282" s="151"/>
      <c r="AN1282" s="90"/>
      <c r="AO1282" s="128"/>
      <c r="AP1282" s="106"/>
    </row>
    <row r="1283" spans="1:42" s="69" customFormat="1" ht="15.75" customHeight="1" thickBot="1">
      <c r="A1283" s="998"/>
      <c r="B1283" s="593"/>
      <c r="C1283" s="527"/>
      <c r="D1283" s="789" t="s">
        <v>809</v>
      </c>
      <c r="E1283" s="226" t="s">
        <v>64</v>
      </c>
      <c r="F1283" s="536" t="s">
        <v>151</v>
      </c>
      <c r="G1283" s="94">
        <v>326.0777696258254</v>
      </c>
      <c r="H1283" s="226" t="s">
        <v>64</v>
      </c>
      <c r="I1283" s="900" t="s">
        <v>151</v>
      </c>
      <c r="J1283" s="1001"/>
      <c r="K1283" s="1104"/>
      <c r="L1283" s="927"/>
      <c r="M1283" s="928"/>
      <c r="N1283" s="928"/>
      <c r="O1283" s="928"/>
      <c r="P1283" s="928"/>
      <c r="Q1283" s="929"/>
      <c r="R1283" s="927"/>
      <c r="S1283" s="928"/>
      <c r="T1283" s="928"/>
      <c r="U1283" s="928"/>
      <c r="V1283" s="928"/>
      <c r="W1283" s="929"/>
      <c r="X1283" s="927"/>
      <c r="Y1283" s="928"/>
      <c r="Z1283" s="928"/>
      <c r="AA1283" s="928"/>
      <c r="AB1283" s="928"/>
      <c r="AC1283" s="928"/>
      <c r="AD1283" s="936"/>
      <c r="AE1283" s="943"/>
      <c r="AF1283" s="944"/>
      <c r="AG1283" s="927"/>
      <c r="AH1283" s="928"/>
      <c r="AI1283" s="929"/>
      <c r="AJ1283" s="1003"/>
      <c r="AK1283" s="980"/>
      <c r="AL1283" s="1285"/>
      <c r="AM1283" s="151">
        <v>3068065</v>
      </c>
      <c r="AN1283" s="107" t="s">
        <v>77</v>
      </c>
      <c r="AO1283" s="128"/>
      <c r="AP1283" s="106"/>
    </row>
    <row r="1284" spans="1:42" s="69" customFormat="1">
      <c r="A1284" s="998"/>
      <c r="B1284" s="744">
        <v>10418</v>
      </c>
      <c r="C1284" s="529">
        <v>33738</v>
      </c>
      <c r="D1284" s="223" t="s">
        <v>773</v>
      </c>
      <c r="E1284" s="222" t="s">
        <v>567</v>
      </c>
      <c r="F1284" s="535" t="s">
        <v>151</v>
      </c>
      <c r="G1284" s="11">
        <v>1919.3837123991195</v>
      </c>
      <c r="H1284" s="225" t="s">
        <v>221</v>
      </c>
      <c r="I1284" s="898" t="s">
        <v>151</v>
      </c>
      <c r="J1284" s="1001"/>
      <c r="K1284" s="1104"/>
      <c r="L1284" s="120">
        <v>83.151093176815849</v>
      </c>
      <c r="M1284" s="7">
        <v>6.7</v>
      </c>
      <c r="N1284" s="774"/>
      <c r="O1284" s="115"/>
      <c r="P1284" s="115"/>
      <c r="Q1284" s="115"/>
      <c r="R1284" s="115"/>
      <c r="S1284" s="120">
        <v>76.454101247248715</v>
      </c>
      <c r="T1284" s="117">
        <v>15596.046435219831</v>
      </c>
      <c r="U1284" s="39" t="s">
        <v>50</v>
      </c>
      <c r="V1284" s="775"/>
      <c r="W1284" s="120">
        <v>24.951988261188557</v>
      </c>
      <c r="X1284" s="117">
        <v>5090.0129780357756</v>
      </c>
      <c r="Y1284" s="120">
        <v>6.7342677916360971</v>
      </c>
      <c r="Z1284" s="117">
        <v>1373.7386415139067</v>
      </c>
      <c r="AA1284" s="774"/>
      <c r="AB1284" s="774"/>
      <c r="AC1284" s="120">
        <v>14.570223037417461</v>
      </c>
      <c r="AD1284" s="177">
        <v>2972.2130187391454</v>
      </c>
      <c r="AE1284" s="943"/>
      <c r="AF1284" s="944"/>
      <c r="AG1284" s="209">
        <v>76.454101247248715</v>
      </c>
      <c r="AH1284" s="117">
        <v>31192.092870439661</v>
      </c>
      <c r="AI1284" s="904">
        <f t="shared" si="51"/>
        <v>31192.092870439661</v>
      </c>
      <c r="AJ1284" s="1003"/>
      <c r="AK1284" s="978">
        <f>SUM(AI1284:AI1305)</f>
        <v>226439.04583106632</v>
      </c>
      <c r="AL1284" s="1285"/>
      <c r="AM1284" s="151"/>
      <c r="AN1284" s="90"/>
      <c r="AO1284" s="128"/>
      <c r="AP1284" s="106"/>
    </row>
    <row r="1285" spans="1:42" s="69" customFormat="1">
      <c r="A1285" s="998"/>
      <c r="B1285" s="821"/>
      <c r="C1285" s="525"/>
      <c r="D1285" s="223" t="s">
        <v>809</v>
      </c>
      <c r="E1285" s="320" t="s">
        <v>64</v>
      </c>
      <c r="F1285" s="534" t="s">
        <v>151</v>
      </c>
      <c r="G1285" s="6">
        <v>639.79457079970655</v>
      </c>
      <c r="H1285" s="320" t="s">
        <v>64</v>
      </c>
      <c r="I1285" s="899" t="s">
        <v>151</v>
      </c>
      <c r="J1285" s="1001"/>
      <c r="K1285" s="1104"/>
      <c r="L1285" s="7">
        <v>17.364974321349962</v>
      </c>
      <c r="M1285" s="320" t="s">
        <v>64</v>
      </c>
      <c r="N1285" s="773"/>
      <c r="O1285" s="188"/>
      <c r="P1285" s="188"/>
      <c r="Q1285" s="188"/>
      <c r="R1285" s="188"/>
      <c r="S1285" s="7">
        <v>17.364974321349962</v>
      </c>
      <c r="T1285" s="157">
        <v>3542.3207054169725</v>
      </c>
      <c r="U1285" s="39" t="s">
        <v>50</v>
      </c>
      <c r="V1285" s="494"/>
      <c r="W1285" s="7">
        <v>0</v>
      </c>
      <c r="X1285" s="157">
        <v>0</v>
      </c>
      <c r="Y1285" s="7">
        <v>4.6561034482758625</v>
      </c>
      <c r="Z1285" s="157">
        <v>949.80915872202434</v>
      </c>
      <c r="AA1285" s="773"/>
      <c r="AB1285" s="773"/>
      <c r="AC1285" s="7">
        <v>4.329081438004402</v>
      </c>
      <c r="AD1285" s="176">
        <v>883.09919320900588</v>
      </c>
      <c r="AE1285" s="943"/>
      <c r="AF1285" s="944"/>
      <c r="AG1285" s="211">
        <v>17.364974321349962</v>
      </c>
      <c r="AH1285" s="157">
        <v>7084.641410833945</v>
      </c>
      <c r="AI1285" s="903">
        <f t="shared" si="51"/>
        <v>7084.641410833945</v>
      </c>
      <c r="AJ1285" s="1003"/>
      <c r="AK1285" s="979"/>
      <c r="AL1285" s="1285"/>
      <c r="AM1285" s="151"/>
      <c r="AN1285" s="90"/>
      <c r="AO1285" s="128"/>
      <c r="AP1285" s="106"/>
    </row>
    <row r="1286" spans="1:42" s="69" customFormat="1">
      <c r="A1286" s="998"/>
      <c r="B1286" s="821"/>
      <c r="C1286" s="525"/>
      <c r="D1286" s="223" t="s">
        <v>810</v>
      </c>
      <c r="E1286" s="320" t="s">
        <v>64</v>
      </c>
      <c r="F1286" s="534" t="s">
        <v>151</v>
      </c>
      <c r="G1286" s="6">
        <v>213.38224504768891</v>
      </c>
      <c r="H1286" s="320" t="s">
        <v>64</v>
      </c>
      <c r="I1286" s="899" t="s">
        <v>151</v>
      </c>
      <c r="J1286" s="1001"/>
      <c r="K1286" s="1104"/>
      <c r="L1286" s="7">
        <v>12.461232575201761</v>
      </c>
      <c r="M1286" s="320" t="s">
        <v>64</v>
      </c>
      <c r="N1286" s="773"/>
      <c r="O1286" s="188"/>
      <c r="P1286" s="188"/>
      <c r="Q1286" s="188"/>
      <c r="R1286" s="188"/>
      <c r="S1286" s="7">
        <v>12.461232575201761</v>
      </c>
      <c r="T1286" s="157">
        <v>2541.9952456757783</v>
      </c>
      <c r="U1286" s="39" t="s">
        <v>50</v>
      </c>
      <c r="V1286" s="494"/>
      <c r="W1286" s="7">
        <v>0</v>
      </c>
      <c r="X1286" s="157">
        <v>0</v>
      </c>
      <c r="Y1286" s="7">
        <v>3.9205421863536323</v>
      </c>
      <c r="Z1286" s="157">
        <v>799.76033976084534</v>
      </c>
      <c r="AA1286" s="773"/>
      <c r="AB1286" s="773"/>
      <c r="AC1286" s="7">
        <v>2.8579589141599411</v>
      </c>
      <c r="AD1286" s="176">
        <v>583.00155528664948</v>
      </c>
      <c r="AE1286" s="943"/>
      <c r="AF1286" s="944"/>
      <c r="AG1286" s="211">
        <v>12.461232575201761</v>
      </c>
      <c r="AH1286" s="157">
        <v>5083.9904913515566</v>
      </c>
      <c r="AI1286" s="903">
        <f t="shared" si="51"/>
        <v>5083.9904913515566</v>
      </c>
      <c r="AJ1286" s="1003"/>
      <c r="AK1286" s="979"/>
      <c r="AL1286" s="1285"/>
      <c r="AM1286" s="151"/>
      <c r="AN1286" s="90"/>
      <c r="AO1286" s="128"/>
      <c r="AP1286" s="106"/>
    </row>
    <row r="1287" spans="1:42" s="69" customFormat="1">
      <c r="A1287" s="998"/>
      <c r="B1287" s="821"/>
      <c r="C1287" s="525"/>
      <c r="D1287" s="223" t="s">
        <v>811</v>
      </c>
      <c r="E1287" s="320" t="s">
        <v>64</v>
      </c>
      <c r="F1287" s="534" t="s">
        <v>151</v>
      </c>
      <c r="G1287" s="6">
        <v>320.07336757153337</v>
      </c>
      <c r="H1287" s="320" t="s">
        <v>64</v>
      </c>
      <c r="I1287" s="899" t="s">
        <v>151</v>
      </c>
      <c r="J1287" s="1001"/>
      <c r="K1287" s="1104"/>
      <c r="L1287" s="7">
        <v>10.460007336757155</v>
      </c>
      <c r="M1287" s="320" t="s">
        <v>64</v>
      </c>
      <c r="N1287" s="773"/>
      <c r="O1287" s="188"/>
      <c r="P1287" s="188"/>
      <c r="Q1287" s="188"/>
      <c r="R1287" s="188"/>
      <c r="S1287" s="7">
        <v>10.460007336757155</v>
      </c>
      <c r="T1287" s="157">
        <v>2133.760746323283</v>
      </c>
      <c r="U1287" s="39" t="s">
        <v>50</v>
      </c>
      <c r="V1287" s="494"/>
      <c r="W1287" s="7">
        <v>0</v>
      </c>
      <c r="X1287" s="157">
        <v>0</v>
      </c>
      <c r="Y1287" s="7">
        <v>2.6372329420396183</v>
      </c>
      <c r="Z1287" s="157">
        <v>537.975160960008</v>
      </c>
      <c r="AA1287" s="773"/>
      <c r="AB1287" s="773"/>
      <c r="AC1287" s="7">
        <v>2.6977967718268525</v>
      </c>
      <c r="AD1287" s="176">
        <v>550.32971468894175</v>
      </c>
      <c r="AE1287" s="943"/>
      <c r="AF1287" s="944"/>
      <c r="AG1287" s="211">
        <v>10.460007336757155</v>
      </c>
      <c r="AH1287" s="157">
        <v>4267.521492646566</v>
      </c>
      <c r="AI1287" s="903">
        <f t="shared" si="51"/>
        <v>4267.521492646566</v>
      </c>
      <c r="AJ1287" s="1003"/>
      <c r="AK1287" s="979"/>
      <c r="AL1287" s="1285"/>
      <c r="AM1287" s="151"/>
      <c r="AN1287" s="90"/>
      <c r="AO1287" s="128"/>
      <c r="AP1287" s="106"/>
    </row>
    <row r="1288" spans="1:42" s="69" customFormat="1">
      <c r="A1288" s="998"/>
      <c r="B1288" s="821"/>
      <c r="C1288" s="525"/>
      <c r="D1288" s="223" t="s">
        <v>812</v>
      </c>
      <c r="E1288" s="320" t="s">
        <v>64</v>
      </c>
      <c r="F1288" s="534" t="s">
        <v>151</v>
      </c>
      <c r="G1288" s="73">
        <v>195.64783565663976</v>
      </c>
      <c r="H1288" s="320" t="s">
        <v>64</v>
      </c>
      <c r="I1288" s="899" t="s">
        <v>151</v>
      </c>
      <c r="J1288" s="1001"/>
      <c r="K1288" s="1104"/>
      <c r="L1288" s="7">
        <v>12.452946441672783</v>
      </c>
      <c r="M1288" s="320" t="s">
        <v>64</v>
      </c>
      <c r="N1288" s="773"/>
      <c r="O1288" s="188"/>
      <c r="P1288" s="188"/>
      <c r="Q1288" s="188"/>
      <c r="R1288" s="188"/>
      <c r="S1288" s="7">
        <v>12.452946441672783</v>
      </c>
      <c r="T1288" s="157">
        <v>2540.3049384041215</v>
      </c>
      <c r="U1288" s="39" t="s">
        <v>50</v>
      </c>
      <c r="V1288" s="494"/>
      <c r="W1288" s="7">
        <v>2.5434218635363171</v>
      </c>
      <c r="X1288" s="157">
        <v>518.83842515895492</v>
      </c>
      <c r="Y1288" s="7">
        <v>2.4225988994864269</v>
      </c>
      <c r="Z1288" s="157">
        <v>494.19147323587873</v>
      </c>
      <c r="AA1288" s="773"/>
      <c r="AB1288" s="773"/>
      <c r="AC1288" s="7">
        <v>2.5326519442406457</v>
      </c>
      <c r="AD1288" s="176">
        <v>516.64144476550678</v>
      </c>
      <c r="AE1288" s="943"/>
      <c r="AF1288" s="944"/>
      <c r="AG1288" s="211">
        <v>12.452946441672783</v>
      </c>
      <c r="AH1288" s="157">
        <v>5080.6098768082429</v>
      </c>
      <c r="AI1288" s="903">
        <f t="shared" si="51"/>
        <v>5080.6098768082429</v>
      </c>
      <c r="AJ1288" s="1003"/>
      <c r="AK1288" s="979"/>
      <c r="AL1288" s="1285"/>
      <c r="AM1288" s="151"/>
      <c r="AN1288" s="90"/>
      <c r="AO1288" s="128"/>
      <c r="AP1288" s="106"/>
    </row>
    <row r="1289" spans="1:42" s="69" customFormat="1">
      <c r="A1289" s="998"/>
      <c r="B1289" s="821"/>
      <c r="C1289" s="525"/>
      <c r="D1289" s="223" t="s">
        <v>813</v>
      </c>
      <c r="E1289" s="320" t="s">
        <v>64</v>
      </c>
      <c r="F1289" s="534" t="s">
        <v>151</v>
      </c>
      <c r="G1289" s="73">
        <v>391.29567131327951</v>
      </c>
      <c r="H1289" s="320" t="s">
        <v>64</v>
      </c>
      <c r="I1289" s="899" t="s">
        <v>151</v>
      </c>
      <c r="J1289" s="1001"/>
      <c r="K1289" s="1104"/>
      <c r="L1289" s="7">
        <v>17.246318415260454</v>
      </c>
      <c r="M1289" s="320" t="s">
        <v>64</v>
      </c>
      <c r="N1289" s="773"/>
      <c r="O1289" s="188"/>
      <c r="P1289" s="188"/>
      <c r="Q1289" s="188"/>
      <c r="R1289" s="188"/>
      <c r="S1289" s="7">
        <v>17.246318415260454</v>
      </c>
      <c r="T1289" s="157">
        <v>3518.1158165883057</v>
      </c>
      <c r="U1289" s="39" t="s">
        <v>50</v>
      </c>
      <c r="V1289" s="494"/>
      <c r="W1289" s="7">
        <v>5.0868437270726341</v>
      </c>
      <c r="X1289" s="157">
        <v>1037.6768503179098</v>
      </c>
      <c r="Y1289" s="7">
        <v>2.7600914159941303</v>
      </c>
      <c r="Z1289" s="157">
        <v>563.03734118966167</v>
      </c>
      <c r="AA1289" s="773"/>
      <c r="AB1289" s="773"/>
      <c r="AC1289" s="7">
        <v>3.2076369772560525</v>
      </c>
      <c r="AD1289" s="176">
        <v>654.33318067307653</v>
      </c>
      <c r="AE1289" s="943"/>
      <c r="AF1289" s="944"/>
      <c r="AG1289" s="211">
        <v>17.246318415260454</v>
      </c>
      <c r="AH1289" s="157">
        <v>7036.2316331766115</v>
      </c>
      <c r="AI1289" s="903">
        <f t="shared" si="51"/>
        <v>7036.2316331766115</v>
      </c>
      <c r="AJ1289" s="1003"/>
      <c r="AK1289" s="979"/>
      <c r="AL1289" s="1285"/>
      <c r="AM1289" s="151"/>
      <c r="AN1289" s="107"/>
      <c r="AO1289" s="128"/>
      <c r="AP1289" s="106"/>
    </row>
    <row r="1290" spans="1:42" s="69" customFormat="1">
      <c r="A1290" s="998"/>
      <c r="B1290" s="821"/>
      <c r="C1290" s="525"/>
      <c r="D1290" s="223" t="s">
        <v>814</v>
      </c>
      <c r="E1290" s="320" t="s">
        <v>64</v>
      </c>
      <c r="F1290" s="534" t="s">
        <v>151</v>
      </c>
      <c r="G1290" s="73">
        <v>19.56478356566398</v>
      </c>
      <c r="H1290" s="320" t="s">
        <v>64</v>
      </c>
      <c r="I1290" s="899" t="s">
        <v>151</v>
      </c>
      <c r="J1290" s="1001"/>
      <c r="K1290" s="1104"/>
      <c r="L1290" s="7">
        <v>8.8041085840058688</v>
      </c>
      <c r="M1290" s="320" t="s">
        <v>64</v>
      </c>
      <c r="N1290" s="773"/>
      <c r="O1290" s="188"/>
      <c r="P1290" s="188"/>
      <c r="Q1290" s="188"/>
      <c r="R1290" s="188"/>
      <c r="S1290" s="7">
        <v>8.8041085840058688</v>
      </c>
      <c r="T1290" s="157">
        <v>1795.9701841608489</v>
      </c>
      <c r="U1290" s="39" t="s">
        <v>50</v>
      </c>
      <c r="V1290" s="494"/>
      <c r="W1290" s="7">
        <v>0</v>
      </c>
      <c r="X1290" s="157">
        <v>0</v>
      </c>
      <c r="Y1290" s="7">
        <v>2.3888481291269259</v>
      </c>
      <c r="Z1290" s="157">
        <v>487.30657663564409</v>
      </c>
      <c r="AA1290" s="773"/>
      <c r="AB1290" s="773"/>
      <c r="AC1290" s="7">
        <v>2.2010271460014672</v>
      </c>
      <c r="AD1290" s="176">
        <v>448.99254604021223</v>
      </c>
      <c r="AE1290" s="943"/>
      <c r="AF1290" s="944"/>
      <c r="AG1290" s="211">
        <v>8.8041085840058688</v>
      </c>
      <c r="AH1290" s="157">
        <v>3591.9403683216979</v>
      </c>
      <c r="AI1290" s="903">
        <f t="shared" si="51"/>
        <v>3591.9403683216979</v>
      </c>
      <c r="AJ1290" s="1003"/>
      <c r="AK1290" s="979"/>
      <c r="AL1290" s="1285"/>
      <c r="AM1290" s="151"/>
      <c r="AN1290" s="90"/>
      <c r="AO1290" s="128"/>
      <c r="AP1290" s="106"/>
    </row>
    <row r="1291" spans="1:42" s="69" customFormat="1">
      <c r="A1291" s="998"/>
      <c r="B1291" s="821"/>
      <c r="C1291" s="525"/>
      <c r="D1291" s="223" t="s">
        <v>815</v>
      </c>
      <c r="E1291" s="320" t="s">
        <v>64</v>
      </c>
      <c r="F1291" s="534" t="s">
        <v>151</v>
      </c>
      <c r="G1291" s="73">
        <v>39.12956713132796</v>
      </c>
      <c r="H1291" s="320" t="s">
        <v>64</v>
      </c>
      <c r="I1291" s="899" t="s">
        <v>151</v>
      </c>
      <c r="J1291" s="1001"/>
      <c r="K1291" s="1104"/>
      <c r="L1291" s="7">
        <v>8.8041085840058688</v>
      </c>
      <c r="M1291" s="320" t="s">
        <v>64</v>
      </c>
      <c r="N1291" s="773"/>
      <c r="O1291" s="188"/>
      <c r="P1291" s="188"/>
      <c r="Q1291" s="188"/>
      <c r="R1291" s="188"/>
      <c r="S1291" s="7">
        <v>8.8041085840058688</v>
      </c>
      <c r="T1291" s="157">
        <v>1795.9701841608489</v>
      </c>
      <c r="U1291" s="39" t="s">
        <v>50</v>
      </c>
      <c r="V1291" s="494"/>
      <c r="W1291" s="7">
        <v>0</v>
      </c>
      <c r="X1291" s="157">
        <v>0</v>
      </c>
      <c r="Y1291" s="7">
        <v>2.3888481291269259</v>
      </c>
      <c r="Z1291" s="157">
        <v>487.30657663564409</v>
      </c>
      <c r="AA1291" s="773"/>
      <c r="AB1291" s="773"/>
      <c r="AC1291" s="7">
        <v>2.2010271460014672</v>
      </c>
      <c r="AD1291" s="176">
        <v>448.99254604021223</v>
      </c>
      <c r="AE1291" s="943"/>
      <c r="AF1291" s="944"/>
      <c r="AG1291" s="211">
        <v>8.8041085840058688</v>
      </c>
      <c r="AH1291" s="157">
        <v>3591.9403683216979</v>
      </c>
      <c r="AI1291" s="903">
        <f t="shared" si="51"/>
        <v>3591.9403683216979</v>
      </c>
      <c r="AJ1291" s="1003"/>
      <c r="AK1291" s="979"/>
      <c r="AL1291" s="1285"/>
      <c r="AM1291" s="151"/>
      <c r="AN1291" s="90"/>
      <c r="AO1291" s="128"/>
      <c r="AP1291" s="106"/>
    </row>
    <row r="1292" spans="1:42" s="69" customFormat="1">
      <c r="A1292" s="998"/>
      <c r="B1292" s="821"/>
      <c r="C1292" s="525"/>
      <c r="D1292" s="223" t="s">
        <v>816</v>
      </c>
      <c r="E1292" s="320" t="s">
        <v>64</v>
      </c>
      <c r="F1292" s="534" t="s">
        <v>151</v>
      </c>
      <c r="G1292" s="73">
        <v>58.694350696991933</v>
      </c>
      <c r="H1292" s="320" t="s">
        <v>64</v>
      </c>
      <c r="I1292" s="899" t="s">
        <v>151</v>
      </c>
      <c r="J1292" s="1001"/>
      <c r="K1292" s="1104"/>
      <c r="L1292" s="7">
        <v>8.8041085840058688</v>
      </c>
      <c r="M1292" s="320" t="s">
        <v>64</v>
      </c>
      <c r="N1292" s="773"/>
      <c r="O1292" s="188"/>
      <c r="P1292" s="188"/>
      <c r="Q1292" s="188"/>
      <c r="R1292" s="188"/>
      <c r="S1292" s="7">
        <v>8.8041085840058688</v>
      </c>
      <c r="T1292" s="157">
        <v>1795.9701841608489</v>
      </c>
      <c r="U1292" s="39" t="s">
        <v>50</v>
      </c>
      <c r="V1292" s="494"/>
      <c r="W1292" s="7">
        <v>0</v>
      </c>
      <c r="X1292" s="157">
        <v>0</v>
      </c>
      <c r="Y1292" s="7">
        <v>2.3888481291269259</v>
      </c>
      <c r="Z1292" s="157">
        <v>487.30657663564409</v>
      </c>
      <c r="AA1292" s="773"/>
      <c r="AB1292" s="773"/>
      <c r="AC1292" s="7">
        <v>2.2010271460014672</v>
      </c>
      <c r="AD1292" s="176">
        <v>448.99254604021223</v>
      </c>
      <c r="AE1292" s="943"/>
      <c r="AF1292" s="944"/>
      <c r="AG1292" s="211">
        <v>8.8041085840058688</v>
      </c>
      <c r="AH1292" s="157">
        <v>3591.9403683216979</v>
      </c>
      <c r="AI1292" s="903">
        <f t="shared" si="51"/>
        <v>3591.9403683216979</v>
      </c>
      <c r="AJ1292" s="1003"/>
      <c r="AK1292" s="979"/>
      <c r="AL1292" s="1285"/>
      <c r="AM1292" s="151"/>
      <c r="AN1292" s="90"/>
      <c r="AO1292" s="128"/>
      <c r="AP1292" s="106"/>
    </row>
    <row r="1293" spans="1:42" s="69" customFormat="1">
      <c r="A1293" s="998"/>
      <c r="B1293" s="821"/>
      <c r="C1293" s="525"/>
      <c r="D1293" s="223" t="s">
        <v>820</v>
      </c>
      <c r="E1293" s="320" t="s">
        <v>64</v>
      </c>
      <c r="F1293" s="534" t="s">
        <v>151</v>
      </c>
      <c r="G1293" s="6">
        <v>4402.0542920029347</v>
      </c>
      <c r="H1293" s="320" t="s">
        <v>64</v>
      </c>
      <c r="I1293" s="899" t="s">
        <v>151</v>
      </c>
      <c r="J1293" s="1001"/>
      <c r="K1293" s="1104"/>
      <c r="L1293" s="7">
        <v>57.402787967718268</v>
      </c>
      <c r="M1293" s="320" t="s">
        <v>64</v>
      </c>
      <c r="N1293" s="773"/>
      <c r="O1293" s="188"/>
      <c r="P1293" s="188"/>
      <c r="Q1293" s="188"/>
      <c r="R1293" s="188"/>
      <c r="S1293" s="7">
        <v>57.402787967718268</v>
      </c>
      <c r="T1293" s="157">
        <v>11709.725600728712</v>
      </c>
      <c r="U1293" s="39" t="s">
        <v>50</v>
      </c>
      <c r="V1293" s="494"/>
      <c r="W1293" s="7">
        <v>0</v>
      </c>
      <c r="X1293" s="157">
        <v>0</v>
      </c>
      <c r="Y1293" s="7">
        <v>9.6786500366837842</v>
      </c>
      <c r="Z1293" s="157">
        <v>1974.3698891208232</v>
      </c>
      <c r="AA1293" s="773"/>
      <c r="AB1293" s="773"/>
      <c r="AC1293" s="7">
        <v>16.780630961115186</v>
      </c>
      <c r="AD1293" s="176">
        <v>3423.1191710105722</v>
      </c>
      <c r="AE1293" s="943"/>
      <c r="AF1293" s="944"/>
      <c r="AG1293" s="211">
        <v>57.402787967718268</v>
      </c>
      <c r="AH1293" s="157">
        <v>23419.451201457425</v>
      </c>
      <c r="AI1293" s="903">
        <f t="shared" si="51"/>
        <v>23419.451201457425</v>
      </c>
      <c r="AJ1293" s="1003"/>
      <c r="AK1293" s="979"/>
      <c r="AL1293" s="1285"/>
      <c r="AM1293" s="151"/>
      <c r="AN1293" s="90"/>
      <c r="AO1293" s="128"/>
      <c r="AP1293" s="106"/>
    </row>
    <row r="1294" spans="1:42" s="69" customFormat="1">
      <c r="A1294" s="998"/>
      <c r="B1294" s="821"/>
      <c r="C1294" s="525"/>
      <c r="D1294" s="223" t="s">
        <v>821</v>
      </c>
      <c r="E1294" s="320" t="s">
        <v>64</v>
      </c>
      <c r="F1294" s="534" t="s">
        <v>151</v>
      </c>
      <c r="G1294" s="73">
        <v>5478.1114600146748</v>
      </c>
      <c r="H1294" s="320" t="s">
        <v>64</v>
      </c>
      <c r="I1294" s="899" t="s">
        <v>151</v>
      </c>
      <c r="J1294" s="1001"/>
      <c r="K1294" s="1104"/>
      <c r="L1294" s="7">
        <v>69.777445399853278</v>
      </c>
      <c r="M1294" s="320" t="s">
        <v>64</v>
      </c>
      <c r="N1294" s="773"/>
      <c r="O1294" s="188"/>
      <c r="P1294" s="188"/>
      <c r="Q1294" s="188"/>
      <c r="R1294" s="188"/>
      <c r="S1294" s="7">
        <v>69.777445399853278</v>
      </c>
      <c r="T1294" s="157">
        <v>14234.0601855717</v>
      </c>
      <c r="U1294" s="39" t="s">
        <v>50</v>
      </c>
      <c r="V1294" s="494"/>
      <c r="W1294" s="7">
        <v>0</v>
      </c>
      <c r="X1294" s="157">
        <v>0</v>
      </c>
      <c r="Y1294" s="7">
        <v>11.534848651504037</v>
      </c>
      <c r="Z1294" s="157">
        <v>2353.02007684727</v>
      </c>
      <c r="AA1294" s="773"/>
      <c r="AB1294" s="773"/>
      <c r="AC1294" s="7">
        <v>20.493028190755691</v>
      </c>
      <c r="AD1294" s="176">
        <v>4180.4195464634695</v>
      </c>
      <c r="AE1294" s="943"/>
      <c r="AF1294" s="944"/>
      <c r="AG1294" s="211">
        <v>69.777445399853278</v>
      </c>
      <c r="AH1294" s="157">
        <v>28468.120371143399</v>
      </c>
      <c r="AI1294" s="903">
        <f t="shared" ref="AI1294:AI1296" si="52">AH1294</f>
        <v>28468.120371143399</v>
      </c>
      <c r="AJ1294" s="1003"/>
      <c r="AK1294" s="979"/>
      <c r="AL1294" s="1285"/>
      <c r="AM1294" s="151"/>
      <c r="AN1294" s="90"/>
      <c r="AO1294" s="128"/>
      <c r="AP1294" s="106"/>
    </row>
    <row r="1295" spans="1:42" s="69" customFormat="1">
      <c r="A1295" s="998"/>
      <c r="B1295" s="821"/>
      <c r="C1295" s="525"/>
      <c r="D1295" s="223" t="s">
        <v>822</v>
      </c>
      <c r="E1295" s="320" t="s">
        <v>64</v>
      </c>
      <c r="F1295" s="534" t="s">
        <v>151</v>
      </c>
      <c r="G1295" s="73">
        <v>6521.5612619222302</v>
      </c>
      <c r="H1295" s="320" t="s">
        <v>64</v>
      </c>
      <c r="I1295" s="899" t="s">
        <v>151</v>
      </c>
      <c r="J1295" s="1001"/>
      <c r="K1295" s="1001"/>
      <c r="L1295" s="211">
        <v>167.43782538517974</v>
      </c>
      <c r="M1295" s="225" t="s">
        <v>64</v>
      </c>
      <c r="N1295" s="773"/>
      <c r="O1295" s="188"/>
      <c r="P1295" s="188"/>
      <c r="Q1295" s="188"/>
      <c r="R1295" s="188"/>
      <c r="S1295" s="119">
        <v>167.43782538517974</v>
      </c>
      <c r="T1295" s="196">
        <v>34156.023772674613</v>
      </c>
      <c r="U1295" s="39" t="s">
        <v>50</v>
      </c>
      <c r="V1295" s="494"/>
      <c r="W1295" s="119">
        <v>84.780296404989002</v>
      </c>
      <c r="X1295" s="196">
        <v>17294.525969873928</v>
      </c>
      <c r="Y1295" s="119">
        <v>13.33479955979457</v>
      </c>
      <c r="Z1295" s="196">
        <v>2720.196166669205</v>
      </c>
      <c r="AA1295" s="773"/>
      <c r="AB1295" s="773"/>
      <c r="AC1295" s="119">
        <v>24.357053264856933</v>
      </c>
      <c r="AD1295" s="562">
        <v>4968.6508316321706</v>
      </c>
      <c r="AE1295" s="943"/>
      <c r="AF1295" s="944"/>
      <c r="AG1295" s="211">
        <v>167.43782538517974</v>
      </c>
      <c r="AH1295" s="157">
        <v>68312.047545349225</v>
      </c>
      <c r="AI1295" s="903">
        <f t="shared" si="52"/>
        <v>68312.047545349225</v>
      </c>
      <c r="AJ1295" s="1003"/>
      <c r="AK1295" s="979"/>
      <c r="AL1295" s="1285"/>
      <c r="AM1295" s="151"/>
      <c r="AN1295" s="90"/>
      <c r="AO1295" s="128"/>
      <c r="AP1295" s="106"/>
    </row>
    <row r="1296" spans="1:42" s="69" customFormat="1">
      <c r="A1296" s="998"/>
      <c r="B1296" s="821"/>
      <c r="C1296" s="525"/>
      <c r="D1296" s="223" t="s">
        <v>823</v>
      </c>
      <c r="E1296" s="320" t="s">
        <v>64</v>
      </c>
      <c r="F1296" s="534" t="s">
        <v>151</v>
      </c>
      <c r="G1296" s="73">
        <v>3260.7806309611151</v>
      </c>
      <c r="H1296" s="320" t="s">
        <v>64</v>
      </c>
      <c r="I1296" s="899" t="s">
        <v>151</v>
      </c>
      <c r="J1296" s="1001"/>
      <c r="K1296" s="1001"/>
      <c r="L1296" s="211">
        <v>87.548699926632423</v>
      </c>
      <c r="M1296" s="225" t="s">
        <v>64</v>
      </c>
      <c r="N1296" s="773"/>
      <c r="O1296" s="188"/>
      <c r="P1296" s="188"/>
      <c r="Q1296" s="188"/>
      <c r="R1296" s="188"/>
      <c r="S1296" s="119">
        <v>87.548699926632423</v>
      </c>
      <c r="T1296" s="196">
        <v>17859.258916447307</v>
      </c>
      <c r="U1296" s="39" t="s">
        <v>50</v>
      </c>
      <c r="V1296" s="494"/>
      <c r="W1296" s="119">
        <v>42.390148202494501</v>
      </c>
      <c r="X1296" s="196">
        <v>8647.2629849369641</v>
      </c>
      <c r="Y1296" s="119">
        <v>7.709952971386647</v>
      </c>
      <c r="Z1296" s="196">
        <v>1572.7708859756506</v>
      </c>
      <c r="AA1296" s="773"/>
      <c r="AB1296" s="773"/>
      <c r="AC1296" s="119">
        <v>13.107360088041085</v>
      </c>
      <c r="AD1296" s="562">
        <v>2673.8002702450567</v>
      </c>
      <c r="AE1296" s="943"/>
      <c r="AF1296" s="944"/>
      <c r="AG1296" s="901">
        <v>87.548699926632423</v>
      </c>
      <c r="AH1296" s="196">
        <v>35718.517832894613</v>
      </c>
      <c r="AI1296" s="903">
        <f t="shared" si="52"/>
        <v>35718.517832894613</v>
      </c>
      <c r="AJ1296" s="1003"/>
      <c r="AK1296" s="979"/>
      <c r="AL1296" s="1285"/>
      <c r="AM1296" s="151"/>
      <c r="AN1296" s="90"/>
      <c r="AO1296" s="128"/>
      <c r="AP1296" s="106"/>
    </row>
    <row r="1297" spans="1:42" s="69" customFormat="1" ht="15" customHeight="1">
      <c r="A1297" s="998"/>
      <c r="B1297" s="744"/>
      <c r="C1297" s="529"/>
      <c r="D1297" s="869" t="s">
        <v>774</v>
      </c>
      <c r="E1297" s="320" t="s">
        <v>64</v>
      </c>
      <c r="F1297" s="534" t="s">
        <v>151</v>
      </c>
      <c r="G1297" s="6">
        <v>0</v>
      </c>
      <c r="H1297" s="320" t="s">
        <v>64</v>
      </c>
      <c r="I1297" s="899" t="s">
        <v>151</v>
      </c>
      <c r="J1297" s="1001"/>
      <c r="K1297" s="1001"/>
      <c r="L1297" s="930" t="s">
        <v>786</v>
      </c>
      <c r="M1297" s="925"/>
      <c r="N1297" s="925"/>
      <c r="O1297" s="925"/>
      <c r="P1297" s="925"/>
      <c r="Q1297" s="926"/>
      <c r="R1297" s="930" t="s">
        <v>786</v>
      </c>
      <c r="S1297" s="925"/>
      <c r="T1297" s="925"/>
      <c r="U1297" s="925"/>
      <c r="V1297" s="925"/>
      <c r="W1297" s="926"/>
      <c r="X1297" s="930" t="s">
        <v>786</v>
      </c>
      <c r="Y1297" s="925"/>
      <c r="Z1297" s="925"/>
      <c r="AA1297" s="925"/>
      <c r="AB1297" s="925"/>
      <c r="AC1297" s="925"/>
      <c r="AD1297" s="935"/>
      <c r="AE1297" s="943"/>
      <c r="AF1297" s="944"/>
      <c r="AG1297" s="930" t="s">
        <v>786</v>
      </c>
      <c r="AH1297" s="925"/>
      <c r="AI1297" s="926"/>
      <c r="AJ1297" s="1003"/>
      <c r="AK1297" s="979"/>
      <c r="AL1297" s="1285"/>
      <c r="AM1297" s="151"/>
      <c r="AN1297" s="90"/>
      <c r="AO1297" s="128"/>
      <c r="AP1297" s="106"/>
    </row>
    <row r="1298" spans="1:42" s="69" customFormat="1" ht="15" customHeight="1">
      <c r="A1298" s="998"/>
      <c r="B1298" s="821"/>
      <c r="C1298" s="525"/>
      <c r="D1298" s="869" t="s">
        <v>775</v>
      </c>
      <c r="E1298" s="225" t="s">
        <v>64</v>
      </c>
      <c r="F1298" s="534" t="s">
        <v>151</v>
      </c>
      <c r="G1298" s="73">
        <v>32607.809244314012</v>
      </c>
      <c r="H1298" s="320" t="s">
        <v>64</v>
      </c>
      <c r="I1298" s="899" t="s">
        <v>151</v>
      </c>
      <c r="J1298" s="1001"/>
      <c r="K1298" s="1001"/>
      <c r="L1298" s="931"/>
      <c r="M1298" s="932"/>
      <c r="N1298" s="932"/>
      <c r="O1298" s="932"/>
      <c r="P1298" s="932"/>
      <c r="Q1298" s="933"/>
      <c r="R1298" s="931"/>
      <c r="S1298" s="932"/>
      <c r="T1298" s="932"/>
      <c r="U1298" s="932"/>
      <c r="V1298" s="932"/>
      <c r="W1298" s="933"/>
      <c r="X1298" s="931"/>
      <c r="Y1298" s="932"/>
      <c r="Z1298" s="932"/>
      <c r="AA1298" s="932"/>
      <c r="AB1298" s="932"/>
      <c r="AC1298" s="932"/>
      <c r="AD1298" s="937"/>
      <c r="AE1298" s="943"/>
      <c r="AF1298" s="944"/>
      <c r="AG1298" s="931"/>
      <c r="AH1298" s="932"/>
      <c r="AI1298" s="933"/>
      <c r="AJ1298" s="1003"/>
      <c r="AK1298" s="979"/>
      <c r="AL1298" s="1285"/>
      <c r="AM1298" s="151"/>
      <c r="AN1298" s="90"/>
      <c r="AO1298" s="128"/>
      <c r="AP1298" s="106"/>
    </row>
    <row r="1299" spans="1:42" s="69" customFormat="1" ht="15" customHeight="1">
      <c r="A1299" s="998"/>
      <c r="B1299" s="821"/>
      <c r="C1299" s="525"/>
      <c r="D1299" s="869" t="s">
        <v>776</v>
      </c>
      <c r="E1299" s="225" t="s">
        <v>64</v>
      </c>
      <c r="F1299" s="534" t="s">
        <v>151</v>
      </c>
      <c r="G1299" s="6">
        <v>352.1643433602348</v>
      </c>
      <c r="H1299" s="320" t="s">
        <v>64</v>
      </c>
      <c r="I1299" s="899" t="s">
        <v>151</v>
      </c>
      <c r="J1299" s="1001"/>
      <c r="K1299" s="1001"/>
      <c r="L1299" s="931"/>
      <c r="M1299" s="932"/>
      <c r="N1299" s="932"/>
      <c r="O1299" s="932"/>
      <c r="P1299" s="932"/>
      <c r="Q1299" s="933"/>
      <c r="R1299" s="931"/>
      <c r="S1299" s="932"/>
      <c r="T1299" s="932"/>
      <c r="U1299" s="932"/>
      <c r="V1299" s="932"/>
      <c r="W1299" s="933"/>
      <c r="X1299" s="931"/>
      <c r="Y1299" s="932"/>
      <c r="Z1299" s="932"/>
      <c r="AA1299" s="932"/>
      <c r="AB1299" s="932"/>
      <c r="AC1299" s="932"/>
      <c r="AD1299" s="937"/>
      <c r="AE1299" s="943"/>
      <c r="AF1299" s="944"/>
      <c r="AG1299" s="931"/>
      <c r="AH1299" s="932"/>
      <c r="AI1299" s="933"/>
      <c r="AJ1299" s="1003"/>
      <c r="AK1299" s="979"/>
      <c r="AL1299" s="1285"/>
      <c r="AM1299" s="151"/>
      <c r="AN1299" s="90"/>
      <c r="AO1299" s="128"/>
      <c r="AP1299" s="106"/>
    </row>
    <row r="1300" spans="1:42" s="69" customFormat="1" ht="15" customHeight="1">
      <c r="A1300" s="998"/>
      <c r="B1300" s="821"/>
      <c r="C1300" s="525"/>
      <c r="D1300" s="869" t="s">
        <v>777</v>
      </c>
      <c r="E1300" s="225" t="s">
        <v>64</v>
      </c>
      <c r="F1300" s="534" t="s">
        <v>151</v>
      </c>
      <c r="G1300" s="6">
        <v>211.29860601614087</v>
      </c>
      <c r="H1300" s="320" t="s">
        <v>64</v>
      </c>
      <c r="I1300" s="899" t="s">
        <v>151</v>
      </c>
      <c r="J1300" s="1001"/>
      <c r="K1300" s="1001"/>
      <c r="L1300" s="931"/>
      <c r="M1300" s="932"/>
      <c r="N1300" s="932"/>
      <c r="O1300" s="932"/>
      <c r="P1300" s="932"/>
      <c r="Q1300" s="933"/>
      <c r="R1300" s="931"/>
      <c r="S1300" s="932"/>
      <c r="T1300" s="932"/>
      <c r="U1300" s="932"/>
      <c r="V1300" s="932"/>
      <c r="W1300" s="933"/>
      <c r="X1300" s="931"/>
      <c r="Y1300" s="932"/>
      <c r="Z1300" s="932"/>
      <c r="AA1300" s="932"/>
      <c r="AB1300" s="932"/>
      <c r="AC1300" s="932"/>
      <c r="AD1300" s="937"/>
      <c r="AE1300" s="943"/>
      <c r="AF1300" s="944"/>
      <c r="AG1300" s="931"/>
      <c r="AH1300" s="932"/>
      <c r="AI1300" s="933"/>
      <c r="AJ1300" s="1003"/>
      <c r="AK1300" s="979"/>
      <c r="AL1300" s="1285"/>
      <c r="AM1300" s="151"/>
      <c r="AN1300" s="90"/>
      <c r="AO1300" s="128"/>
      <c r="AP1300" s="106"/>
    </row>
    <row r="1301" spans="1:42" s="69" customFormat="1" ht="15" customHeight="1">
      <c r="A1301" s="998"/>
      <c r="B1301" s="821"/>
      <c r="C1301" s="525"/>
      <c r="D1301" s="870" t="s">
        <v>778</v>
      </c>
      <c r="E1301" s="320" t="s">
        <v>64</v>
      </c>
      <c r="F1301" s="534" t="s">
        <v>151</v>
      </c>
      <c r="G1301" s="6">
        <v>0</v>
      </c>
      <c r="H1301" s="320" t="s">
        <v>64</v>
      </c>
      <c r="I1301" s="899" t="s">
        <v>151</v>
      </c>
      <c r="J1301" s="1001"/>
      <c r="K1301" s="1001"/>
      <c r="L1301" s="931"/>
      <c r="M1301" s="932"/>
      <c r="N1301" s="932"/>
      <c r="O1301" s="932"/>
      <c r="P1301" s="932"/>
      <c r="Q1301" s="933"/>
      <c r="R1301" s="931"/>
      <c r="S1301" s="932"/>
      <c r="T1301" s="932"/>
      <c r="U1301" s="932"/>
      <c r="V1301" s="932"/>
      <c r="W1301" s="933"/>
      <c r="X1301" s="931"/>
      <c r="Y1301" s="932"/>
      <c r="Z1301" s="932"/>
      <c r="AA1301" s="932"/>
      <c r="AB1301" s="932"/>
      <c r="AC1301" s="932"/>
      <c r="AD1301" s="937"/>
      <c r="AE1301" s="943"/>
      <c r="AF1301" s="944"/>
      <c r="AG1301" s="931"/>
      <c r="AH1301" s="932"/>
      <c r="AI1301" s="933"/>
      <c r="AJ1301" s="1003"/>
      <c r="AK1301" s="979"/>
      <c r="AL1301" s="1285"/>
      <c r="AM1301" s="151"/>
      <c r="AN1301" s="107"/>
      <c r="AO1301" s="128"/>
      <c r="AP1301" s="106"/>
    </row>
    <row r="1302" spans="1:42" s="69" customFormat="1" ht="15" customHeight="1">
      <c r="A1302" s="998"/>
      <c r="B1302" s="821"/>
      <c r="C1302" s="525"/>
      <c r="D1302" s="870" t="s">
        <v>779</v>
      </c>
      <c r="E1302" s="320" t="s">
        <v>64</v>
      </c>
      <c r="F1302" s="535" t="s">
        <v>151</v>
      </c>
      <c r="G1302" s="73">
        <v>32607.809244314012</v>
      </c>
      <c r="H1302" s="320" t="s">
        <v>64</v>
      </c>
      <c r="I1302" s="898" t="s">
        <v>151</v>
      </c>
      <c r="J1302" s="1001"/>
      <c r="K1302" s="1001"/>
      <c r="L1302" s="931"/>
      <c r="M1302" s="932"/>
      <c r="N1302" s="932"/>
      <c r="O1302" s="932"/>
      <c r="P1302" s="932"/>
      <c r="Q1302" s="933"/>
      <c r="R1302" s="931"/>
      <c r="S1302" s="932"/>
      <c r="T1302" s="932"/>
      <c r="U1302" s="932"/>
      <c r="V1302" s="932"/>
      <c r="W1302" s="933"/>
      <c r="X1302" s="931"/>
      <c r="Y1302" s="932"/>
      <c r="Z1302" s="932"/>
      <c r="AA1302" s="932"/>
      <c r="AB1302" s="932"/>
      <c r="AC1302" s="932"/>
      <c r="AD1302" s="937"/>
      <c r="AE1302" s="943"/>
      <c r="AF1302" s="944"/>
      <c r="AG1302" s="931"/>
      <c r="AH1302" s="932"/>
      <c r="AI1302" s="933"/>
      <c r="AJ1302" s="1003"/>
      <c r="AK1302" s="979"/>
      <c r="AL1302" s="1285"/>
      <c r="AM1302" s="151"/>
      <c r="AN1302" s="90"/>
      <c r="AO1302" s="128"/>
      <c r="AP1302" s="106"/>
    </row>
    <row r="1303" spans="1:42" s="69" customFormat="1" ht="15" customHeight="1">
      <c r="A1303" s="998"/>
      <c r="B1303" s="821"/>
      <c r="C1303" s="525"/>
      <c r="D1303" s="870" t="s">
        <v>780</v>
      </c>
      <c r="E1303" s="225" t="s">
        <v>64</v>
      </c>
      <c r="F1303" s="534" t="s">
        <v>151</v>
      </c>
      <c r="G1303" s="6">
        <v>0</v>
      </c>
      <c r="H1303" s="225" t="s">
        <v>64</v>
      </c>
      <c r="I1303" s="899" t="s">
        <v>151</v>
      </c>
      <c r="J1303" s="1001"/>
      <c r="K1303" s="1001"/>
      <c r="L1303" s="931"/>
      <c r="M1303" s="932"/>
      <c r="N1303" s="932"/>
      <c r="O1303" s="932"/>
      <c r="P1303" s="932"/>
      <c r="Q1303" s="933"/>
      <c r="R1303" s="931"/>
      <c r="S1303" s="932"/>
      <c r="T1303" s="932"/>
      <c r="U1303" s="932"/>
      <c r="V1303" s="932"/>
      <c r="W1303" s="933"/>
      <c r="X1303" s="931"/>
      <c r="Y1303" s="932"/>
      <c r="Z1303" s="932"/>
      <c r="AA1303" s="932"/>
      <c r="AB1303" s="932"/>
      <c r="AC1303" s="932"/>
      <c r="AD1303" s="937"/>
      <c r="AE1303" s="943"/>
      <c r="AF1303" s="944"/>
      <c r="AG1303" s="931"/>
      <c r="AH1303" s="932"/>
      <c r="AI1303" s="933"/>
      <c r="AJ1303" s="1003"/>
      <c r="AK1303" s="979"/>
      <c r="AL1303" s="1285"/>
      <c r="AM1303" s="151"/>
      <c r="AN1303" s="90"/>
      <c r="AO1303" s="128"/>
      <c r="AP1303" s="106"/>
    </row>
    <row r="1304" spans="1:42" s="69" customFormat="1" ht="15" customHeight="1">
      <c r="A1304" s="998"/>
      <c r="B1304" s="821"/>
      <c r="C1304" s="525"/>
      <c r="D1304" s="870" t="s">
        <v>781</v>
      </c>
      <c r="E1304" s="225" t="s">
        <v>64</v>
      </c>
      <c r="F1304" s="534" t="s">
        <v>151</v>
      </c>
      <c r="G1304" s="6">
        <v>422.59721203228173</v>
      </c>
      <c r="H1304" s="225" t="s">
        <v>64</v>
      </c>
      <c r="I1304" s="899" t="s">
        <v>151</v>
      </c>
      <c r="J1304" s="1001"/>
      <c r="K1304" s="1001"/>
      <c r="L1304" s="931"/>
      <c r="M1304" s="932"/>
      <c r="N1304" s="932"/>
      <c r="O1304" s="932"/>
      <c r="P1304" s="932"/>
      <c r="Q1304" s="933"/>
      <c r="R1304" s="931"/>
      <c r="S1304" s="932"/>
      <c r="T1304" s="932"/>
      <c r="U1304" s="932"/>
      <c r="V1304" s="932"/>
      <c r="W1304" s="933"/>
      <c r="X1304" s="931"/>
      <c r="Y1304" s="932"/>
      <c r="Z1304" s="932"/>
      <c r="AA1304" s="932"/>
      <c r="AB1304" s="932"/>
      <c r="AC1304" s="932"/>
      <c r="AD1304" s="937"/>
      <c r="AE1304" s="943"/>
      <c r="AF1304" s="944"/>
      <c r="AG1304" s="931"/>
      <c r="AH1304" s="932"/>
      <c r="AI1304" s="933"/>
      <c r="AJ1304" s="1003"/>
      <c r="AK1304" s="979"/>
      <c r="AL1304" s="1285"/>
      <c r="AM1304" s="151"/>
      <c r="AN1304" s="90"/>
      <c r="AO1304" s="128"/>
      <c r="AP1304" s="106"/>
    </row>
    <row r="1305" spans="1:42" s="69" customFormat="1" ht="15.75" customHeight="1" thickBot="1">
      <c r="A1305" s="999"/>
      <c r="B1305" s="745"/>
      <c r="C1305" s="527"/>
      <c r="D1305" s="827" t="s">
        <v>782</v>
      </c>
      <c r="E1305" s="226" t="s">
        <v>64</v>
      </c>
      <c r="F1305" s="536" t="s">
        <v>151</v>
      </c>
      <c r="G1305" s="27">
        <v>281.7314746881878</v>
      </c>
      <c r="H1305" s="409" t="s">
        <v>64</v>
      </c>
      <c r="I1305" s="900" t="s">
        <v>151</v>
      </c>
      <c r="J1305" s="1002"/>
      <c r="K1305" s="1002"/>
      <c r="L1305" s="934"/>
      <c r="M1305" s="928"/>
      <c r="N1305" s="928"/>
      <c r="O1305" s="928"/>
      <c r="P1305" s="928"/>
      <c r="Q1305" s="929"/>
      <c r="R1305" s="934"/>
      <c r="S1305" s="928"/>
      <c r="T1305" s="928"/>
      <c r="U1305" s="928"/>
      <c r="V1305" s="928"/>
      <c r="W1305" s="929"/>
      <c r="X1305" s="934"/>
      <c r="Y1305" s="928"/>
      <c r="Z1305" s="928"/>
      <c r="AA1305" s="928"/>
      <c r="AB1305" s="928"/>
      <c r="AC1305" s="928"/>
      <c r="AD1305" s="936"/>
      <c r="AE1305" s="945"/>
      <c r="AF1305" s="946"/>
      <c r="AG1305" s="934"/>
      <c r="AH1305" s="928"/>
      <c r="AI1305" s="929"/>
      <c r="AJ1305" s="1004"/>
      <c r="AK1305" s="980"/>
      <c r="AL1305" s="1286"/>
      <c r="AM1305" s="151"/>
      <c r="AN1305" s="90"/>
      <c r="AO1305" s="128"/>
      <c r="AP1305" s="106"/>
    </row>
    <row r="1306" spans="1:42" s="69" customFormat="1">
      <c r="A1306" s="66"/>
      <c r="B1306" s="66"/>
      <c r="C1306" s="67"/>
      <c r="D1306" s="128"/>
      <c r="E1306" s="128"/>
      <c r="F1306" s="128"/>
      <c r="G1306" s="59"/>
      <c r="H1306" s="59"/>
      <c r="I1306" s="59"/>
      <c r="J1306" s="128"/>
      <c r="K1306" s="128"/>
      <c r="L1306" s="61"/>
      <c r="M1306" s="60"/>
      <c r="N1306" s="61"/>
      <c r="O1306" s="61"/>
      <c r="P1306" s="61"/>
      <c r="Q1306" s="61"/>
      <c r="R1306" s="160"/>
      <c r="S1306" s="61"/>
      <c r="T1306" s="160"/>
      <c r="U1306" s="61"/>
      <c r="V1306" s="61"/>
      <c r="W1306" s="61"/>
      <c r="X1306" s="151"/>
      <c r="Y1306" s="60"/>
      <c r="Z1306" s="151"/>
      <c r="AA1306" s="60"/>
      <c r="AB1306" s="60"/>
      <c r="AC1306" s="60"/>
      <c r="AD1306" s="60"/>
      <c r="AE1306" s="60"/>
      <c r="AF1306" s="60"/>
      <c r="AG1306" s="60"/>
      <c r="AH1306" s="151"/>
      <c r="AI1306" s="151"/>
      <c r="AJ1306" s="60"/>
      <c r="AL1306" s="10"/>
      <c r="AM1306" s="850"/>
      <c r="AN1306" s="128"/>
      <c r="AO1306" s="106"/>
    </row>
    <row r="1307" spans="1:42" s="144" customFormat="1">
      <c r="A1307" s="139"/>
      <c r="B1307" s="139"/>
      <c r="C1307" s="140"/>
      <c r="D1307" s="141"/>
      <c r="E1307" s="141"/>
      <c r="F1307" s="141"/>
      <c r="G1307" s="142"/>
      <c r="H1307" s="142"/>
      <c r="I1307" s="142"/>
      <c r="J1307" s="141"/>
      <c r="K1307" s="141"/>
      <c r="L1307" s="143"/>
      <c r="M1307" s="137"/>
      <c r="N1307" s="143"/>
      <c r="O1307" s="143"/>
      <c r="P1307" s="143"/>
      <c r="Q1307" s="143"/>
      <c r="R1307" s="169"/>
      <c r="S1307" s="143"/>
      <c r="T1307" s="169"/>
      <c r="U1307" s="143"/>
      <c r="V1307" s="143"/>
      <c r="W1307" s="143"/>
      <c r="X1307" s="155"/>
      <c r="Y1307" s="137"/>
      <c r="Z1307" s="155"/>
      <c r="AA1307" s="137"/>
      <c r="AB1307" s="137"/>
      <c r="AC1307" s="137"/>
      <c r="AD1307" s="137"/>
      <c r="AE1307" s="137"/>
      <c r="AF1307" s="137"/>
      <c r="AG1307" s="137"/>
      <c r="AH1307" s="155"/>
      <c r="AI1307" s="155"/>
      <c r="AJ1307" s="137"/>
      <c r="AL1307" s="132"/>
      <c r="AM1307" s="851"/>
      <c r="AN1307" s="141"/>
      <c r="AO1307" s="145"/>
    </row>
    <row r="1308" spans="1:42" s="69" customFormat="1">
      <c r="A1308" s="66"/>
      <c r="B1308" s="66"/>
      <c r="C1308" s="67"/>
      <c r="D1308" s="128"/>
      <c r="E1308" s="128"/>
      <c r="F1308" s="128"/>
      <c r="G1308" s="59"/>
      <c r="H1308" s="59"/>
      <c r="I1308" s="59"/>
      <c r="J1308" s="128"/>
      <c r="K1308" s="128"/>
      <c r="L1308" s="61"/>
      <c r="M1308" s="60"/>
      <c r="N1308" s="61"/>
      <c r="O1308" s="61"/>
      <c r="P1308" s="61"/>
      <c r="Q1308" s="61"/>
      <c r="R1308" s="160"/>
      <c r="S1308" s="61"/>
      <c r="T1308" s="160"/>
      <c r="U1308" s="61"/>
      <c r="V1308" s="61"/>
      <c r="W1308" s="61"/>
      <c r="X1308" s="151"/>
      <c r="Y1308" s="60"/>
      <c r="Z1308" s="151"/>
      <c r="AA1308" s="60"/>
      <c r="AB1308" s="60"/>
      <c r="AC1308" s="60"/>
      <c r="AD1308" s="60"/>
      <c r="AE1308" s="60"/>
      <c r="AF1308" s="60"/>
      <c r="AG1308" s="60"/>
      <c r="AH1308" s="151"/>
      <c r="AI1308" s="151"/>
      <c r="AJ1308" s="60"/>
      <c r="AL1308" s="10"/>
      <c r="AM1308" s="850"/>
      <c r="AN1308" s="128"/>
      <c r="AO1308" s="106"/>
    </row>
    <row r="1309" spans="1:42" s="69" customFormat="1">
      <c r="A1309" s="66"/>
      <c r="B1309" s="66"/>
      <c r="C1309" s="67"/>
      <c r="D1309" s="128"/>
      <c r="E1309" s="128"/>
      <c r="F1309" s="128"/>
      <c r="G1309" s="59"/>
      <c r="H1309" s="59"/>
      <c r="I1309" s="59"/>
      <c r="J1309" s="128"/>
      <c r="K1309" s="128"/>
      <c r="L1309" s="61"/>
      <c r="M1309" s="60"/>
      <c r="N1309" s="61"/>
      <c r="O1309" s="61"/>
      <c r="P1309" s="61"/>
      <c r="Q1309" s="61"/>
      <c r="R1309" s="160"/>
      <c r="S1309" s="61"/>
      <c r="T1309" s="160"/>
      <c r="U1309" s="61"/>
      <c r="V1309" s="61"/>
      <c r="W1309" s="61"/>
      <c r="X1309" s="151"/>
      <c r="Y1309" s="60"/>
      <c r="Z1309" s="151"/>
      <c r="AA1309" s="60"/>
      <c r="AB1309" s="60"/>
      <c r="AC1309" s="60"/>
      <c r="AD1309" s="60"/>
      <c r="AE1309" s="60"/>
      <c r="AF1309" s="60"/>
      <c r="AG1309" s="60"/>
      <c r="AH1309" s="151"/>
      <c r="AI1309" s="151"/>
      <c r="AJ1309" s="60"/>
      <c r="AL1309" s="10"/>
      <c r="AM1309" s="850"/>
      <c r="AN1309" s="128"/>
      <c r="AO1309" s="106"/>
    </row>
    <row r="1310" spans="1:42" s="69" customFormat="1">
      <c r="A1310" s="66"/>
      <c r="B1310" s="66"/>
      <c r="C1310" s="67"/>
      <c r="D1310" s="128"/>
      <c r="E1310" s="128"/>
      <c r="F1310" s="128"/>
      <c r="G1310" s="59"/>
      <c r="H1310" s="59"/>
      <c r="I1310" s="59"/>
      <c r="J1310" s="128"/>
      <c r="K1310" s="128"/>
      <c r="L1310" s="61"/>
      <c r="M1310" s="60"/>
      <c r="N1310" s="61"/>
      <c r="O1310" s="61"/>
      <c r="P1310" s="61"/>
      <c r="Q1310" s="61"/>
      <c r="R1310" s="160"/>
      <c r="S1310" s="61"/>
      <c r="T1310" s="160"/>
      <c r="U1310" s="61"/>
      <c r="V1310" s="61"/>
      <c r="W1310" s="61"/>
      <c r="X1310" s="151"/>
      <c r="Y1310" s="60"/>
      <c r="Z1310" s="151"/>
      <c r="AA1310" s="60"/>
      <c r="AB1310" s="60"/>
      <c r="AC1310" s="60"/>
      <c r="AD1310" s="60"/>
      <c r="AE1310" s="60"/>
      <c r="AF1310" s="60"/>
      <c r="AG1310" s="60"/>
      <c r="AH1310" s="151"/>
      <c r="AI1310" s="151"/>
      <c r="AJ1310" s="60"/>
      <c r="AL1310" s="10"/>
      <c r="AM1310" s="850"/>
      <c r="AN1310" s="128"/>
      <c r="AO1310" s="106"/>
    </row>
    <row r="1311" spans="1:42" s="69" customFormat="1">
      <c r="A1311" s="66"/>
      <c r="B1311" s="66"/>
      <c r="C1311" s="67"/>
      <c r="D1311" s="128"/>
      <c r="E1311" s="128"/>
      <c r="F1311" s="128"/>
      <c r="G1311" s="59"/>
      <c r="H1311" s="59"/>
      <c r="I1311" s="59"/>
      <c r="J1311" s="128"/>
      <c r="K1311" s="128"/>
      <c r="L1311" s="61"/>
      <c r="M1311" s="60"/>
      <c r="N1311" s="61"/>
      <c r="O1311" s="61"/>
      <c r="P1311" s="61"/>
      <c r="Q1311" s="61"/>
      <c r="R1311" s="160"/>
      <c r="S1311" s="61"/>
      <c r="T1311" s="160"/>
      <c r="U1311" s="61"/>
      <c r="V1311" s="61"/>
      <c r="W1311" s="61"/>
      <c r="X1311" s="151"/>
      <c r="Y1311" s="60"/>
      <c r="Z1311" s="151"/>
      <c r="AA1311" s="60"/>
      <c r="AB1311" s="60"/>
      <c r="AC1311" s="60"/>
      <c r="AD1311" s="60"/>
      <c r="AE1311" s="60"/>
      <c r="AF1311" s="60"/>
      <c r="AG1311" s="60"/>
      <c r="AH1311" s="151"/>
      <c r="AI1311" s="151"/>
      <c r="AJ1311" s="60"/>
      <c r="AL1311" s="10"/>
      <c r="AM1311" s="850"/>
      <c r="AN1311" s="128"/>
      <c r="AO1311" s="106"/>
    </row>
    <row r="1312" spans="1:42" s="69" customFormat="1">
      <c r="A1312" s="66"/>
      <c r="B1312" s="66"/>
      <c r="C1312" s="67"/>
      <c r="D1312" s="128"/>
      <c r="E1312" s="128"/>
      <c r="F1312" s="128"/>
      <c r="G1312" s="59"/>
      <c r="H1312" s="59"/>
      <c r="I1312" s="59"/>
      <c r="J1312" s="128"/>
      <c r="K1312" s="128"/>
      <c r="L1312" s="61"/>
      <c r="M1312" s="60"/>
      <c r="N1312" s="61"/>
      <c r="O1312" s="61"/>
      <c r="P1312" s="61"/>
      <c r="Q1312" s="61"/>
      <c r="R1312" s="160"/>
      <c r="S1312" s="61"/>
      <c r="T1312" s="160"/>
      <c r="U1312" s="61"/>
      <c r="V1312" s="61"/>
      <c r="W1312" s="61"/>
      <c r="X1312" s="151"/>
      <c r="Y1312" s="60"/>
      <c r="Z1312" s="151"/>
      <c r="AA1312" s="60"/>
      <c r="AB1312" s="60"/>
      <c r="AC1312" s="60"/>
      <c r="AD1312" s="60"/>
      <c r="AE1312" s="60"/>
      <c r="AF1312" s="60"/>
      <c r="AG1312" s="60"/>
      <c r="AH1312" s="151"/>
      <c r="AI1312" s="151"/>
      <c r="AJ1312" s="60"/>
      <c r="AL1312" s="10"/>
      <c r="AM1312" s="850"/>
      <c r="AN1312" s="128"/>
      <c r="AO1312" s="106"/>
    </row>
    <row r="1313" spans="1:43" s="69" customFormat="1">
      <c r="A1313" s="66"/>
      <c r="B1313" s="66"/>
      <c r="C1313" s="67"/>
      <c r="D1313" s="128"/>
      <c r="E1313" s="128"/>
      <c r="F1313" s="128"/>
      <c r="G1313" s="59"/>
      <c r="H1313" s="59"/>
      <c r="I1313" s="59"/>
      <c r="J1313" s="128"/>
      <c r="K1313" s="128"/>
      <c r="L1313" s="61"/>
      <c r="M1313" s="60"/>
      <c r="N1313" s="61"/>
      <c r="O1313" s="61"/>
      <c r="P1313" s="61"/>
      <c r="Q1313" s="61"/>
      <c r="R1313" s="160"/>
      <c r="S1313" s="61"/>
      <c r="T1313" s="160"/>
      <c r="U1313" s="61"/>
      <c r="V1313" s="61"/>
      <c r="W1313" s="61"/>
      <c r="X1313" s="151"/>
      <c r="Y1313" s="60"/>
      <c r="Z1313" s="151"/>
      <c r="AA1313" s="60"/>
      <c r="AB1313" s="60"/>
      <c r="AC1313" s="60"/>
      <c r="AD1313" s="60"/>
      <c r="AE1313" s="60"/>
      <c r="AF1313" s="60"/>
      <c r="AG1313" s="60"/>
      <c r="AH1313" s="151"/>
      <c r="AI1313" s="151"/>
      <c r="AJ1313" s="60"/>
      <c r="AL1313" s="10"/>
      <c r="AM1313" s="850"/>
      <c r="AN1313" s="128"/>
      <c r="AO1313" s="106"/>
    </row>
    <row r="1314" spans="1:43" ht="20.25">
      <c r="A1314" s="1189" t="s">
        <v>15</v>
      </c>
      <c r="B1314" s="1190"/>
      <c r="C1314" s="1190"/>
      <c r="D1314" s="1190"/>
      <c r="E1314" s="1190"/>
      <c r="F1314" s="1190"/>
      <c r="G1314" s="1190"/>
      <c r="H1314" s="1191"/>
      <c r="I1314" s="1191"/>
      <c r="J1314" s="1191"/>
      <c r="K1314" s="697"/>
      <c r="L1314" s="13">
        <f t="shared" ref="L1314:AH1314" si="53">SUM(L2:L1313)</f>
        <v>165489.45230781226</v>
      </c>
      <c r="M1314" s="13">
        <f t="shared" si="53"/>
        <v>8062.9161408657346</v>
      </c>
      <c r="N1314" s="13">
        <f t="shared" si="53"/>
        <v>788.77</v>
      </c>
      <c r="O1314" s="13"/>
      <c r="P1314" s="13">
        <f t="shared" si="53"/>
        <v>2975.75</v>
      </c>
      <c r="Q1314" s="13">
        <f t="shared" si="53"/>
        <v>20057.607633636537</v>
      </c>
      <c r="R1314" s="163">
        <f t="shared" si="53"/>
        <v>1150067.1814717934</v>
      </c>
      <c r="S1314" s="13">
        <f t="shared" si="53"/>
        <v>157490.56481418107</v>
      </c>
      <c r="T1314" s="163">
        <f t="shared" si="53"/>
        <v>12662564.798970917</v>
      </c>
      <c r="U1314" s="13">
        <f t="shared" si="53"/>
        <v>380.28999999999996</v>
      </c>
      <c r="V1314" s="13">
        <f t="shared" si="53"/>
        <v>4970.3546745728963</v>
      </c>
      <c r="W1314" s="13">
        <f t="shared" si="53"/>
        <v>51038.023705341882</v>
      </c>
      <c r="X1314" s="163">
        <f t="shared" si="53"/>
        <v>6691972.2159202425</v>
      </c>
      <c r="Y1314" s="13">
        <f t="shared" si="53"/>
        <v>11649.687321965754</v>
      </c>
      <c r="Z1314" s="163">
        <f t="shared" si="53"/>
        <v>1148144.9540619983</v>
      </c>
      <c r="AA1314" s="13">
        <f t="shared" si="53"/>
        <v>7167.107219291016</v>
      </c>
      <c r="AB1314" s="163">
        <f t="shared" si="53"/>
        <v>32901.937209771968</v>
      </c>
      <c r="AC1314" s="13">
        <f t="shared" si="53"/>
        <v>34278.174355263873</v>
      </c>
      <c r="AD1314" s="163">
        <f t="shared" si="53"/>
        <v>2275347.2159509519</v>
      </c>
      <c r="AE1314" s="13">
        <f t="shared" si="53"/>
        <v>0</v>
      </c>
      <c r="AF1314" s="163">
        <f t="shared" si="53"/>
        <v>0</v>
      </c>
      <c r="AG1314" s="13">
        <f t="shared" si="53"/>
        <v>155291.0941094305</v>
      </c>
      <c r="AH1314" s="163">
        <f t="shared" si="53"/>
        <v>27978956.82454126</v>
      </c>
      <c r="AI1314" s="875">
        <f>SUM(AI2:AI1313)-AM1314</f>
        <v>1770513.9034369253</v>
      </c>
      <c r="AK1314" s="69"/>
      <c r="AL1314" s="69" t="s">
        <v>68</v>
      </c>
      <c r="AM1314" s="854">
        <f>SUM(AM2:AM1313)</f>
        <v>26217107</v>
      </c>
      <c r="AN1314" s="86"/>
      <c r="AO1314" s="104"/>
      <c r="AP1314" s="10"/>
      <c r="AQ1314" s="10"/>
    </row>
    <row r="1315" spans="1:43">
      <c r="AK1315" s="69"/>
      <c r="AL1315" s="10"/>
      <c r="AM1315" s="850"/>
      <c r="AN1315" s="86"/>
      <c r="AO1315" s="104"/>
      <c r="AP1315" s="10"/>
      <c r="AQ1315" s="10"/>
    </row>
    <row r="1316" spans="1:43" s="1" customFormat="1">
      <c r="A1316" s="1192" t="s">
        <v>16</v>
      </c>
      <c r="B1316" s="1192"/>
      <c r="C1316" s="1192"/>
      <c r="D1316" s="1192"/>
      <c r="E1316" s="1192"/>
      <c r="F1316" s="1192"/>
      <c r="G1316" s="1192"/>
      <c r="H1316" s="1192"/>
      <c r="I1316" s="1192"/>
      <c r="J1316" s="41"/>
      <c r="K1316" s="41"/>
      <c r="M1316" s="42">
        <f>L1314-M1314</f>
        <v>157426.53616694652</v>
      </c>
      <c r="R1316" s="41"/>
      <c r="S1316" s="14"/>
      <c r="T1316" s="164"/>
      <c r="U1316" s="14"/>
      <c r="V1316" s="14"/>
      <c r="W1316" s="14"/>
      <c r="X1316" s="164"/>
      <c r="Y1316" s="14"/>
      <c r="Z1316" s="164"/>
      <c r="AA1316" s="876">
        <f>Y1314+AA1314</f>
        <v>18816.794541256771</v>
      </c>
      <c r="AB1316" s="14"/>
      <c r="AC1316" s="14"/>
      <c r="AD1316" s="14"/>
      <c r="AE1316" s="14"/>
      <c r="AF1316" s="14"/>
      <c r="AG1316" s="14"/>
      <c r="AH1316" s="164"/>
      <c r="AI1316" s="164"/>
      <c r="AK1316" s="69"/>
      <c r="AM1316" s="852"/>
      <c r="AN1316" s="84"/>
    </row>
    <row r="1317" spans="1:43">
      <c r="A1317" s="1188" t="s">
        <v>17</v>
      </c>
      <c r="B1317" s="1188"/>
      <c r="C1317" s="1188"/>
      <c r="D1317" s="1188"/>
      <c r="E1317" s="1188"/>
      <c r="F1317" s="1188"/>
      <c r="G1317" s="1188"/>
      <c r="H1317" s="1188"/>
      <c r="I1317" s="1188"/>
      <c r="J1317" s="42"/>
      <c r="K1317" s="42"/>
      <c r="AK1317" s="69"/>
      <c r="AM1317" s="852"/>
    </row>
    <row r="1318" spans="1:43">
      <c r="D1318" s="85" t="s">
        <v>2</v>
      </c>
      <c r="E1318" s="79"/>
      <c r="F1318" s="79"/>
      <c r="G1318" s="1"/>
      <c r="H1318" s="1"/>
      <c r="I1318" s="1"/>
      <c r="AK1318" s="69"/>
      <c r="AM1318" s="852"/>
    </row>
    <row r="1319" spans="1:43">
      <c r="D1319" s="86"/>
      <c r="E1319" s="80"/>
      <c r="F1319" s="80"/>
      <c r="G1319" s="16" t="s">
        <v>3</v>
      </c>
      <c r="H1319" s="16"/>
      <c r="I1319" s="1"/>
      <c r="J1319" s="43"/>
      <c r="K1319" s="43"/>
      <c r="AK1319" s="69"/>
      <c r="AM1319" s="852"/>
    </row>
    <row r="1320" spans="1:43">
      <c r="L1320" s="15"/>
      <c r="AM1320" s="852"/>
    </row>
    <row r="1321" spans="1:43">
      <c r="B1321" s="1271" t="s">
        <v>35</v>
      </c>
      <c r="C1321" s="1271"/>
      <c r="D1321" s="1271"/>
      <c r="E1321" s="1271"/>
      <c r="F1321" s="1271"/>
      <c r="G1321" s="1271"/>
      <c r="H1321" s="129"/>
      <c r="I1321" s="129"/>
      <c r="L1321" s="15"/>
      <c r="AM1321" s="852"/>
    </row>
    <row r="1322" spans="1:43">
      <c r="B1322" s="1272" t="s">
        <v>58</v>
      </c>
      <c r="C1322" s="1272"/>
      <c r="D1322" s="1272"/>
      <c r="E1322" s="130"/>
      <c r="F1322" s="14"/>
      <c r="L1322" s="15"/>
      <c r="AM1322" s="852"/>
    </row>
    <row r="1323" spans="1:43">
      <c r="B1323" s="1032" t="s">
        <v>59</v>
      </c>
      <c r="C1323" s="1032"/>
      <c r="D1323" s="1032"/>
      <c r="E1323" s="1032"/>
      <c r="F1323" s="14"/>
      <c r="L1323" s="15"/>
      <c r="AM1323" s="852"/>
    </row>
    <row r="1324" spans="1:43">
      <c r="B1324" s="1032" t="s">
        <v>60</v>
      </c>
      <c r="C1324" s="1032"/>
      <c r="D1324" s="1032"/>
      <c r="E1324" s="1032"/>
      <c r="F1324" s="14"/>
      <c r="L1324" s="15"/>
      <c r="AM1324" s="852"/>
    </row>
    <row r="1325" spans="1:43">
      <c r="B1325" s="1273" t="s">
        <v>61</v>
      </c>
      <c r="C1325" s="1273"/>
      <c r="D1325" s="1273"/>
      <c r="E1325" s="1273"/>
      <c r="F1325" s="1273"/>
      <c r="G1325" s="1273"/>
      <c r="H1325" s="1273"/>
      <c r="L1325" s="15"/>
      <c r="AM1325" s="852"/>
    </row>
    <row r="1326" spans="1:43">
      <c r="B1326" s="1274" t="s">
        <v>62</v>
      </c>
      <c r="C1326" s="1274"/>
      <c r="D1326" s="1274"/>
      <c r="E1326" s="1274"/>
      <c r="F1326" s="131"/>
      <c r="G1326" s="131"/>
      <c r="H1326" s="131"/>
      <c r="L1326" s="15"/>
      <c r="AM1326" s="852"/>
    </row>
    <row r="1327" spans="1:43">
      <c r="L1327" s="15"/>
      <c r="AM1327" s="852"/>
    </row>
    <row r="1328" spans="1:43" s="132" customFormat="1" ht="47.25" customHeight="1">
      <c r="D1328" s="133"/>
      <c r="E1328" s="134"/>
      <c r="F1328" s="134"/>
      <c r="J1328" s="135"/>
      <c r="K1328" s="135"/>
      <c r="L1328" s="136"/>
      <c r="M1328" s="136"/>
      <c r="R1328" s="165"/>
      <c r="T1328" s="165"/>
      <c r="X1328" s="165"/>
      <c r="Z1328" s="165"/>
      <c r="AH1328" s="165"/>
      <c r="AI1328" s="165"/>
      <c r="AJ1328" s="14"/>
      <c r="AK1328" s="14"/>
      <c r="AL1328" s="14"/>
      <c r="AM1328" s="852"/>
      <c r="AN1328" s="84"/>
      <c r="AO1328" s="1"/>
      <c r="AP1328" s="14"/>
      <c r="AQ1328" s="14"/>
    </row>
    <row r="1329" spans="2:43">
      <c r="B1329" s="54"/>
      <c r="C1329" s="54"/>
      <c r="D1329" s="87"/>
      <c r="E1329" s="82"/>
      <c r="F1329" s="82"/>
      <c r="L1329" s="15"/>
      <c r="AM1329" s="852"/>
    </row>
    <row r="1330" spans="2:43">
      <c r="B1330" s="1269" t="s">
        <v>27</v>
      </c>
      <c r="C1330" s="1269"/>
      <c r="D1330" s="1269"/>
      <c r="E1330" s="1269"/>
      <c r="F1330" s="1269"/>
      <c r="G1330" s="1269"/>
      <c r="H1330" s="1269"/>
      <c r="I1330" s="1269"/>
      <c r="AJ1330" s="132"/>
      <c r="AK1330" s="132"/>
      <c r="AL1330" s="132"/>
      <c r="AM1330" s="851"/>
      <c r="AN1330" s="133"/>
      <c r="AO1330" s="135"/>
      <c r="AP1330" s="132"/>
      <c r="AQ1330" s="132"/>
    </row>
    <row r="1331" spans="2:43">
      <c r="B1331" s="1269"/>
      <c r="C1331" s="1269"/>
      <c r="D1331" s="1269"/>
      <c r="E1331" s="1269"/>
      <c r="F1331" s="1269"/>
      <c r="G1331" s="1269"/>
      <c r="H1331" s="1269"/>
      <c r="I1331" s="1269"/>
      <c r="AM1331" s="852"/>
    </row>
    <row r="1332" spans="2:43">
      <c r="B1332" s="1269"/>
      <c r="C1332" s="1269"/>
      <c r="D1332" s="1269"/>
      <c r="E1332" s="1269"/>
      <c r="F1332" s="1269"/>
      <c r="G1332" s="1269"/>
      <c r="H1332" s="1269"/>
      <c r="I1332" s="1269"/>
      <c r="AM1332" s="852"/>
    </row>
    <row r="1333" spans="2:43">
      <c r="B1333" s="1269"/>
      <c r="C1333" s="1269"/>
      <c r="D1333" s="1269"/>
      <c r="E1333" s="1269"/>
      <c r="F1333" s="1269"/>
      <c r="G1333" s="1269"/>
      <c r="H1333" s="1269"/>
      <c r="I1333" s="1269"/>
      <c r="AM1333" s="852"/>
    </row>
    <row r="1334" spans="2:43">
      <c r="B1334" s="1269"/>
      <c r="C1334" s="1269"/>
      <c r="D1334" s="1269"/>
      <c r="E1334" s="1269"/>
      <c r="F1334" s="1269"/>
      <c r="G1334" s="1269"/>
      <c r="H1334" s="1269"/>
      <c r="I1334" s="1269"/>
      <c r="AM1334" s="852"/>
    </row>
    <row r="1335" spans="2:43">
      <c r="AM1335" s="852"/>
    </row>
    <row r="1336" spans="2:43">
      <c r="AM1336" s="852"/>
    </row>
    <row r="1337" spans="2:43">
      <c r="B1337" s="1270" t="s">
        <v>18</v>
      </c>
      <c r="C1337" s="1270"/>
      <c r="D1337" s="1270"/>
      <c r="E1337" s="1270"/>
      <c r="F1337" s="1270"/>
      <c r="G1337" s="1270"/>
      <c r="H1337" s="1270"/>
      <c r="I1337" s="1270"/>
      <c r="AM1337" s="852"/>
    </row>
    <row r="1338" spans="2:43">
      <c r="B1338" s="1270"/>
      <c r="C1338" s="1270"/>
      <c r="D1338" s="1270"/>
      <c r="E1338" s="1270"/>
      <c r="F1338" s="1270"/>
      <c r="G1338" s="1270"/>
      <c r="H1338" s="1270"/>
      <c r="I1338" s="1270"/>
      <c r="AM1338" s="852"/>
    </row>
    <row r="1339" spans="2:43">
      <c r="B1339" s="1270"/>
      <c r="C1339" s="1270"/>
      <c r="D1339" s="1270"/>
      <c r="E1339" s="1270"/>
      <c r="F1339" s="1270"/>
      <c r="G1339" s="1270"/>
      <c r="H1339" s="1270"/>
      <c r="I1339" s="1270"/>
      <c r="AM1339" s="852"/>
    </row>
    <row r="1340" spans="2:43">
      <c r="B1340" s="1270"/>
      <c r="C1340" s="1270"/>
      <c r="D1340" s="1270"/>
      <c r="E1340" s="1270"/>
      <c r="F1340" s="1270"/>
      <c r="G1340" s="1270"/>
      <c r="H1340" s="1270"/>
      <c r="I1340" s="1270"/>
      <c r="AM1340" s="852"/>
    </row>
    <row r="1341" spans="2:43">
      <c r="AM1341" s="852"/>
    </row>
    <row r="1342" spans="2:43">
      <c r="AM1342" s="852"/>
    </row>
    <row r="1343" spans="2:43">
      <c r="B1343" s="1270" t="s">
        <v>31</v>
      </c>
      <c r="C1343" s="1270"/>
      <c r="D1343" s="1270"/>
      <c r="E1343" s="1270"/>
      <c r="F1343" s="1270"/>
      <c r="G1343" s="1270"/>
      <c r="H1343" s="1270"/>
      <c r="I1343" s="1270"/>
      <c r="AM1343" s="852"/>
    </row>
    <row r="1344" spans="2:43">
      <c r="B1344" s="1270"/>
      <c r="C1344" s="1270"/>
      <c r="D1344" s="1270"/>
      <c r="E1344" s="1270"/>
      <c r="F1344" s="1270"/>
      <c r="G1344" s="1270"/>
      <c r="H1344" s="1270"/>
      <c r="I1344" s="1270"/>
      <c r="AM1344" s="852"/>
    </row>
    <row r="1345" spans="1:39">
      <c r="B1345" s="1270"/>
      <c r="C1345" s="1270"/>
      <c r="D1345" s="1270"/>
      <c r="E1345" s="1270"/>
      <c r="F1345" s="1270"/>
      <c r="G1345" s="1270"/>
      <c r="H1345" s="1270"/>
      <c r="I1345" s="1270"/>
      <c r="AM1345" s="852"/>
    </row>
    <row r="1346" spans="1:39">
      <c r="B1346" s="1270"/>
      <c r="C1346" s="1270"/>
      <c r="D1346" s="1270"/>
      <c r="E1346" s="1270"/>
      <c r="F1346" s="1270"/>
      <c r="G1346" s="1270"/>
      <c r="H1346" s="1270"/>
      <c r="I1346" s="1270"/>
      <c r="AM1346" s="852"/>
    </row>
    <row r="1347" spans="1:39">
      <c r="AM1347" s="852"/>
    </row>
    <row r="1348" spans="1:39">
      <c r="AM1348" s="852"/>
    </row>
    <row r="1349" spans="1:39">
      <c r="AM1349" s="852"/>
    </row>
    <row r="1350" spans="1:39">
      <c r="AM1350" s="852"/>
    </row>
    <row r="1351" spans="1:39" ht="27" customHeight="1">
      <c r="A1351" s="1268" t="s">
        <v>46</v>
      </c>
      <c r="B1351" s="1268"/>
      <c r="C1351" s="1268"/>
      <c r="D1351" s="1268"/>
      <c r="E1351" s="1268"/>
      <c r="F1351" s="1268"/>
      <c r="G1351" s="1268"/>
      <c r="H1351" s="1268"/>
      <c r="I1351" s="1268"/>
      <c r="J1351" s="1268"/>
      <c r="K1351" s="695"/>
      <c r="AM1351" s="852"/>
    </row>
    <row r="1352" spans="1:39">
      <c r="AM1352" s="852"/>
    </row>
    <row r="1353" spans="1:39">
      <c r="AM1353" s="852"/>
    </row>
    <row r="1354" spans="1:39">
      <c r="AM1354" s="852"/>
    </row>
    <row r="1355" spans="1:39">
      <c r="AM1355" s="852"/>
    </row>
    <row r="1356" spans="1:39">
      <c r="AM1356" s="852"/>
    </row>
    <row r="1367" spans="1:35" ht="15.75" thickBot="1">
      <c r="A1367"/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 s="166"/>
    </row>
    <row r="1368" spans="1:35" ht="12.75" customHeight="1">
      <c r="A1368" s="1275" t="s">
        <v>36</v>
      </c>
      <c r="B1368" s="55"/>
      <c r="C1368" s="56">
        <v>36788</v>
      </c>
      <c r="D1368" s="57" t="s">
        <v>33</v>
      </c>
      <c r="E1368" s="57"/>
      <c r="F1368" s="57"/>
      <c r="G1368" s="58"/>
      <c r="H1368" s="58">
        <v>302.07</v>
      </c>
      <c r="I1368" s="58"/>
      <c r="J1368" s="1278" t="s">
        <v>37</v>
      </c>
      <c r="K1368" s="693"/>
      <c r="L1368" s="51"/>
      <c r="M1368" s="53">
        <v>95.79</v>
      </c>
      <c r="N1368" s="51"/>
      <c r="O1368" s="51"/>
      <c r="P1368" s="51"/>
      <c r="Q1368" s="51"/>
      <c r="R1368" s="170"/>
      <c r="S1368" s="51"/>
      <c r="T1368" s="170"/>
      <c r="U1368" s="51">
        <v>5.01</v>
      </c>
      <c r="V1368" s="51"/>
      <c r="W1368" s="51"/>
      <c r="X1368" s="158"/>
      <c r="Y1368" s="53"/>
      <c r="Z1368" s="158"/>
      <c r="AA1368" s="121"/>
      <c r="AB1368" s="121"/>
      <c r="AC1368" s="121"/>
      <c r="AD1368" s="121"/>
      <c r="AE1368" s="1265" t="s">
        <v>19</v>
      </c>
      <c r="AF1368" s="866"/>
      <c r="AG1368" s="53"/>
      <c r="AH1368" s="158"/>
      <c r="AI1368" s="181"/>
    </row>
    <row r="1369" spans="1:35">
      <c r="A1369" s="1276"/>
      <c r="B1369" s="17">
        <v>3035</v>
      </c>
      <c r="C1369" s="95">
        <v>37825</v>
      </c>
      <c r="D1369" s="32" t="s">
        <v>43</v>
      </c>
      <c r="E1369" s="76" t="s">
        <v>1</v>
      </c>
      <c r="F1369" s="76"/>
      <c r="G1369" s="9">
        <v>7410.96</v>
      </c>
      <c r="H1369" s="37">
        <v>0</v>
      </c>
      <c r="I1369" s="21">
        <v>469.55</v>
      </c>
      <c r="J1369" s="1279"/>
      <c r="K1369" s="694"/>
      <c r="L1369" s="9">
        <v>139.76</v>
      </c>
      <c r="M1369" s="12">
        <v>27</v>
      </c>
      <c r="N1369" s="9">
        <v>209.1</v>
      </c>
      <c r="O1369" s="120"/>
      <c r="P1369" s="120"/>
      <c r="Q1369" s="120"/>
      <c r="R1369" s="117">
        <v>1836.61</v>
      </c>
      <c r="S1369" s="120"/>
      <c r="T1369" s="117"/>
      <c r="U1369" s="21">
        <v>6.1</v>
      </c>
      <c r="V1369" s="120">
        <v>96.34</v>
      </c>
      <c r="W1369" s="120"/>
      <c r="X1369" s="117">
        <v>846.19</v>
      </c>
      <c r="Y1369" s="120">
        <v>18.059999999999999</v>
      </c>
      <c r="Z1369" s="117">
        <v>158.63</v>
      </c>
      <c r="AA1369" s="24"/>
      <c r="AB1369" s="24"/>
      <c r="AC1369" s="24"/>
      <c r="AD1369" s="24"/>
      <c r="AE1369" s="1266"/>
      <c r="AF1369" s="867"/>
      <c r="AG1369" s="8">
        <v>94.71</v>
      </c>
      <c r="AH1369" s="117">
        <v>831.88</v>
      </c>
      <c r="AI1369" s="182">
        <f t="shared" ref="AI1369:AI1374" si="54">R1369+X1369+Z1369+AH1369</f>
        <v>3673.3100000000004</v>
      </c>
    </row>
    <row r="1370" spans="1:35">
      <c r="A1370" s="1276"/>
      <c r="B1370" s="4">
        <v>6292</v>
      </c>
      <c r="C1370" s="96">
        <v>38971</v>
      </c>
      <c r="D1370" s="32" t="s">
        <v>44</v>
      </c>
      <c r="E1370" s="76" t="s">
        <v>1</v>
      </c>
      <c r="F1370" s="76"/>
      <c r="G1370" s="9">
        <v>7410.96</v>
      </c>
      <c r="H1370" s="37">
        <v>0</v>
      </c>
      <c r="I1370" s="37">
        <v>0</v>
      </c>
      <c r="J1370" s="1279"/>
      <c r="K1370" s="694"/>
      <c r="L1370" s="9">
        <v>147.72999999999999</v>
      </c>
      <c r="M1370" s="8">
        <v>32</v>
      </c>
      <c r="N1370" s="7">
        <v>212.07</v>
      </c>
      <c r="O1370" s="120"/>
      <c r="P1370" s="120"/>
      <c r="Q1370" s="120"/>
      <c r="R1370" s="117">
        <v>1351.08</v>
      </c>
      <c r="S1370" s="120"/>
      <c r="T1370" s="117"/>
      <c r="U1370" s="37">
        <v>0</v>
      </c>
      <c r="V1370" s="120">
        <v>96.34</v>
      </c>
      <c r="W1370" s="120"/>
      <c r="X1370" s="117">
        <v>613.78</v>
      </c>
      <c r="Y1370" s="120">
        <v>18.18</v>
      </c>
      <c r="Z1370" s="117">
        <v>115.82</v>
      </c>
      <c r="AA1370" s="24"/>
      <c r="AB1370" s="24"/>
      <c r="AC1370" s="24"/>
      <c r="AD1370" s="24"/>
      <c r="AE1370" s="1266"/>
      <c r="AF1370" s="867"/>
      <c r="AG1370" s="8">
        <v>97.55</v>
      </c>
      <c r="AH1370" s="117">
        <v>621.48</v>
      </c>
      <c r="AI1370" s="182">
        <f t="shared" si="54"/>
        <v>2702.16</v>
      </c>
    </row>
    <row r="1371" spans="1:35">
      <c r="A1371" s="1276"/>
      <c r="B1371" s="17">
        <v>8695</v>
      </c>
      <c r="C1371" s="36">
        <v>39974</v>
      </c>
      <c r="D1371" s="32" t="s">
        <v>45</v>
      </c>
      <c r="E1371" s="76" t="s">
        <v>1</v>
      </c>
      <c r="F1371" s="76"/>
      <c r="G1371" s="9">
        <v>7410.96</v>
      </c>
      <c r="H1371" s="37">
        <v>0</v>
      </c>
      <c r="I1371" s="6">
        <v>421.89</v>
      </c>
      <c r="J1371" s="1279"/>
      <c r="K1371" s="694"/>
      <c r="L1371" s="9">
        <v>147.72999999999999</v>
      </c>
      <c r="M1371" s="8">
        <v>33</v>
      </c>
      <c r="N1371" s="7">
        <v>211.07</v>
      </c>
      <c r="O1371" s="120"/>
      <c r="P1371" s="120"/>
      <c r="Q1371" s="120"/>
      <c r="R1371" s="117">
        <v>1036.54</v>
      </c>
      <c r="S1371" s="120"/>
      <c r="T1371" s="117"/>
      <c r="U1371" s="6">
        <v>5.48</v>
      </c>
      <c r="V1371" s="120">
        <v>96.34</v>
      </c>
      <c r="W1371" s="120"/>
      <c r="X1371" s="117">
        <v>499.18</v>
      </c>
      <c r="Y1371" s="120">
        <v>17.739999999999998</v>
      </c>
      <c r="Z1371" s="117">
        <v>91.92</v>
      </c>
      <c r="AA1371" s="24"/>
      <c r="AB1371" s="24"/>
      <c r="AC1371" s="24"/>
      <c r="AD1371" s="24"/>
      <c r="AE1371" s="1266"/>
      <c r="AF1371" s="867"/>
      <c r="AG1371" s="8">
        <v>96.99</v>
      </c>
      <c r="AH1371" s="117">
        <v>502.54</v>
      </c>
      <c r="AI1371" s="182">
        <f t="shared" si="54"/>
        <v>2130.1800000000003</v>
      </c>
    </row>
    <row r="1372" spans="1:35">
      <c r="A1372" s="1276"/>
      <c r="B1372" s="34">
        <v>10641</v>
      </c>
      <c r="C1372" s="100">
        <v>41092</v>
      </c>
      <c r="D1372" s="32" t="s">
        <v>47</v>
      </c>
      <c r="E1372" s="76" t="s">
        <v>1</v>
      </c>
      <c r="F1372" s="113"/>
      <c r="G1372" s="24">
        <v>15439.5</v>
      </c>
      <c r="H1372" s="22">
        <v>302.7</v>
      </c>
      <c r="I1372" s="22"/>
      <c r="J1372" s="1279"/>
      <c r="K1372" s="694"/>
      <c r="L1372" s="24">
        <v>273.06</v>
      </c>
      <c r="M1372" s="25">
        <v>90.9</v>
      </c>
      <c r="N1372" s="35">
        <v>382.87</v>
      </c>
      <c r="O1372" s="24"/>
      <c r="P1372" s="24"/>
      <c r="Q1372" s="24"/>
      <c r="R1372" s="159">
        <v>1375.31</v>
      </c>
      <c r="S1372" s="24"/>
      <c r="T1372" s="159"/>
      <c r="U1372" s="877"/>
      <c r="V1372" s="24">
        <v>200.71</v>
      </c>
      <c r="W1372" s="24"/>
      <c r="X1372" s="159">
        <v>720.97</v>
      </c>
      <c r="Y1372" s="24">
        <v>68.08</v>
      </c>
      <c r="Z1372" s="159">
        <v>244.55</v>
      </c>
      <c r="AA1372" s="24"/>
      <c r="AB1372" s="24"/>
      <c r="AC1372" s="24"/>
      <c r="AD1372" s="24"/>
      <c r="AE1372" s="1266"/>
      <c r="AF1372" s="867"/>
      <c r="AG1372" s="25">
        <v>114.08</v>
      </c>
      <c r="AH1372" s="159">
        <v>409.79</v>
      </c>
      <c r="AI1372" s="182">
        <f t="shared" si="54"/>
        <v>2750.62</v>
      </c>
    </row>
    <row r="1373" spans="1:35">
      <c r="A1373" s="1276"/>
      <c r="B1373" s="17">
        <v>12424</v>
      </c>
      <c r="C1373" s="5">
        <v>42166</v>
      </c>
      <c r="D1373" s="38" t="s">
        <v>48</v>
      </c>
      <c r="E1373" s="38" t="s">
        <v>1</v>
      </c>
      <c r="F1373" s="38"/>
      <c r="G1373" s="7">
        <v>15439.5</v>
      </c>
      <c r="H1373" s="6">
        <v>302.7</v>
      </c>
      <c r="I1373" s="99" t="s">
        <v>21</v>
      </c>
      <c r="J1373" s="1279"/>
      <c r="K1373" s="694"/>
      <c r="L1373" s="7">
        <v>266.10000000000002</v>
      </c>
      <c r="M1373" s="8">
        <v>90.9</v>
      </c>
      <c r="N1373" s="7">
        <v>375.91</v>
      </c>
      <c r="O1373" s="7"/>
      <c r="P1373" s="7"/>
      <c r="Q1373" s="7"/>
      <c r="R1373" s="157">
        <v>1070.3399999999999</v>
      </c>
      <c r="S1373" s="7"/>
      <c r="T1373" s="157"/>
      <c r="U1373" s="99" t="s">
        <v>21</v>
      </c>
      <c r="V1373" s="7">
        <v>200.71</v>
      </c>
      <c r="W1373" s="7"/>
      <c r="X1373" s="157">
        <v>571.49</v>
      </c>
      <c r="Y1373" s="7">
        <v>65.25</v>
      </c>
      <c r="Z1373" s="157">
        <v>185.79</v>
      </c>
      <c r="AA1373" s="24"/>
      <c r="AB1373" s="24"/>
      <c r="AC1373" s="24"/>
      <c r="AD1373" s="24"/>
      <c r="AE1373" s="1266"/>
      <c r="AF1373" s="867"/>
      <c r="AG1373" s="8">
        <v>109.95</v>
      </c>
      <c r="AH1373" s="157">
        <v>313.06</v>
      </c>
      <c r="AI1373" s="183">
        <f t="shared" si="54"/>
        <v>2140.6799999999998</v>
      </c>
    </row>
    <row r="1374" spans="1:35" ht="13.5" thickBot="1">
      <c r="A1374" s="1277"/>
      <c r="B1374" s="102">
        <v>12576</v>
      </c>
      <c r="C1374" s="75">
        <v>42242</v>
      </c>
      <c r="D1374" s="101" t="s">
        <v>49</v>
      </c>
      <c r="E1374" s="101" t="s">
        <v>19</v>
      </c>
      <c r="F1374" s="112"/>
      <c r="G1374" s="46">
        <v>15439.5</v>
      </c>
      <c r="H1374" s="30">
        <v>0</v>
      </c>
      <c r="I1374" s="103" t="s">
        <v>21</v>
      </c>
      <c r="J1374" s="1280"/>
      <c r="K1374" s="696"/>
      <c r="L1374" s="46">
        <v>1217.33</v>
      </c>
      <c r="M1374" s="30">
        <v>0</v>
      </c>
      <c r="N1374" s="46">
        <v>933.13</v>
      </c>
      <c r="O1374" s="46"/>
      <c r="P1374" s="46"/>
      <c r="Q1374" s="46"/>
      <c r="R1374" s="156">
        <v>2640.25</v>
      </c>
      <c r="S1374" s="46"/>
      <c r="T1374" s="156"/>
      <c r="U1374" s="103" t="s">
        <v>21</v>
      </c>
      <c r="V1374" s="46">
        <v>200.71</v>
      </c>
      <c r="W1374" s="46"/>
      <c r="X1374" s="156">
        <v>567.9</v>
      </c>
      <c r="Y1374" s="46">
        <v>176.65</v>
      </c>
      <c r="Z1374" s="156">
        <v>499.82</v>
      </c>
      <c r="AA1374" s="46"/>
      <c r="AB1374" s="46"/>
      <c r="AC1374" s="46"/>
      <c r="AD1374" s="46"/>
      <c r="AE1374" s="1267"/>
      <c r="AF1374" s="868"/>
      <c r="AG1374" s="47">
        <v>555.77</v>
      </c>
      <c r="AH1374" s="156">
        <v>1572.53</v>
      </c>
      <c r="AI1374" s="184">
        <f t="shared" si="54"/>
        <v>5280.5</v>
      </c>
    </row>
    <row r="1375" spans="1:35" ht="15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 s="166"/>
    </row>
  </sheetData>
  <mergeCells count="851">
    <mergeCell ref="J1240:J1264"/>
    <mergeCell ref="AK1240:AK1252"/>
    <mergeCell ref="AK1253:AK1264"/>
    <mergeCell ref="G1265:I1265"/>
    <mergeCell ref="J1265:K1265"/>
    <mergeCell ref="L1265:T1265"/>
    <mergeCell ref="U1265:AD1265"/>
    <mergeCell ref="AE1265:AL1265"/>
    <mergeCell ref="A1222:A1265"/>
    <mergeCell ref="K1222:K1264"/>
    <mergeCell ref="AE1222:AF1263"/>
    <mergeCell ref="AJ1240:AJ1252"/>
    <mergeCell ref="AJ1253:AJ1264"/>
    <mergeCell ref="AL1222:AL1264"/>
    <mergeCell ref="J1222:J1226"/>
    <mergeCell ref="J1227:J1239"/>
    <mergeCell ref="AJ1222:AJ1239"/>
    <mergeCell ref="AK1223:AK1226"/>
    <mergeCell ref="AK1227:AK1239"/>
    <mergeCell ref="AL1269:AL1305"/>
    <mergeCell ref="AJ1269:AJ1305"/>
    <mergeCell ref="A1269:A1305"/>
    <mergeCell ref="J1269:J1305"/>
    <mergeCell ref="K1269:K1305"/>
    <mergeCell ref="AE1269:AF1305"/>
    <mergeCell ref="AK1269:AK1283"/>
    <mergeCell ref="AK1284:AK1305"/>
    <mergeCell ref="R469:T469"/>
    <mergeCell ref="U469:W469"/>
    <mergeCell ref="X469:Z469"/>
    <mergeCell ref="AG469:AI469"/>
    <mergeCell ref="AE1041:AF1121"/>
    <mergeCell ref="AJ1110:AJ1121"/>
    <mergeCell ref="AL993:AL1121"/>
    <mergeCell ref="AE456:AF483"/>
    <mergeCell ref="U467:V467"/>
    <mergeCell ref="AJ456:AJ483"/>
    <mergeCell ref="AK456:AK470"/>
    <mergeCell ref="AK471:AK483"/>
    <mergeCell ref="AK681:AK695"/>
    <mergeCell ref="AG677:AI677"/>
    <mergeCell ref="R677:W677"/>
    <mergeCell ref="X677:AD677"/>
    <mergeCell ref="AL456:AL483"/>
    <mergeCell ref="AK678:AK680"/>
    <mergeCell ref="AA724:AD728"/>
    <mergeCell ref="AA729:AD729"/>
    <mergeCell ref="AA734:AD734"/>
    <mergeCell ref="AA469:AD469"/>
    <mergeCell ref="AL699:AL748"/>
    <mergeCell ref="AJ699:AJ748"/>
    <mergeCell ref="AK699:AK709"/>
    <mergeCell ref="AK710:AK723"/>
    <mergeCell ref="AK724:AK748"/>
    <mergeCell ref="AK590:AK598"/>
    <mergeCell ref="AL579:AL598"/>
    <mergeCell ref="AE610:AF664"/>
    <mergeCell ref="AA570:AD578"/>
    <mergeCell ref="AE570:AF598"/>
    <mergeCell ref="AG740:AI741"/>
    <mergeCell ref="AG744:AI748"/>
    <mergeCell ref="AE699:AF748"/>
    <mergeCell ref="AA740:AD741"/>
    <mergeCell ref="AA744:AD748"/>
    <mergeCell ref="AG570:AI578"/>
    <mergeCell ref="AJ778:AJ790"/>
    <mergeCell ref="AJ791:AJ810"/>
    <mergeCell ref="AK841:AK853"/>
    <mergeCell ref="L807:N810"/>
    <mergeCell ref="U795:W795"/>
    <mergeCell ref="X795:Z795"/>
    <mergeCell ref="R807:T810"/>
    <mergeCell ref="U807:W810"/>
    <mergeCell ref="R804:T804"/>
    <mergeCell ref="U804:W804"/>
    <mergeCell ref="R791:T793"/>
    <mergeCell ref="AJ841:AJ873"/>
    <mergeCell ref="AG869:AI873"/>
    <mergeCell ref="AG858:AI858"/>
    <mergeCell ref="AA807:AD810"/>
    <mergeCell ref="AG800:AI801"/>
    <mergeCell ref="AA800:AD801"/>
    <mergeCell ref="L866:T866"/>
    <mergeCell ref="X854:Z855"/>
    <mergeCell ref="R856:T856"/>
    <mergeCell ref="AL434:AL452"/>
    <mergeCell ref="AJ338:AJ373"/>
    <mergeCell ref="AK338:AK350"/>
    <mergeCell ref="AK351:AK360"/>
    <mergeCell ref="AA905:AD909"/>
    <mergeCell ref="X905:Z909"/>
    <mergeCell ref="U905:W909"/>
    <mergeCell ref="R905:T909"/>
    <mergeCell ref="L905:N909"/>
    <mergeCell ref="R904:T904"/>
    <mergeCell ref="U893:W893"/>
    <mergeCell ref="U901:W901"/>
    <mergeCell ref="AA898:AD899"/>
    <mergeCell ref="R897:T897"/>
    <mergeCell ref="R864:T864"/>
    <mergeCell ref="U864:W864"/>
    <mergeCell ref="X864:Z864"/>
    <mergeCell ref="U854:W855"/>
    <mergeCell ref="L724:N728"/>
    <mergeCell ref="L729:N729"/>
    <mergeCell ref="AG724:AI728"/>
    <mergeCell ref="AG729:AI729"/>
    <mergeCell ref="AL599:AL695"/>
    <mergeCell ref="AJ599:AJ609"/>
    <mergeCell ref="AL299:AL334"/>
    <mergeCell ref="AK281:AK289"/>
    <mergeCell ref="AK290:AK298"/>
    <mergeCell ref="AL338:AL373"/>
    <mergeCell ref="AK428:AK433"/>
    <mergeCell ref="AG421:AI426"/>
    <mergeCell ref="AG403:AI407"/>
    <mergeCell ref="AG409:AI410"/>
    <mergeCell ref="AG411:AI411"/>
    <mergeCell ref="AG413:AI413"/>
    <mergeCell ref="AG415:AI416"/>
    <mergeCell ref="AG417:AI418"/>
    <mergeCell ref="AJ308:AJ319"/>
    <mergeCell ref="AK308:AK319"/>
    <mergeCell ref="AJ299:AJ307"/>
    <mergeCell ref="AK299:AK307"/>
    <mergeCell ref="AK361:AK373"/>
    <mergeCell ref="AG420:AI420"/>
    <mergeCell ref="AL376:AL433"/>
    <mergeCell ref="AL258:AL298"/>
    <mergeCell ref="AJ376:AJ433"/>
    <mergeCell ref="AK376:AK388"/>
    <mergeCell ref="AJ258:AJ298"/>
    <mergeCell ref="AK258:AK270"/>
    <mergeCell ref="U1215:W1218"/>
    <mergeCell ref="AK1152:AK1189"/>
    <mergeCell ref="L1175:T1175"/>
    <mergeCell ref="X897:Z897"/>
    <mergeCell ref="AJ1152:AJ1189"/>
    <mergeCell ref="L1152:N1171"/>
    <mergeCell ref="R1152:T1171"/>
    <mergeCell ref="U1152:W1171"/>
    <mergeCell ref="X1152:Z1171"/>
    <mergeCell ref="AG1152:AI1171"/>
    <mergeCell ref="U1175:AD1175"/>
    <mergeCell ref="AG1175:AI1175"/>
    <mergeCell ref="L1181:T1182"/>
    <mergeCell ref="U1181:AD1182"/>
    <mergeCell ref="AG1181:AI1182"/>
    <mergeCell ref="L1186:T1186"/>
    <mergeCell ref="U1186:AD1186"/>
    <mergeCell ref="AG1186:AI1186"/>
    <mergeCell ref="AG1187:AI1189"/>
    <mergeCell ref="AG1183:AI1185"/>
    <mergeCell ref="AA1152:AD1171"/>
    <mergeCell ref="AK1110:AK1121"/>
    <mergeCell ref="U1172:W1174"/>
    <mergeCell ref="X1172:Z1174"/>
    <mergeCell ref="U1176:W1180"/>
    <mergeCell ref="X1176:Z1180"/>
    <mergeCell ref="U1183:W1185"/>
    <mergeCell ref="X1183:Z1185"/>
    <mergeCell ref="U1187:W1189"/>
    <mergeCell ref="X1187:Z1189"/>
    <mergeCell ref="U1208:W1210"/>
    <mergeCell ref="U1202:Z1202"/>
    <mergeCell ref="U1207:Z1207"/>
    <mergeCell ref="AG1202:AI1202"/>
    <mergeCell ref="AG1207:AI1207"/>
    <mergeCell ref="AG1211:AI1211"/>
    <mergeCell ref="AG1214:AI1214"/>
    <mergeCell ref="AA1202:AD1202"/>
    <mergeCell ref="AA1172:AD1174"/>
    <mergeCell ref="AG1176:AI1180"/>
    <mergeCell ref="AA1176:AD1180"/>
    <mergeCell ref="AA1183:AD1185"/>
    <mergeCell ref="AA1187:AD1189"/>
    <mergeCell ref="AE1152:AF1189"/>
    <mergeCell ref="AK1193:AK1218"/>
    <mergeCell ref="J206:J214"/>
    <mergeCell ref="L218:N219"/>
    <mergeCell ref="L221:N222"/>
    <mergeCell ref="L217:T217"/>
    <mergeCell ref="L216:N216"/>
    <mergeCell ref="L223:N223"/>
    <mergeCell ref="L225:N226"/>
    <mergeCell ref="L228:N231"/>
    <mergeCell ref="J216:J219"/>
    <mergeCell ref="J221:J223"/>
    <mergeCell ref="J225:J226"/>
    <mergeCell ref="J228:J231"/>
    <mergeCell ref="J338:J373"/>
    <mergeCell ref="AA1207:AD1207"/>
    <mergeCell ref="AA1211:AD1211"/>
    <mergeCell ref="AA1214:AD1214"/>
    <mergeCell ref="AE1193:AF1218"/>
    <mergeCell ref="X1208:Z1210"/>
    <mergeCell ref="X1215:Z1218"/>
    <mergeCell ref="AG1172:AI1174"/>
    <mergeCell ref="AG1215:AI1218"/>
    <mergeCell ref="AA1212:AD1212"/>
    <mergeCell ref="U1212:Z1212"/>
    <mergeCell ref="AJ110:AJ254"/>
    <mergeCell ref="AJ320:AJ334"/>
    <mergeCell ref="J83:J96"/>
    <mergeCell ref="AK83:AK96"/>
    <mergeCell ref="J64:J82"/>
    <mergeCell ref="X232:Z235"/>
    <mergeCell ref="J232:J235"/>
    <mergeCell ref="S95:AD96"/>
    <mergeCell ref="AG95:AI96"/>
    <mergeCell ref="AJ64:AJ109"/>
    <mergeCell ref="AK206:AK231"/>
    <mergeCell ref="AK233:AK254"/>
    <mergeCell ref="AK271:AK280"/>
    <mergeCell ref="AK320:AK331"/>
    <mergeCell ref="AK332:AK334"/>
    <mergeCell ref="AG166:AI166"/>
    <mergeCell ref="L181:N188"/>
    <mergeCell ref="J97:J118"/>
    <mergeCell ref="AK119:AK139"/>
    <mergeCell ref="AK141:AK142"/>
    <mergeCell ref="AA216:AD216"/>
    <mergeCell ref="AA225:AD226"/>
    <mergeCell ref="AG125:AI125"/>
    <mergeCell ref="AG129:AI130"/>
    <mergeCell ref="AJ1125:AJ1151"/>
    <mergeCell ref="AK1125:AK1151"/>
    <mergeCell ref="J1125:J1151"/>
    <mergeCell ref="K1125:K1151"/>
    <mergeCell ref="AG795:AI795"/>
    <mergeCell ref="AA795:AD795"/>
    <mergeCell ref="AJ877:AJ944"/>
    <mergeCell ref="AK890:AK909"/>
    <mergeCell ref="AL841:AL873"/>
    <mergeCell ref="AK854:AK873"/>
    <mergeCell ref="AG877:AI889"/>
    <mergeCell ref="AL945:AL976"/>
    <mergeCell ref="AG804:AI804"/>
    <mergeCell ref="AA804:AD804"/>
    <mergeCell ref="AJ826:AJ837"/>
    <mergeCell ref="AK826:AK837"/>
    <mergeCell ref="AL877:AL944"/>
    <mergeCell ref="AK911:AK924"/>
    <mergeCell ref="AA904:AC904"/>
    <mergeCell ref="AG904:AI904"/>
    <mergeCell ref="AG902:AI902"/>
    <mergeCell ref="AA869:AD873"/>
    <mergeCell ref="AL778:AL837"/>
    <mergeCell ref="AG807:AI810"/>
    <mergeCell ref="AE1368:AE1374"/>
    <mergeCell ref="A1351:J1351"/>
    <mergeCell ref="B1330:I1334"/>
    <mergeCell ref="B1337:I1340"/>
    <mergeCell ref="B1343:I1346"/>
    <mergeCell ref="B1321:G1321"/>
    <mergeCell ref="B1322:D1322"/>
    <mergeCell ref="B1323:E1323"/>
    <mergeCell ref="B1324:E1324"/>
    <mergeCell ref="B1325:H1325"/>
    <mergeCell ref="B1326:E1326"/>
    <mergeCell ref="A1368:A1374"/>
    <mergeCell ref="J1368:J1374"/>
    <mergeCell ref="L1215:N1218"/>
    <mergeCell ref="L1208:N1210"/>
    <mergeCell ref="R1193:T1201"/>
    <mergeCell ref="J898:J900"/>
    <mergeCell ref="J902:J903"/>
    <mergeCell ref="L1172:N1174"/>
    <mergeCell ref="A1125:A1151"/>
    <mergeCell ref="K1193:K1218"/>
    <mergeCell ref="R1215:T1218"/>
    <mergeCell ref="K1152:K1189"/>
    <mergeCell ref="L1211:T1211"/>
    <mergeCell ref="L1214:T1214"/>
    <mergeCell ref="L904:N904"/>
    <mergeCell ref="A877:A944"/>
    <mergeCell ref="A1152:A1189"/>
    <mergeCell ref="J1152:J1189"/>
    <mergeCell ref="J877:J889"/>
    <mergeCell ref="K1099:K1109"/>
    <mergeCell ref="L901:N901"/>
    <mergeCell ref="J905:J933"/>
    <mergeCell ref="J934:J954"/>
    <mergeCell ref="R898:T899"/>
    <mergeCell ref="K877:K976"/>
    <mergeCell ref="L898:N899"/>
    <mergeCell ref="U136:AD139"/>
    <mergeCell ref="J119:J139"/>
    <mergeCell ref="X807:Z810"/>
    <mergeCell ref="X800:Z801"/>
    <mergeCell ref="X791:Z793"/>
    <mergeCell ref="AA791:AD793"/>
    <mergeCell ref="X804:Z804"/>
    <mergeCell ref="K143:K180"/>
    <mergeCell ref="AA228:AD231"/>
    <mergeCell ref="AA223:AD223"/>
    <mergeCell ref="L172:T173"/>
    <mergeCell ref="U216:W216"/>
    <mergeCell ref="X216:Z216"/>
    <mergeCell ref="L143:N162"/>
    <mergeCell ref="R143:T162"/>
    <mergeCell ref="L166:T166"/>
    <mergeCell ref="R540:T548"/>
    <mergeCell ref="L677:Q677"/>
    <mergeCell ref="L734:N734"/>
    <mergeCell ref="L740:N741"/>
    <mergeCell ref="L744:N748"/>
    <mergeCell ref="J456:J483"/>
    <mergeCell ref="K456:K483"/>
    <mergeCell ref="J579:J609"/>
    <mergeCell ref="L551:N556"/>
    <mergeCell ref="J258:J334"/>
    <mergeCell ref="O540:Q548"/>
    <mergeCell ref="U734:Z734"/>
    <mergeCell ref="U740:Z741"/>
    <mergeCell ref="U744:Z748"/>
    <mergeCell ref="O744:T748"/>
    <mergeCell ref="O740:T741"/>
    <mergeCell ref="O734:T734"/>
    <mergeCell ref="J610:J640"/>
    <mergeCell ref="K610:K640"/>
    <mergeCell ref="J641:J664"/>
    <mergeCell ref="J484:J517"/>
    <mergeCell ref="K484:K517"/>
    <mergeCell ref="L469:N469"/>
    <mergeCell ref="L570:P578"/>
    <mergeCell ref="Q570:U578"/>
    <mergeCell ref="U724:Z728"/>
    <mergeCell ref="U866:Z866"/>
    <mergeCell ref="J678:J695"/>
    <mergeCell ref="K665:K677"/>
    <mergeCell ref="K678:K695"/>
    <mergeCell ref="J665:J677"/>
    <mergeCell ref="J791:J837"/>
    <mergeCell ref="J858:J860"/>
    <mergeCell ref="J862:J864"/>
    <mergeCell ref="J866:J867"/>
    <mergeCell ref="A570:A598"/>
    <mergeCell ref="A258:A298"/>
    <mergeCell ref="J376:J401"/>
    <mergeCell ref="J428:J433"/>
    <mergeCell ref="J518:J528"/>
    <mergeCell ref="J529:J556"/>
    <mergeCell ref="J557:J566"/>
    <mergeCell ref="K518:K528"/>
    <mergeCell ref="K557:K566"/>
    <mergeCell ref="K529:K556"/>
    <mergeCell ref="K376:K433"/>
    <mergeCell ref="G570:K578"/>
    <mergeCell ref="A64:A254"/>
    <mergeCell ref="K83:K96"/>
    <mergeCell ref="K97:K109"/>
    <mergeCell ref="K110:K139"/>
    <mergeCell ref="K141:K142"/>
    <mergeCell ref="A376:A433"/>
    <mergeCell ref="J421:J427"/>
    <mergeCell ref="J417:J419"/>
    <mergeCell ref="J415:J416"/>
    <mergeCell ref="A32:A63"/>
    <mergeCell ref="J32:J63"/>
    <mergeCell ref="J237:J242"/>
    <mergeCell ref="J244:J246"/>
    <mergeCell ref="J248:J249"/>
    <mergeCell ref="J251:J254"/>
    <mergeCell ref="L232:N235"/>
    <mergeCell ref="R800:T801"/>
    <mergeCell ref="L791:N793"/>
    <mergeCell ref="A338:A373"/>
    <mergeCell ref="J143:J180"/>
    <mergeCell ref="J181:J205"/>
    <mergeCell ref="J140:J142"/>
    <mergeCell ref="J778:J790"/>
    <mergeCell ref="A434:A452"/>
    <mergeCell ref="J434:J452"/>
    <mergeCell ref="L125:T125"/>
    <mergeCell ref="R218:T219"/>
    <mergeCell ref="R221:T222"/>
    <mergeCell ref="A456:A483"/>
    <mergeCell ref="A599:A664"/>
    <mergeCell ref="A665:A695"/>
    <mergeCell ref="A484:A566"/>
    <mergeCell ref="A299:A334"/>
    <mergeCell ref="A1317:I1317"/>
    <mergeCell ref="U1193:W1201"/>
    <mergeCell ref="X1193:Z1201"/>
    <mergeCell ref="U800:W801"/>
    <mergeCell ref="U869:Z873"/>
    <mergeCell ref="AA862:AD863"/>
    <mergeCell ref="AA864:AD864"/>
    <mergeCell ref="AA866:AD866"/>
    <mergeCell ref="AA867:AD867"/>
    <mergeCell ref="AA858:AD858"/>
    <mergeCell ref="A1314:J1314"/>
    <mergeCell ref="A1316:I1316"/>
    <mergeCell ref="A1193:A1218"/>
    <mergeCell ref="L1202:T1202"/>
    <mergeCell ref="L1207:T1207"/>
    <mergeCell ref="L1193:N1201"/>
    <mergeCell ref="AA1215:AD1218"/>
    <mergeCell ref="X890:Z891"/>
    <mergeCell ref="K993:K1005"/>
    <mergeCell ref="AA897:AC897"/>
    <mergeCell ref="AA901:AC901"/>
    <mergeCell ref="L897:N897"/>
    <mergeCell ref="K1053:K1098"/>
    <mergeCell ref="U877:W889"/>
    <mergeCell ref="AL32:AL63"/>
    <mergeCell ref="AJ32:AJ63"/>
    <mergeCell ref="AK32:AK39"/>
    <mergeCell ref="AK40:AK48"/>
    <mergeCell ref="AK49:AK56"/>
    <mergeCell ref="AK57:AK63"/>
    <mergeCell ref="AE32:AF63"/>
    <mergeCell ref="AL64:AL254"/>
    <mergeCell ref="AK64:AK73"/>
    <mergeCell ref="AK74:AK82"/>
    <mergeCell ref="AK97:AK109"/>
    <mergeCell ref="AG223:AI223"/>
    <mergeCell ref="AK143:AK180"/>
    <mergeCell ref="AK181:AK205"/>
    <mergeCell ref="AG225:AI226"/>
    <mergeCell ref="AG228:AI231"/>
    <mergeCell ref="AG251:AI254"/>
    <mergeCell ref="AG83:AI83"/>
    <mergeCell ref="AG86:AI86"/>
    <mergeCell ref="AG90:AI92"/>
    <mergeCell ref="AG244:AI245"/>
    <mergeCell ref="AK110:AK118"/>
    <mergeCell ref="AG195:AI196"/>
    <mergeCell ref="AG119:AI122"/>
    <mergeCell ref="U1211:Z1211"/>
    <mergeCell ref="U1214:Z1214"/>
    <mergeCell ref="AE1125:AF1151"/>
    <mergeCell ref="AG216:AI216"/>
    <mergeCell ref="L238:T238"/>
    <mergeCell ref="L248:T248"/>
    <mergeCell ref="L244:N245"/>
    <mergeCell ref="L251:N254"/>
    <mergeCell ref="L1204:T1204"/>
    <mergeCell ref="R1208:T1210"/>
    <mergeCell ref="L1187:N1189"/>
    <mergeCell ref="R1172:T1174"/>
    <mergeCell ref="R1176:T1180"/>
    <mergeCell ref="R1183:T1185"/>
    <mergeCell ref="R1187:T1189"/>
    <mergeCell ref="L1212:T1212"/>
    <mergeCell ref="L1176:N1180"/>
    <mergeCell ref="U904:W904"/>
    <mergeCell ref="X893:Z893"/>
    <mergeCell ref="X901:Z901"/>
    <mergeCell ref="X904:Z904"/>
    <mergeCell ref="L902:T902"/>
    <mergeCell ref="L1183:N1185"/>
    <mergeCell ref="AA238:AD238"/>
    <mergeCell ref="AJ1193:AJ1218"/>
    <mergeCell ref="J1193:J1201"/>
    <mergeCell ref="J1203:J1206"/>
    <mergeCell ref="J1208:J1210"/>
    <mergeCell ref="J1212:J1213"/>
    <mergeCell ref="J1215:J1218"/>
    <mergeCell ref="AG218:AI219"/>
    <mergeCell ref="AG221:AI222"/>
    <mergeCell ref="AA218:AD219"/>
    <mergeCell ref="AA221:AD222"/>
    <mergeCell ref="AG232:AI235"/>
    <mergeCell ref="AA232:AD235"/>
    <mergeCell ref="R223:T223"/>
    <mergeCell ref="U223:W223"/>
    <mergeCell ref="X223:Z223"/>
    <mergeCell ref="R225:T226"/>
    <mergeCell ref="U225:W226"/>
    <mergeCell ref="X225:Z226"/>
    <mergeCell ref="R228:T231"/>
    <mergeCell ref="U228:W231"/>
    <mergeCell ref="X228:Z231"/>
    <mergeCell ref="R232:T235"/>
    <mergeCell ref="AG238:AI238"/>
    <mergeCell ref="AG248:AI248"/>
    <mergeCell ref="AJ5:AJ31"/>
    <mergeCell ref="AA248:AD248"/>
    <mergeCell ref="AA244:AD245"/>
    <mergeCell ref="AA251:AD254"/>
    <mergeCell ref="R244:T245"/>
    <mergeCell ref="U244:W245"/>
    <mergeCell ref="X244:Z245"/>
    <mergeCell ref="R251:T254"/>
    <mergeCell ref="U251:W254"/>
    <mergeCell ref="X251:Z254"/>
    <mergeCell ref="AG140:AI142"/>
    <mergeCell ref="U143:W162"/>
    <mergeCell ref="AG181:AI188"/>
    <mergeCell ref="U202:W205"/>
    <mergeCell ref="X202:Z205"/>
    <mergeCell ref="AA202:AD205"/>
    <mergeCell ref="AA217:AD217"/>
    <mergeCell ref="AG217:AI217"/>
    <mergeCell ref="X221:Z222"/>
    <mergeCell ref="U217:Z217"/>
    <mergeCell ref="AE64:AF254"/>
    <mergeCell ref="AG136:AI139"/>
    <mergeCell ref="AG133:AI133"/>
    <mergeCell ref="R195:T196"/>
    <mergeCell ref="AE376:AF433"/>
    <mergeCell ref="AA417:AD418"/>
    <mergeCell ref="L136:T139"/>
    <mergeCell ref="AG206:AI214"/>
    <mergeCell ref="AA206:AD214"/>
    <mergeCell ref="AG191:AI191"/>
    <mergeCell ref="AG199:AI199"/>
    <mergeCell ref="A5:A31"/>
    <mergeCell ref="B5:B31"/>
    <mergeCell ref="J5:J31"/>
    <mergeCell ref="AE5:AF31"/>
    <mergeCell ref="K32:K48"/>
    <mergeCell ref="K49:K56"/>
    <mergeCell ref="K57:K63"/>
    <mergeCell ref="K64:K82"/>
    <mergeCell ref="AA421:AD426"/>
    <mergeCell ref="U417:W418"/>
    <mergeCell ref="AE338:AF373"/>
    <mergeCell ref="U420:AD420"/>
    <mergeCell ref="U403:W407"/>
    <mergeCell ref="X403:Z407"/>
    <mergeCell ref="AA403:AD407"/>
    <mergeCell ref="X417:Z418"/>
    <mergeCell ref="AE258:AF334"/>
    <mergeCell ref="J411:J412"/>
    <mergeCell ref="U409:AD410"/>
    <mergeCell ref="U411:AD411"/>
    <mergeCell ref="U413:AD413"/>
    <mergeCell ref="L415:T416"/>
    <mergeCell ref="L420:T420"/>
    <mergeCell ref="L411:T411"/>
    <mergeCell ref="R403:T407"/>
    <mergeCell ref="AK5:AK31"/>
    <mergeCell ref="L5:N31"/>
    <mergeCell ref="R5:T31"/>
    <mergeCell ref="U5:W31"/>
    <mergeCell ref="X5:Z31"/>
    <mergeCell ref="AG5:AI31"/>
    <mergeCell ref="AA5:AD31"/>
    <mergeCell ref="K5:K31"/>
    <mergeCell ref="J409:J410"/>
    <mergeCell ref="J402:J408"/>
    <mergeCell ref="AK389:AK401"/>
    <mergeCell ref="AK402:AK427"/>
    <mergeCell ref="L403:N407"/>
    <mergeCell ref="L417:N418"/>
    <mergeCell ref="L421:N426"/>
    <mergeCell ref="L413:T413"/>
    <mergeCell ref="AG894:AI894"/>
    <mergeCell ref="R859:T860"/>
    <mergeCell ref="U859:W860"/>
    <mergeCell ref="X859:Z860"/>
    <mergeCell ref="AG859:AI860"/>
    <mergeCell ref="AE841:AF873"/>
    <mergeCell ref="R867:T867"/>
    <mergeCell ref="U867:W867"/>
    <mergeCell ref="X867:Z867"/>
    <mergeCell ref="U858:Z858"/>
    <mergeCell ref="L858:T858"/>
    <mergeCell ref="L856:N856"/>
    <mergeCell ref="U856:W856"/>
    <mergeCell ref="AA854:AD855"/>
    <mergeCell ref="AA859:AD860"/>
    <mergeCell ref="L862:T863"/>
    <mergeCell ref="AG856:AI856"/>
    <mergeCell ref="AA856:AD856"/>
    <mergeCell ref="X856:Z856"/>
    <mergeCell ref="L869:T873"/>
    <mergeCell ref="U862:Z863"/>
    <mergeCell ref="AA893:AC893"/>
    <mergeCell ref="L890:N891"/>
    <mergeCell ref="R890:T891"/>
    <mergeCell ref="U890:W891"/>
    <mergeCell ref="AK434:AK442"/>
    <mergeCell ref="AK443:AK452"/>
    <mergeCell ref="AJ443:AJ452"/>
    <mergeCell ref="AE434:AF452"/>
    <mergeCell ref="AJ434:AJ442"/>
    <mergeCell ref="X877:Z889"/>
    <mergeCell ref="R877:T889"/>
    <mergeCell ref="L877:N889"/>
    <mergeCell ref="L540:N548"/>
    <mergeCell ref="AJ610:AJ664"/>
    <mergeCell ref="AK610:AK618"/>
    <mergeCell ref="AK619:AK629"/>
    <mergeCell ref="AK630:AK640"/>
    <mergeCell ref="AK641:AK664"/>
    <mergeCell ref="AA890:AD891"/>
    <mergeCell ref="L854:N855"/>
    <mergeCell ref="U791:W793"/>
    <mergeCell ref="AG734:AI734"/>
    <mergeCell ref="U540:W548"/>
    <mergeCell ref="X540:Z548"/>
    <mergeCell ref="X898:Z899"/>
    <mergeCell ref="V570:Z578"/>
    <mergeCell ref="AE599:AF609"/>
    <mergeCell ref="AJ811:AJ825"/>
    <mergeCell ref="AK778:AK790"/>
    <mergeCell ref="AK791:AK810"/>
    <mergeCell ref="AK811:AK825"/>
    <mergeCell ref="AG791:AI793"/>
    <mergeCell ref="AE752:AF837"/>
    <mergeCell ref="AJ752:AJ777"/>
    <mergeCell ref="AK752:AK777"/>
    <mergeCell ref="AE665:AF695"/>
    <mergeCell ref="AJ665:AJ695"/>
    <mergeCell ref="AK665:AK677"/>
    <mergeCell ref="AE877:AF976"/>
    <mergeCell ref="AA877:AD889"/>
    <mergeCell ref="U898:W899"/>
    <mergeCell ref="U897:W897"/>
    <mergeCell ref="AG898:AI899"/>
    <mergeCell ref="AG905:AI909"/>
    <mergeCell ref="AJ570:AJ598"/>
    <mergeCell ref="AK570:AL578"/>
    <mergeCell ref="AK579:AK589"/>
    <mergeCell ref="AK599:AK609"/>
    <mergeCell ref="K1006:K1052"/>
    <mergeCell ref="L893:N893"/>
    <mergeCell ref="R1018:T1019"/>
    <mergeCell ref="R1020:T1023"/>
    <mergeCell ref="R1027:W1027"/>
    <mergeCell ref="R1036:W1036"/>
    <mergeCell ref="R1037:W1040"/>
    <mergeCell ref="R1029:W1029"/>
    <mergeCell ref="R1030:W1030"/>
    <mergeCell ref="R1032:W1032"/>
    <mergeCell ref="R1033:W1034"/>
    <mergeCell ref="U1018:W1019"/>
    <mergeCell ref="U1020:W1023"/>
    <mergeCell ref="R893:T893"/>
    <mergeCell ref="L894:T894"/>
    <mergeCell ref="U894:AD894"/>
    <mergeCell ref="N2:R2"/>
    <mergeCell ref="L83:R83"/>
    <mergeCell ref="L86:R86"/>
    <mergeCell ref="L90:R92"/>
    <mergeCell ref="S83:AD83"/>
    <mergeCell ref="S86:AD86"/>
    <mergeCell ref="S90:AD92"/>
    <mergeCell ref="U119:AD122"/>
    <mergeCell ref="L133:T133"/>
    <mergeCell ref="L119:T122"/>
    <mergeCell ref="L95:R96"/>
    <mergeCell ref="U125:AD125"/>
    <mergeCell ref="U129:AD130"/>
    <mergeCell ref="L129:T130"/>
    <mergeCell ref="U133:AD133"/>
    <mergeCell ref="AG202:AI205"/>
    <mergeCell ref="U181:W188"/>
    <mergeCell ref="U140:Z142"/>
    <mergeCell ref="U199:AD199"/>
    <mergeCell ref="AG143:AI162"/>
    <mergeCell ref="U206:W214"/>
    <mergeCell ref="X206:Z214"/>
    <mergeCell ref="AG172:AI173"/>
    <mergeCell ref="AA140:AD142"/>
    <mergeCell ref="U195:W196"/>
    <mergeCell ref="X195:Z196"/>
    <mergeCell ref="AA195:AD196"/>
    <mergeCell ref="X181:Z188"/>
    <mergeCell ref="AA181:AD188"/>
    <mergeCell ref="AA143:AD162"/>
    <mergeCell ref="U166:AD166"/>
    <mergeCell ref="U172:AD173"/>
    <mergeCell ref="U177:AD177"/>
    <mergeCell ref="U191:AD191"/>
    <mergeCell ref="L800:N801"/>
    <mergeCell ref="L804:N804"/>
    <mergeCell ref="K641:K664"/>
    <mergeCell ref="L177:T177"/>
    <mergeCell ref="L206:N214"/>
    <mergeCell ref="X143:Z162"/>
    <mergeCell ref="L191:T191"/>
    <mergeCell ref="R181:T188"/>
    <mergeCell ref="L195:N196"/>
    <mergeCell ref="R421:T426"/>
    <mergeCell ref="R417:T418"/>
    <mergeCell ref="U421:W426"/>
    <mergeCell ref="X421:Z426"/>
    <mergeCell ref="U415:AD416"/>
    <mergeCell ref="L409:T410"/>
    <mergeCell ref="U729:Z729"/>
    <mergeCell ref="L199:T199"/>
    <mergeCell ref="L202:N205"/>
    <mergeCell ref="R202:T205"/>
    <mergeCell ref="O469:Q469"/>
    <mergeCell ref="U218:W219"/>
    <mergeCell ref="X218:Z219"/>
    <mergeCell ref="U221:W222"/>
    <mergeCell ref="U232:W235"/>
    <mergeCell ref="J1110:J1121"/>
    <mergeCell ref="A778:A837"/>
    <mergeCell ref="A993:A1121"/>
    <mergeCell ref="AG177:AI177"/>
    <mergeCell ref="K443:K452"/>
    <mergeCell ref="R854:T855"/>
    <mergeCell ref="L140:T142"/>
    <mergeCell ref="K434:K442"/>
    <mergeCell ref="K181:K231"/>
    <mergeCell ref="K232:K254"/>
    <mergeCell ref="K258:K334"/>
    <mergeCell ref="R795:T795"/>
    <mergeCell ref="K752:K837"/>
    <mergeCell ref="K841:K873"/>
    <mergeCell ref="R206:T214"/>
    <mergeCell ref="L859:N860"/>
    <mergeCell ref="O724:T728"/>
    <mergeCell ref="O729:T729"/>
    <mergeCell ref="K338:K373"/>
    <mergeCell ref="L867:N867"/>
    <mergeCell ref="K579:K609"/>
    <mergeCell ref="R216:T216"/>
    <mergeCell ref="K699:K748"/>
    <mergeCell ref="L795:N795"/>
    <mergeCell ref="A945:A976"/>
    <mergeCell ref="A841:A873"/>
    <mergeCell ref="J890:J892"/>
    <mergeCell ref="J894:J896"/>
    <mergeCell ref="A752:A777"/>
    <mergeCell ref="J752:J777"/>
    <mergeCell ref="J869:J873"/>
    <mergeCell ref="J1006:J1017"/>
    <mergeCell ref="J1037:J1040"/>
    <mergeCell ref="J841:J853"/>
    <mergeCell ref="J854:J856"/>
    <mergeCell ref="J955:J965"/>
    <mergeCell ref="J966:J976"/>
    <mergeCell ref="J980:J992"/>
    <mergeCell ref="A699:A748"/>
    <mergeCell ref="J699:J723"/>
    <mergeCell ref="J724:J748"/>
    <mergeCell ref="L864:N864"/>
    <mergeCell ref="AK955:AK965"/>
    <mergeCell ref="AJ945:AJ954"/>
    <mergeCell ref="AJ966:AJ976"/>
    <mergeCell ref="AG864:AI864"/>
    <mergeCell ref="AG866:AI866"/>
    <mergeCell ref="AG862:AI863"/>
    <mergeCell ref="AG854:AI855"/>
    <mergeCell ref="AG867:AI867"/>
    <mergeCell ref="AK945:AK954"/>
    <mergeCell ref="AK966:AK976"/>
    <mergeCell ref="AG901:AI901"/>
    <mergeCell ref="AK877:AK889"/>
    <mergeCell ref="AJ955:AJ965"/>
    <mergeCell ref="AG890:AI891"/>
    <mergeCell ref="U902:AD902"/>
    <mergeCell ref="AK925:AK933"/>
    <mergeCell ref="AK934:AK944"/>
    <mergeCell ref="AG897:AI897"/>
    <mergeCell ref="AG893:AI893"/>
    <mergeCell ref="R901:T901"/>
    <mergeCell ref="AK980:AK992"/>
    <mergeCell ref="A980:A992"/>
    <mergeCell ref="K980:K992"/>
    <mergeCell ref="AE980:AF992"/>
    <mergeCell ref="AJ980:AJ992"/>
    <mergeCell ref="AL484:AL566"/>
    <mergeCell ref="AG540:AI548"/>
    <mergeCell ref="AA540:AD548"/>
    <mergeCell ref="O551:Q556"/>
    <mergeCell ref="R551:T556"/>
    <mergeCell ref="U551:W556"/>
    <mergeCell ref="X551:Z556"/>
    <mergeCell ref="AG551:AI556"/>
    <mergeCell ref="AA551:AD556"/>
    <mergeCell ref="AE484:AF517"/>
    <mergeCell ref="AJ484:AJ517"/>
    <mergeCell ref="AK484:AK497"/>
    <mergeCell ref="AK498:AK506"/>
    <mergeCell ref="AK507:AK517"/>
    <mergeCell ref="AE518:AF566"/>
    <mergeCell ref="AJ518:AJ566"/>
    <mergeCell ref="AK557:AK566"/>
    <mergeCell ref="AK529:AK556"/>
    <mergeCell ref="AK518:AK528"/>
    <mergeCell ref="AJ993:AJ1109"/>
    <mergeCell ref="AK993:AK1005"/>
    <mergeCell ref="AK1006:AK1040"/>
    <mergeCell ref="AK1041:AK1052"/>
    <mergeCell ref="AK1053:AK1064"/>
    <mergeCell ref="AK1065:AK1098"/>
    <mergeCell ref="AK1099:AK1109"/>
    <mergeCell ref="J993:J1005"/>
    <mergeCell ref="J1018:J1019"/>
    <mergeCell ref="J1020:J1023"/>
    <mergeCell ref="J1024:J1025"/>
    <mergeCell ref="J1027:J1028"/>
    <mergeCell ref="J1030:J1031"/>
    <mergeCell ref="J1033:J1035"/>
    <mergeCell ref="J1041:J1052"/>
    <mergeCell ref="J1053:J1098"/>
    <mergeCell ref="J1099:J1109"/>
    <mergeCell ref="L1027:Q1027"/>
    <mergeCell ref="L1030:Q1030"/>
    <mergeCell ref="L1033:Q1034"/>
    <mergeCell ref="L1037:Q1040"/>
    <mergeCell ref="O1018:Q1019"/>
    <mergeCell ref="O1020:Q1023"/>
    <mergeCell ref="L1018:N1019"/>
    <mergeCell ref="AG1018:AI1019"/>
    <mergeCell ref="AG1024:AI1024"/>
    <mergeCell ref="AG1027:AI1027"/>
    <mergeCell ref="AG1030:AI1030"/>
    <mergeCell ref="AG1026:AI1026"/>
    <mergeCell ref="AG1029:AI1029"/>
    <mergeCell ref="AG1032:AI1032"/>
    <mergeCell ref="AG1036:AI1036"/>
    <mergeCell ref="AG1037:AI1040"/>
    <mergeCell ref="AG1033:AI1034"/>
    <mergeCell ref="AG1020:AI1023"/>
    <mergeCell ref="X1018:Z1019"/>
    <mergeCell ref="X1020:Z1023"/>
    <mergeCell ref="R1024:W1024"/>
    <mergeCell ref="R1026:W1026"/>
    <mergeCell ref="X1033:AD1034"/>
    <mergeCell ref="X1036:AD1036"/>
    <mergeCell ref="X1037:AD1040"/>
    <mergeCell ref="AA1018:AD1019"/>
    <mergeCell ref="AA1020:AD1023"/>
    <mergeCell ref="X1024:AD1024"/>
    <mergeCell ref="X1026:AD1026"/>
    <mergeCell ref="X1027:AD1027"/>
    <mergeCell ref="X1029:AD1029"/>
    <mergeCell ref="AG1282:AI1283"/>
    <mergeCell ref="AG1297:AI1305"/>
    <mergeCell ref="L1282:Q1283"/>
    <mergeCell ref="L1297:Q1305"/>
    <mergeCell ref="R1282:W1283"/>
    <mergeCell ref="X1282:AD1283"/>
    <mergeCell ref="R1297:W1305"/>
    <mergeCell ref="X1297:AD1305"/>
    <mergeCell ref="X1030:AD1030"/>
    <mergeCell ref="X1032:AD1032"/>
    <mergeCell ref="AE993:AF1040"/>
    <mergeCell ref="L1020:N1023"/>
    <mergeCell ref="L1026:Q1026"/>
    <mergeCell ref="L1029:Q1029"/>
    <mergeCell ref="L1032:Q1032"/>
    <mergeCell ref="L1036:Q1036"/>
    <mergeCell ref="L1024:Q1024"/>
    <mergeCell ref="AG1193:AI1201"/>
    <mergeCell ref="AA1193:AD1201"/>
    <mergeCell ref="AG1204:AI1204"/>
    <mergeCell ref="U1204:AD1204"/>
    <mergeCell ref="AG1208:AI1210"/>
    <mergeCell ref="AA1208:AD1210"/>
    <mergeCell ref="AG1212:AI12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41"/>
  <sheetViews>
    <sheetView workbookViewId="0">
      <pane ySplit="1" topLeftCell="A2" activePane="bottomLeft" state="frozen"/>
      <selection pane="bottomLeft" activeCell="A9" sqref="A9:XFD9"/>
    </sheetView>
  </sheetViews>
  <sheetFormatPr defaultRowHeight="11.25"/>
  <cols>
    <col min="1" max="1" width="6.88671875" style="1" bestFit="1" customWidth="1"/>
    <col min="2" max="2" width="6.33203125" style="41" bestFit="1" customWidth="1"/>
    <col min="3" max="3" width="2.77734375" style="1" bestFit="1" customWidth="1"/>
    <col min="4" max="4" width="43.6640625" style="1" customWidth="1"/>
    <col min="5" max="5" width="13.21875" style="1" bestFit="1" customWidth="1"/>
    <col min="6" max="6" width="8.21875" style="1" bestFit="1" customWidth="1"/>
    <col min="7" max="7" width="5.6640625" style="1" bestFit="1" customWidth="1"/>
    <col min="8" max="8" width="29.88671875" style="1" bestFit="1" customWidth="1"/>
    <col min="9" max="10" width="8.88671875" style="1"/>
    <col min="11" max="11" width="18.109375" style="1" bestFit="1" customWidth="1"/>
    <col min="12" max="12" width="12.109375" style="1" bestFit="1" customWidth="1"/>
    <col min="13" max="13" width="8.88671875" style="1"/>
    <col min="14" max="14" width="16.77734375" style="1" bestFit="1" customWidth="1"/>
    <col min="15" max="16" width="8.88671875" style="1"/>
    <col min="17" max="17" width="35.5546875" style="1" bestFit="1" customWidth="1"/>
    <col min="18" max="19" width="8.88671875" style="1"/>
    <col min="20" max="20" width="11.88671875" style="1" bestFit="1" customWidth="1"/>
    <col min="21" max="21" width="11" style="1" bestFit="1" customWidth="1"/>
    <col min="22" max="22" width="8.77734375" style="1" customWidth="1"/>
    <col min="23" max="23" width="24.88671875" style="1" bestFit="1" customWidth="1"/>
    <col min="24" max="24" width="22.44140625" style="1" bestFit="1" customWidth="1"/>
    <col min="25" max="25" width="14.88671875" style="1" bestFit="1" customWidth="1"/>
    <col min="26" max="26" width="16.33203125" style="1" bestFit="1" customWidth="1"/>
    <col min="27" max="27" width="10.6640625" style="1" bestFit="1" customWidth="1"/>
    <col min="28" max="28" width="10.6640625" style="1" customWidth="1"/>
    <col min="29" max="16384" width="8.88671875" style="1"/>
  </cols>
  <sheetData>
    <row r="1" spans="1:28">
      <c r="A1" s="289" t="s">
        <v>107</v>
      </c>
      <c r="B1" s="277" t="s">
        <v>90</v>
      </c>
      <c r="C1" s="276">
        <v>219</v>
      </c>
      <c r="D1" s="276" t="s">
        <v>93</v>
      </c>
      <c r="E1" s="278" t="s">
        <v>91</v>
      </c>
      <c r="F1" s="278" t="s">
        <v>97</v>
      </c>
      <c r="G1" s="278" t="s">
        <v>98</v>
      </c>
      <c r="H1" s="281" t="s">
        <v>96</v>
      </c>
      <c r="I1" s="282" t="s">
        <v>97</v>
      </c>
      <c r="J1" s="282" t="s">
        <v>98</v>
      </c>
      <c r="K1" s="279" t="s">
        <v>99</v>
      </c>
      <c r="L1" s="280" t="s">
        <v>97</v>
      </c>
      <c r="M1" s="280" t="s">
        <v>98</v>
      </c>
      <c r="N1" s="281" t="s">
        <v>102</v>
      </c>
      <c r="O1" s="282" t="s">
        <v>97</v>
      </c>
      <c r="P1" s="282" t="s">
        <v>98</v>
      </c>
      <c r="Q1" s="279" t="s">
        <v>103</v>
      </c>
      <c r="R1" s="280" t="s">
        <v>97</v>
      </c>
      <c r="S1" s="280" t="s">
        <v>98</v>
      </c>
      <c r="T1" s="282" t="s">
        <v>353</v>
      </c>
      <c r="U1" s="281"/>
      <c r="V1" s="281" t="s">
        <v>356</v>
      </c>
      <c r="W1" s="283" t="s">
        <v>276</v>
      </c>
      <c r="X1" s="283" t="s">
        <v>338</v>
      </c>
      <c r="Y1" s="283" t="s">
        <v>339</v>
      </c>
      <c r="Z1" s="283" t="s">
        <v>340</v>
      </c>
      <c r="AA1" s="283" t="s">
        <v>409</v>
      </c>
      <c r="AB1" s="283" t="s">
        <v>704</v>
      </c>
    </row>
    <row r="2" spans="1:28">
      <c r="A2" s="290"/>
      <c r="B2" s="284"/>
      <c r="C2" s="283"/>
      <c r="D2" s="283"/>
      <c r="E2" s="283"/>
      <c r="F2" s="283"/>
      <c r="G2" s="285">
        <f>F2/340.75</f>
        <v>0</v>
      </c>
      <c r="H2" s="283"/>
      <c r="I2" s="283"/>
      <c r="J2" s="283"/>
      <c r="K2" s="283"/>
      <c r="L2" s="283"/>
      <c r="M2" s="285">
        <f>L2/340.75</f>
        <v>0</v>
      </c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</row>
    <row r="3" spans="1:28" s="811" customFormat="1">
      <c r="A3" s="292">
        <v>26158</v>
      </c>
      <c r="B3" s="649">
        <v>363</v>
      </c>
      <c r="C3" s="809">
        <v>24</v>
      </c>
      <c r="D3" s="809" t="s">
        <v>634</v>
      </c>
      <c r="E3" s="809" t="s">
        <v>625</v>
      </c>
      <c r="F3" s="649">
        <v>500</v>
      </c>
      <c r="G3" s="810">
        <f t="shared" ref="G3:G17" si="0">F3/340.75</f>
        <v>1.467351430667645</v>
      </c>
      <c r="H3" s="322"/>
      <c r="I3" s="809"/>
      <c r="J3" s="809"/>
      <c r="K3" s="809"/>
      <c r="L3" s="809"/>
      <c r="M3" s="810"/>
      <c r="N3" s="809"/>
      <c r="O3" s="809"/>
      <c r="P3" s="809"/>
      <c r="Q3" s="809" t="s">
        <v>632</v>
      </c>
      <c r="R3" s="809"/>
      <c r="S3" s="809"/>
      <c r="T3" s="809"/>
      <c r="U3" s="809"/>
      <c r="V3" s="809"/>
      <c r="W3" s="809"/>
      <c r="X3" s="809"/>
      <c r="Y3" s="809"/>
      <c r="Z3" s="809"/>
      <c r="AA3" s="809"/>
      <c r="AB3" s="809"/>
    </row>
    <row r="4" spans="1:28">
      <c r="A4" s="290">
        <v>26597</v>
      </c>
      <c r="B4" s="284">
        <v>11111</v>
      </c>
      <c r="C4" s="283">
        <v>27</v>
      </c>
      <c r="D4" s="283" t="s">
        <v>756</v>
      </c>
      <c r="E4" s="283" t="s">
        <v>186</v>
      </c>
      <c r="F4" s="284">
        <v>500</v>
      </c>
      <c r="G4" s="285">
        <f t="shared" si="0"/>
        <v>1.467351430667645</v>
      </c>
      <c r="H4" s="286" t="s">
        <v>100</v>
      </c>
      <c r="I4" s="283"/>
      <c r="J4" s="283"/>
      <c r="K4" s="286" t="s">
        <v>100</v>
      </c>
      <c r="L4" s="283"/>
      <c r="M4" s="285">
        <f t="shared" ref="M4:M20" si="1">L4/340.75</f>
        <v>0</v>
      </c>
      <c r="N4" s="286" t="s">
        <v>100</v>
      </c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</row>
    <row r="5" spans="1:28">
      <c r="A5" s="328">
        <v>27106</v>
      </c>
      <c r="B5" s="284">
        <v>11882</v>
      </c>
      <c r="C5" s="283">
        <v>60</v>
      </c>
      <c r="D5" s="283" t="s">
        <v>375</v>
      </c>
      <c r="E5" s="283" t="s">
        <v>186</v>
      </c>
      <c r="F5" s="286" t="s">
        <v>100</v>
      </c>
      <c r="G5" s="285"/>
      <c r="H5" s="286" t="s">
        <v>100</v>
      </c>
      <c r="I5" s="283"/>
      <c r="J5" s="283"/>
      <c r="K5" s="286" t="s">
        <v>100</v>
      </c>
      <c r="L5" s="283"/>
      <c r="M5" s="285">
        <f t="shared" ref="M5" si="2">L5/340.75</f>
        <v>0</v>
      </c>
      <c r="N5" s="286" t="s">
        <v>100</v>
      </c>
      <c r="O5" s="283"/>
      <c r="P5" s="283"/>
      <c r="Q5" s="286" t="s">
        <v>100</v>
      </c>
      <c r="R5" s="283"/>
      <c r="S5" s="283"/>
      <c r="T5" s="286" t="s">
        <v>121</v>
      </c>
      <c r="U5" s="283"/>
      <c r="V5" s="283"/>
      <c r="W5" s="286" t="s">
        <v>121</v>
      </c>
      <c r="X5" s="286" t="s">
        <v>121</v>
      </c>
      <c r="Y5" s="286" t="s">
        <v>121</v>
      </c>
      <c r="Z5" s="286" t="s">
        <v>121</v>
      </c>
      <c r="AA5" s="283"/>
      <c r="AB5" s="283"/>
    </row>
    <row r="6" spans="1:28">
      <c r="A6" s="290">
        <v>29952</v>
      </c>
      <c r="B6" s="576" t="s">
        <v>347</v>
      </c>
      <c r="C6" s="283">
        <v>60</v>
      </c>
      <c r="D6" s="283" t="s">
        <v>379</v>
      </c>
      <c r="E6" s="283" t="s">
        <v>95</v>
      </c>
      <c r="F6" s="286" t="s">
        <v>121</v>
      </c>
      <c r="G6" s="283"/>
      <c r="H6" s="283"/>
      <c r="I6" s="283"/>
      <c r="J6" s="283"/>
      <c r="K6" s="283"/>
      <c r="L6" s="283"/>
      <c r="M6" s="285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</row>
    <row r="7" spans="1:28">
      <c r="A7" s="290">
        <v>30183</v>
      </c>
      <c r="B7" s="576" t="s">
        <v>435</v>
      </c>
      <c r="C7" s="283">
        <v>27</v>
      </c>
      <c r="D7" s="283" t="s">
        <v>380</v>
      </c>
      <c r="E7" s="283" t="s">
        <v>95</v>
      </c>
      <c r="F7" s="286" t="s">
        <v>121</v>
      </c>
      <c r="G7" s="285"/>
      <c r="H7" s="283" t="s">
        <v>392</v>
      </c>
      <c r="I7" s="286" t="s">
        <v>121</v>
      </c>
      <c r="J7" s="283"/>
      <c r="K7" s="578"/>
      <c r="L7" s="578"/>
      <c r="M7" s="579"/>
      <c r="N7" s="283" t="s">
        <v>393</v>
      </c>
      <c r="O7" s="286" t="s">
        <v>121</v>
      </c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  <c r="AA7" s="283"/>
      <c r="AB7" s="283"/>
    </row>
    <row r="8" spans="1:28">
      <c r="A8" s="290">
        <v>32394</v>
      </c>
      <c r="B8" s="576" t="s">
        <v>231</v>
      </c>
      <c r="C8" s="283">
        <v>16</v>
      </c>
      <c r="D8" s="283" t="s">
        <v>256</v>
      </c>
      <c r="E8" s="283" t="s">
        <v>95</v>
      </c>
      <c r="F8" s="284">
        <v>1000</v>
      </c>
      <c r="G8" s="285">
        <f t="shared" si="0"/>
        <v>2.9347028613352899</v>
      </c>
      <c r="H8" s="283" t="s">
        <v>125</v>
      </c>
      <c r="I8" s="286" t="s">
        <v>121</v>
      </c>
      <c r="J8" s="285"/>
      <c r="K8" s="322" t="s">
        <v>127</v>
      </c>
      <c r="L8" s="284">
        <v>1000</v>
      </c>
      <c r="M8" s="285">
        <f t="shared" si="1"/>
        <v>2.9347028613352899</v>
      </c>
      <c r="N8" s="286" t="s">
        <v>100</v>
      </c>
      <c r="O8" s="286" t="s">
        <v>100</v>
      </c>
      <c r="P8" s="285"/>
      <c r="Q8" s="283" t="s">
        <v>101</v>
      </c>
      <c r="R8" s="286" t="s">
        <v>100</v>
      </c>
      <c r="S8" s="285"/>
      <c r="T8" s="283"/>
      <c r="U8" s="283"/>
      <c r="V8" s="283"/>
      <c r="W8" s="283"/>
      <c r="X8" s="283"/>
      <c r="Y8" s="283"/>
      <c r="Z8" s="283"/>
      <c r="AA8" s="283"/>
      <c r="AB8" s="283"/>
    </row>
    <row r="9" spans="1:28" s="104" customFormat="1">
      <c r="A9" s="365">
        <v>32480</v>
      </c>
      <c r="B9" s="576" t="s">
        <v>787</v>
      </c>
      <c r="C9" s="368">
        <v>170</v>
      </c>
      <c r="D9" s="283" t="s">
        <v>788</v>
      </c>
      <c r="E9" s="283" t="s">
        <v>95</v>
      </c>
      <c r="F9" s="284">
        <v>1000</v>
      </c>
      <c r="G9" s="285">
        <f t="shared" si="0"/>
        <v>2.9347028613352899</v>
      </c>
      <c r="H9" s="368" t="s">
        <v>789</v>
      </c>
      <c r="I9" s="286" t="s">
        <v>121</v>
      </c>
      <c r="J9" s="369"/>
      <c r="K9" s="519" t="s">
        <v>552</v>
      </c>
      <c r="L9" s="418"/>
      <c r="M9" s="369"/>
      <c r="N9" s="519" t="s">
        <v>551</v>
      </c>
      <c r="O9" s="419"/>
      <c r="P9" s="369"/>
      <c r="Q9" s="368"/>
      <c r="R9" s="419"/>
      <c r="S9" s="369"/>
      <c r="T9" s="368"/>
      <c r="U9" s="368"/>
      <c r="V9" s="368"/>
      <c r="W9" s="368"/>
      <c r="X9" s="368"/>
      <c r="Y9" s="368"/>
      <c r="Z9" s="368"/>
      <c r="AA9" s="368"/>
      <c r="AB9" s="368"/>
    </row>
    <row r="10" spans="1:28" s="104" customFormat="1">
      <c r="A10" s="365">
        <v>32480</v>
      </c>
      <c r="B10" s="576" t="s">
        <v>548</v>
      </c>
      <c r="C10" s="368">
        <v>170</v>
      </c>
      <c r="D10" s="283" t="s">
        <v>549</v>
      </c>
      <c r="E10" s="283" t="s">
        <v>95</v>
      </c>
      <c r="F10" s="284">
        <v>1000</v>
      </c>
      <c r="G10" s="285">
        <f t="shared" ref="G10" si="3">F10/340.75</f>
        <v>2.9347028613352899</v>
      </c>
      <c r="H10" s="368" t="s">
        <v>550</v>
      </c>
      <c r="I10" s="286" t="s">
        <v>121</v>
      </c>
      <c r="J10" s="369"/>
      <c r="K10" s="519" t="s">
        <v>552</v>
      </c>
      <c r="L10" s="418"/>
      <c r="M10" s="369"/>
      <c r="N10" s="519" t="s">
        <v>551</v>
      </c>
      <c r="O10" s="419"/>
      <c r="P10" s="369"/>
      <c r="Q10" s="368"/>
      <c r="R10" s="419"/>
      <c r="S10" s="369"/>
      <c r="T10" s="368"/>
      <c r="U10" s="368"/>
      <c r="V10" s="368"/>
      <c r="W10" s="368"/>
      <c r="X10" s="368"/>
      <c r="Y10" s="368"/>
      <c r="Z10" s="368"/>
      <c r="AA10" s="368"/>
      <c r="AB10" s="368"/>
    </row>
    <row r="11" spans="1:28">
      <c r="A11" s="290">
        <v>32508</v>
      </c>
      <c r="B11" s="576" t="s">
        <v>346</v>
      </c>
      <c r="C11" s="283">
        <v>21</v>
      </c>
      <c r="D11" s="283" t="s">
        <v>376</v>
      </c>
      <c r="E11" s="283" t="s">
        <v>95</v>
      </c>
      <c r="F11" s="284">
        <v>1000</v>
      </c>
      <c r="G11" s="285">
        <f t="shared" si="0"/>
        <v>2.9347028613352899</v>
      </c>
      <c r="H11" s="283" t="s">
        <v>357</v>
      </c>
      <c r="I11" s="286" t="s">
        <v>121</v>
      </c>
      <c r="J11" s="283"/>
      <c r="K11" s="283" t="s">
        <v>358</v>
      </c>
      <c r="L11" s="286" t="s">
        <v>121</v>
      </c>
      <c r="M11" s="285"/>
      <c r="N11" s="286" t="s">
        <v>100</v>
      </c>
      <c r="O11" s="283"/>
      <c r="P11" s="283"/>
      <c r="Q11" s="283" t="s">
        <v>101</v>
      </c>
      <c r="R11" s="286" t="s">
        <v>100</v>
      </c>
      <c r="S11" s="283"/>
      <c r="T11" s="283" t="s">
        <v>354</v>
      </c>
      <c r="U11" s="283" t="s">
        <v>355</v>
      </c>
      <c r="V11" s="283" t="s">
        <v>368</v>
      </c>
      <c r="W11" s="286"/>
      <c r="X11" s="286"/>
      <c r="Y11" s="286"/>
      <c r="Z11" s="286"/>
      <c r="AA11" s="286"/>
      <c r="AB11" s="283"/>
    </row>
    <row r="12" spans="1:28" s="583" customFormat="1">
      <c r="A12" s="682">
        <v>32736</v>
      </c>
      <c r="B12" s="576" t="s">
        <v>757</v>
      </c>
      <c r="C12" s="150">
        <v>173</v>
      </c>
      <c r="D12" s="283" t="s">
        <v>758</v>
      </c>
      <c r="E12" s="283" t="s">
        <v>95</v>
      </c>
      <c r="F12" s="284">
        <v>1000</v>
      </c>
      <c r="G12" s="285">
        <f t="shared" ref="G12" si="4">F12/340.75</f>
        <v>2.9347028613352899</v>
      </c>
      <c r="H12" s="150" t="s">
        <v>764</v>
      </c>
      <c r="I12" s="286" t="s">
        <v>100</v>
      </c>
      <c r="J12" s="286" t="s">
        <v>100</v>
      </c>
      <c r="K12" s="150" t="s">
        <v>763</v>
      </c>
      <c r="L12" s="286" t="s">
        <v>121</v>
      </c>
      <c r="M12" s="286" t="s">
        <v>121</v>
      </c>
      <c r="N12" s="519" t="s">
        <v>759</v>
      </c>
      <c r="O12" s="286" t="s">
        <v>100</v>
      </c>
      <c r="P12" s="286" t="s">
        <v>100</v>
      </c>
      <c r="Q12" s="150" t="s">
        <v>762</v>
      </c>
      <c r="R12" s="286" t="s">
        <v>100</v>
      </c>
      <c r="S12" s="286" t="s">
        <v>100</v>
      </c>
      <c r="T12" s="150" t="s">
        <v>760</v>
      </c>
      <c r="U12" s="150"/>
      <c r="V12" s="150"/>
      <c r="W12" s="578"/>
      <c r="X12" s="519"/>
      <c r="Y12" s="519"/>
      <c r="Z12" s="829">
        <v>12000</v>
      </c>
      <c r="AA12" s="519"/>
      <c r="AB12" s="150"/>
    </row>
    <row r="13" spans="1:28">
      <c r="A13" s="290">
        <v>32754</v>
      </c>
      <c r="B13" s="576" t="s">
        <v>427</v>
      </c>
      <c r="C13" s="283">
        <v>29</v>
      </c>
      <c r="D13" s="283" t="s">
        <v>684</v>
      </c>
      <c r="E13" s="283" t="s">
        <v>95</v>
      </c>
      <c r="F13" s="284">
        <v>1000</v>
      </c>
      <c r="G13" s="285">
        <f t="shared" si="0"/>
        <v>2.9347028613352899</v>
      </c>
      <c r="H13" s="283" t="s">
        <v>426</v>
      </c>
      <c r="I13" s="286" t="s">
        <v>100</v>
      </c>
      <c r="J13" s="283"/>
      <c r="K13" s="283"/>
      <c r="L13" s="283"/>
      <c r="M13" s="285">
        <f t="shared" si="1"/>
        <v>0</v>
      </c>
      <c r="N13" s="286" t="s">
        <v>100</v>
      </c>
      <c r="O13" s="283"/>
      <c r="P13" s="283"/>
      <c r="Q13" s="283"/>
      <c r="R13" s="283"/>
      <c r="S13" s="283"/>
      <c r="T13" s="647" t="s">
        <v>121</v>
      </c>
      <c r="U13" s="283"/>
      <c r="V13" s="283"/>
      <c r="W13" s="286" t="s">
        <v>121</v>
      </c>
      <c r="X13" s="286" t="s">
        <v>121</v>
      </c>
      <c r="Y13" s="286" t="s">
        <v>121</v>
      </c>
      <c r="Z13" s="286" t="s">
        <v>121</v>
      </c>
      <c r="AA13" s="286" t="s">
        <v>121</v>
      </c>
      <c r="AB13" s="283"/>
    </row>
    <row r="14" spans="1:28">
      <c r="A14" s="290">
        <v>33042</v>
      </c>
      <c r="B14" s="576" t="s">
        <v>471</v>
      </c>
      <c r="C14" s="283">
        <v>23</v>
      </c>
      <c r="D14" s="283" t="s">
        <v>683</v>
      </c>
      <c r="E14" s="283" t="s">
        <v>95</v>
      </c>
      <c r="F14" s="284">
        <v>1000</v>
      </c>
      <c r="G14" s="285">
        <f t="shared" si="0"/>
        <v>2.9347028613352899</v>
      </c>
      <c r="H14" s="283" t="s">
        <v>473</v>
      </c>
      <c r="I14" s="286" t="s">
        <v>100</v>
      </c>
      <c r="J14" s="283"/>
      <c r="K14" s="283" t="s">
        <v>474</v>
      </c>
      <c r="L14" s="284">
        <v>1000</v>
      </c>
      <c r="M14" s="285">
        <f t="shared" si="1"/>
        <v>2.9347028613352899</v>
      </c>
      <c r="N14" s="286" t="s">
        <v>100</v>
      </c>
      <c r="O14" s="283"/>
      <c r="P14" s="283"/>
      <c r="Q14" s="283"/>
      <c r="R14" s="283"/>
      <c r="S14" s="283"/>
      <c r="T14" s="283" t="s">
        <v>475</v>
      </c>
      <c r="U14" s="283"/>
      <c r="V14" s="283"/>
      <c r="W14" s="578"/>
      <c r="X14" s="286" t="s">
        <v>121</v>
      </c>
      <c r="Y14" s="286" t="s">
        <v>121</v>
      </c>
      <c r="Z14" s="284">
        <v>50000</v>
      </c>
      <c r="AA14" s="286" t="s">
        <v>121</v>
      </c>
      <c r="AB14" s="283"/>
    </row>
    <row r="15" spans="1:28" s="104" customFormat="1">
      <c r="A15" s="365">
        <v>34962</v>
      </c>
      <c r="B15" s="576" t="s">
        <v>682</v>
      </c>
      <c r="C15" s="368">
        <v>30</v>
      </c>
      <c r="D15" s="368" t="s">
        <v>687</v>
      </c>
      <c r="E15" s="368" t="s">
        <v>95</v>
      </c>
      <c r="F15" s="418">
        <v>1000</v>
      </c>
      <c r="G15" s="369">
        <f t="shared" si="0"/>
        <v>2.9347028613352899</v>
      </c>
      <c r="H15" s="368" t="s">
        <v>688</v>
      </c>
      <c r="I15" s="286" t="s">
        <v>100</v>
      </c>
      <c r="J15" s="368"/>
      <c r="K15" s="368" t="s">
        <v>689</v>
      </c>
      <c r="L15" s="286" t="s">
        <v>100</v>
      </c>
      <c r="M15" s="369"/>
      <c r="N15" s="519" t="s">
        <v>690</v>
      </c>
      <c r="O15" s="286" t="s">
        <v>100</v>
      </c>
      <c r="P15" s="368"/>
      <c r="Q15" s="368" t="s">
        <v>691</v>
      </c>
      <c r="R15" s="286" t="s">
        <v>100</v>
      </c>
      <c r="S15" s="368"/>
      <c r="T15" s="368" t="s">
        <v>692</v>
      </c>
      <c r="U15" s="368"/>
      <c r="V15" s="368"/>
      <c r="W15" s="578"/>
      <c r="X15" s="286" t="s">
        <v>121</v>
      </c>
      <c r="Y15" s="419"/>
      <c r="Z15" s="418">
        <v>8500</v>
      </c>
      <c r="AA15" s="584"/>
      <c r="AB15" s="368"/>
    </row>
    <row r="16" spans="1:28">
      <c r="A16" s="290">
        <v>34962</v>
      </c>
      <c r="B16" s="576" t="s">
        <v>198</v>
      </c>
      <c r="C16" s="283">
        <v>16</v>
      </c>
      <c r="D16" s="283" t="s">
        <v>377</v>
      </c>
      <c r="E16" s="283" t="s">
        <v>95</v>
      </c>
      <c r="F16" s="284">
        <v>1000</v>
      </c>
      <c r="G16" s="285">
        <f t="shared" si="0"/>
        <v>2.9347028613352899</v>
      </c>
      <c r="H16" s="283" t="s">
        <v>162</v>
      </c>
      <c r="I16" s="286" t="s">
        <v>121</v>
      </c>
      <c r="J16" s="283"/>
      <c r="K16" s="283" t="s">
        <v>163</v>
      </c>
      <c r="L16" s="286" t="s">
        <v>100</v>
      </c>
      <c r="M16" s="285"/>
      <c r="N16" s="283" t="s">
        <v>160</v>
      </c>
      <c r="O16" s="286" t="s">
        <v>100</v>
      </c>
      <c r="P16" s="283"/>
      <c r="Q16" s="283" t="s">
        <v>123</v>
      </c>
      <c r="R16" s="286" t="s">
        <v>100</v>
      </c>
      <c r="S16" s="283"/>
      <c r="T16" s="283"/>
      <c r="U16" s="283"/>
      <c r="V16" s="283"/>
      <c r="W16" s="283"/>
      <c r="X16" s="283"/>
      <c r="Y16" s="283"/>
      <c r="Z16" s="283"/>
      <c r="AA16" s="283"/>
      <c r="AB16" s="285"/>
    </row>
    <row r="17" spans="1:28" s="811" customFormat="1">
      <c r="A17" s="292">
        <v>36788</v>
      </c>
      <c r="B17" s="649">
        <v>27556</v>
      </c>
      <c r="C17" s="809">
        <v>24</v>
      </c>
      <c r="D17" s="809" t="s">
        <v>655</v>
      </c>
      <c r="E17" s="809" t="s">
        <v>656</v>
      </c>
      <c r="F17" s="649">
        <v>1000</v>
      </c>
      <c r="G17" s="810">
        <f t="shared" si="0"/>
        <v>2.9347028613352899</v>
      </c>
      <c r="H17" s="286" t="s">
        <v>100</v>
      </c>
      <c r="I17" s="286" t="s">
        <v>100</v>
      </c>
      <c r="J17" s="286" t="s">
        <v>100</v>
      </c>
      <c r="K17" s="355"/>
      <c r="L17" s="355"/>
      <c r="M17" s="355"/>
      <c r="N17" s="809" t="s">
        <v>657</v>
      </c>
      <c r="O17" s="286" t="s">
        <v>100</v>
      </c>
      <c r="P17" s="286" t="s">
        <v>100</v>
      </c>
      <c r="Q17" s="809" t="s">
        <v>658</v>
      </c>
      <c r="R17" s="286" t="s">
        <v>100</v>
      </c>
      <c r="S17" s="286" t="s">
        <v>100</v>
      </c>
      <c r="T17" s="286" t="s">
        <v>121</v>
      </c>
      <c r="U17" s="809"/>
      <c r="V17" s="809"/>
      <c r="W17" s="809"/>
      <c r="X17" s="809"/>
      <c r="Y17" s="809"/>
      <c r="Z17" s="809"/>
      <c r="AA17" s="809"/>
      <c r="AB17" s="809"/>
    </row>
    <row r="18" spans="1:28" s="583" customFormat="1">
      <c r="A18" s="682">
        <v>38191</v>
      </c>
      <c r="B18" s="826">
        <v>4059</v>
      </c>
      <c r="C18" s="150">
        <v>30</v>
      </c>
      <c r="D18" s="150" t="s">
        <v>703</v>
      </c>
      <c r="E18" s="150" t="s">
        <v>124</v>
      </c>
      <c r="F18" s="394"/>
      <c r="G18" s="582">
        <v>10</v>
      </c>
      <c r="H18" s="808" t="s">
        <v>702</v>
      </c>
      <c r="I18" s="355"/>
      <c r="J18" s="586">
        <v>10</v>
      </c>
      <c r="K18" s="355"/>
      <c r="L18" s="355"/>
      <c r="M18" s="355"/>
      <c r="N18" s="286" t="s">
        <v>100</v>
      </c>
      <c r="O18" s="286" t="s">
        <v>100</v>
      </c>
      <c r="P18" s="519"/>
      <c r="Q18" s="808" t="s">
        <v>701</v>
      </c>
      <c r="R18" s="355"/>
      <c r="S18" s="586">
        <v>10</v>
      </c>
      <c r="T18" s="150"/>
      <c r="U18" s="150"/>
      <c r="V18" s="150"/>
      <c r="W18" s="150"/>
      <c r="X18" s="814"/>
      <c r="Y18" s="809"/>
      <c r="Z18" s="814"/>
      <c r="AA18" s="809"/>
      <c r="AB18" s="810">
        <v>1569.06</v>
      </c>
    </row>
    <row r="19" spans="1:28" s="583" customFormat="1">
      <c r="A19" s="682">
        <v>38198</v>
      </c>
      <c r="B19" s="826">
        <v>4070</v>
      </c>
      <c r="C19" s="150">
        <v>30</v>
      </c>
      <c r="D19" s="150" t="s">
        <v>668</v>
      </c>
      <c r="E19" s="150" t="s">
        <v>124</v>
      </c>
      <c r="F19" s="855"/>
      <c r="G19" s="582">
        <v>74</v>
      </c>
      <c r="H19" s="519" t="s">
        <v>709</v>
      </c>
      <c r="I19" s="814"/>
      <c r="J19" s="286" t="s">
        <v>121</v>
      </c>
      <c r="K19" s="150" t="s">
        <v>708</v>
      </c>
      <c r="L19" s="355"/>
      <c r="M19" s="582">
        <v>74</v>
      </c>
      <c r="N19" s="150" t="s">
        <v>710</v>
      </c>
      <c r="O19" s="355"/>
      <c r="P19" s="586">
        <v>74</v>
      </c>
      <c r="Q19" s="150"/>
      <c r="R19" s="814"/>
      <c r="S19" s="519"/>
      <c r="T19" s="150"/>
      <c r="U19" s="150"/>
      <c r="V19" s="150"/>
      <c r="W19" s="150"/>
      <c r="X19" s="150"/>
      <c r="Y19" s="150"/>
      <c r="Z19" s="150"/>
      <c r="AA19" s="150"/>
      <c r="AB19" s="582"/>
    </row>
    <row r="20" spans="1:28">
      <c r="A20" s="290">
        <v>38707</v>
      </c>
      <c r="B20" s="284">
        <v>18312</v>
      </c>
      <c r="C20" s="283">
        <v>25</v>
      </c>
      <c r="D20" s="368" t="s">
        <v>592</v>
      </c>
      <c r="E20" s="283" t="s">
        <v>593</v>
      </c>
      <c r="F20" s="394"/>
      <c r="G20" s="285">
        <v>10</v>
      </c>
      <c r="H20" s="283"/>
      <c r="I20" s="355"/>
      <c r="J20" s="283"/>
      <c r="K20" s="283"/>
      <c r="L20" s="355"/>
      <c r="M20" s="285">
        <f t="shared" si="1"/>
        <v>0</v>
      </c>
      <c r="N20" s="283"/>
      <c r="O20" s="355"/>
      <c r="P20" s="283"/>
      <c r="Q20" s="283" t="s">
        <v>594</v>
      </c>
      <c r="R20" s="355"/>
      <c r="S20" s="286" t="s">
        <v>121</v>
      </c>
      <c r="T20" s="283"/>
      <c r="U20" s="283"/>
      <c r="V20" s="283"/>
      <c r="W20" s="283"/>
      <c r="X20" s="283"/>
      <c r="Y20" s="283"/>
      <c r="Z20" s="283"/>
      <c r="AA20" s="283"/>
      <c r="AB20" s="285"/>
    </row>
    <row r="21" spans="1:28">
      <c r="A21" s="290">
        <v>39073</v>
      </c>
      <c r="B21" s="284">
        <v>5125</v>
      </c>
      <c r="C21" s="283">
        <v>16</v>
      </c>
      <c r="D21" s="283" t="s">
        <v>259</v>
      </c>
      <c r="E21" s="283" t="s">
        <v>187</v>
      </c>
      <c r="F21" s="394"/>
      <c r="G21" s="286" t="s">
        <v>100</v>
      </c>
      <c r="H21" s="286" t="s">
        <v>100</v>
      </c>
      <c r="I21" s="355"/>
      <c r="J21" s="285"/>
      <c r="K21" s="286" t="s">
        <v>100</v>
      </c>
      <c r="L21" s="355"/>
      <c r="M21" s="285"/>
      <c r="N21" s="286" t="s">
        <v>100</v>
      </c>
      <c r="O21" s="355"/>
      <c r="P21" s="283"/>
      <c r="Q21" s="286" t="s">
        <v>100</v>
      </c>
      <c r="R21" s="355"/>
      <c r="S21" s="283"/>
      <c r="T21" s="283"/>
      <c r="U21" s="283"/>
      <c r="V21" s="283"/>
      <c r="W21" s="283"/>
      <c r="X21" s="283"/>
      <c r="Y21" s="283"/>
      <c r="Z21" s="283"/>
      <c r="AA21" s="283"/>
      <c r="AB21" s="285"/>
    </row>
    <row r="22" spans="1:28">
      <c r="A22" s="290">
        <v>39639</v>
      </c>
      <c r="B22" s="575">
        <v>7952</v>
      </c>
      <c r="C22" s="283">
        <v>26</v>
      </c>
      <c r="D22" s="283" t="s">
        <v>530</v>
      </c>
      <c r="E22" s="283" t="s">
        <v>124</v>
      </c>
      <c r="F22" s="355"/>
      <c r="G22" s="285">
        <v>74</v>
      </c>
      <c r="H22" s="283" t="s">
        <v>531</v>
      </c>
      <c r="I22" s="355"/>
      <c r="J22" s="286" t="s">
        <v>121</v>
      </c>
      <c r="K22" s="283" t="s">
        <v>525</v>
      </c>
      <c r="L22" s="355"/>
      <c r="M22" s="285"/>
      <c r="N22" s="283" t="s">
        <v>532</v>
      </c>
      <c r="O22" s="355"/>
      <c r="P22" s="286" t="s">
        <v>121</v>
      </c>
      <c r="Q22" s="286" t="s">
        <v>151</v>
      </c>
      <c r="R22" s="355"/>
      <c r="S22" s="286" t="s">
        <v>121</v>
      </c>
      <c r="T22" s="283"/>
      <c r="U22" s="283"/>
      <c r="V22" s="283"/>
      <c r="W22" s="283"/>
      <c r="X22" s="283"/>
      <c r="Y22" s="283"/>
      <c r="Z22" s="283"/>
      <c r="AA22" s="283"/>
      <c r="AB22" s="285"/>
    </row>
    <row r="23" spans="1:28">
      <c r="A23" s="290">
        <v>39902</v>
      </c>
      <c r="B23" s="575">
        <v>8546</v>
      </c>
      <c r="C23" s="283">
        <v>27</v>
      </c>
      <c r="D23" s="283" t="s">
        <v>685</v>
      </c>
      <c r="E23" s="283" t="s">
        <v>124</v>
      </c>
      <c r="F23" s="355"/>
      <c r="G23" s="285">
        <v>74</v>
      </c>
      <c r="H23" s="368" t="s">
        <v>408</v>
      </c>
      <c r="I23" s="355"/>
      <c r="J23" s="285">
        <v>74</v>
      </c>
      <c r="K23" s="286" t="s">
        <v>100</v>
      </c>
      <c r="L23" s="355"/>
      <c r="M23" s="285"/>
      <c r="N23" s="286" t="s">
        <v>100</v>
      </c>
      <c r="O23" s="355"/>
      <c r="P23" s="283"/>
      <c r="Q23" s="283"/>
      <c r="R23" s="355"/>
      <c r="S23" s="283"/>
      <c r="T23" s="286" t="s">
        <v>121</v>
      </c>
      <c r="U23" s="283"/>
      <c r="V23" s="283"/>
      <c r="W23" s="283"/>
      <c r="X23" s="283"/>
      <c r="Y23" s="283"/>
      <c r="Z23" s="283"/>
      <c r="AA23" s="285">
        <v>300</v>
      </c>
      <c r="AB23" s="285"/>
    </row>
    <row r="24" spans="1:28" s="583" customFormat="1">
      <c r="A24" s="859">
        <v>40063</v>
      </c>
      <c r="B24" s="575">
        <v>8922</v>
      </c>
      <c r="C24" s="858">
        <v>30</v>
      </c>
      <c r="D24" s="858" t="s">
        <v>716</v>
      </c>
      <c r="E24" s="858" t="s">
        <v>124</v>
      </c>
      <c r="F24" s="1355" t="s">
        <v>715</v>
      </c>
      <c r="G24" s="1356"/>
      <c r="H24" s="286" t="s">
        <v>100</v>
      </c>
      <c r="I24" s="286" t="s">
        <v>100</v>
      </c>
      <c r="J24" s="286" t="s">
        <v>100</v>
      </c>
      <c r="K24" s="355"/>
      <c r="L24" s="355"/>
      <c r="M24" s="355"/>
      <c r="N24" s="286" t="s">
        <v>100</v>
      </c>
      <c r="O24" s="286" t="s">
        <v>100</v>
      </c>
      <c r="P24" s="286" t="s">
        <v>100</v>
      </c>
      <c r="Q24" s="286" t="s">
        <v>100</v>
      </c>
      <c r="R24" s="1355" t="s">
        <v>715</v>
      </c>
      <c r="S24" s="1356"/>
      <c r="T24" s="1357"/>
      <c r="U24" s="1355" t="s">
        <v>715</v>
      </c>
      <c r="V24" s="1356"/>
      <c r="W24" s="1357"/>
      <c r="X24" s="1355" t="s">
        <v>715</v>
      </c>
      <c r="Y24" s="1356"/>
      <c r="Z24" s="1356"/>
      <c r="AA24" s="1356"/>
      <c r="AB24" s="1356"/>
    </row>
    <row r="25" spans="1:28" s="583" customFormat="1">
      <c r="A25" s="860"/>
      <c r="B25" s="826"/>
      <c r="C25" s="861">
        <v>30</v>
      </c>
      <c r="D25" s="861" t="s">
        <v>717</v>
      </c>
      <c r="E25" s="861" t="s">
        <v>124</v>
      </c>
      <c r="F25" s="355"/>
      <c r="G25" s="864">
        <v>48</v>
      </c>
      <c r="H25" s="286" t="s">
        <v>100</v>
      </c>
      <c r="I25" s="286" t="s">
        <v>100</v>
      </c>
      <c r="J25" s="286" t="s">
        <v>100</v>
      </c>
      <c r="K25" s="150" t="s">
        <v>722</v>
      </c>
      <c r="L25" s="150" t="s">
        <v>723</v>
      </c>
      <c r="M25" s="150">
        <v>48</v>
      </c>
      <c r="N25" s="286" t="s">
        <v>100</v>
      </c>
      <c r="O25" s="286" t="s">
        <v>100</v>
      </c>
      <c r="P25" s="286" t="s">
        <v>100</v>
      </c>
      <c r="Q25" s="150" t="s">
        <v>721</v>
      </c>
      <c r="R25" s="581" t="s">
        <v>725</v>
      </c>
      <c r="S25" s="864">
        <v>48</v>
      </c>
      <c r="T25" s="286" t="s">
        <v>121</v>
      </c>
      <c r="U25" s="519"/>
      <c r="V25" s="519"/>
      <c r="W25" s="865"/>
      <c r="X25" s="419" t="s">
        <v>726</v>
      </c>
      <c r="Y25" s="519"/>
      <c r="Z25" s="586">
        <v>1500</v>
      </c>
      <c r="AA25" s="519"/>
      <c r="AB25" s="286" t="s">
        <v>121</v>
      </c>
    </row>
    <row r="26" spans="1:28">
      <c r="A26" s="290">
        <v>41969</v>
      </c>
      <c r="B26" s="575">
        <v>12098</v>
      </c>
      <c r="C26" s="283">
        <v>25</v>
      </c>
      <c r="D26" s="283" t="s">
        <v>686</v>
      </c>
      <c r="E26" s="283" t="s">
        <v>124</v>
      </c>
      <c r="F26" s="355"/>
      <c r="G26" s="285">
        <v>48</v>
      </c>
      <c r="H26" s="283" t="s">
        <v>606</v>
      </c>
      <c r="I26" s="355"/>
      <c r="J26" s="285"/>
      <c r="K26" s="283"/>
      <c r="L26" s="355"/>
      <c r="M26" s="285"/>
      <c r="N26" s="283"/>
      <c r="O26" s="355"/>
      <c r="P26" s="283"/>
      <c r="Q26" s="283"/>
      <c r="R26" s="355"/>
      <c r="S26" s="283"/>
      <c r="T26" s="283"/>
      <c r="U26" s="283"/>
      <c r="V26" s="283"/>
      <c r="W26" s="283"/>
      <c r="X26" s="283"/>
      <c r="Y26" s="283"/>
      <c r="Z26" s="283"/>
      <c r="AA26" s="285"/>
      <c r="AB26" s="285"/>
    </row>
    <row r="27" spans="1:28">
      <c r="A27" s="290">
        <v>41988</v>
      </c>
      <c r="B27" s="284">
        <v>9307</v>
      </c>
      <c r="C27" s="283">
        <v>16</v>
      </c>
      <c r="D27" s="283" t="s">
        <v>249</v>
      </c>
      <c r="E27" s="283" t="s">
        <v>164</v>
      </c>
      <c r="F27" s="355"/>
      <c r="G27" s="369">
        <v>14</v>
      </c>
      <c r="H27" s="286" t="s">
        <v>100</v>
      </c>
      <c r="I27" s="355"/>
      <c r="J27" s="285"/>
      <c r="K27" s="286" t="s">
        <v>100</v>
      </c>
      <c r="L27" s="355"/>
      <c r="M27" s="285"/>
      <c r="N27" s="286" t="s">
        <v>100</v>
      </c>
      <c r="O27" s="355"/>
      <c r="P27" s="283"/>
      <c r="Q27" s="286" t="s">
        <v>100</v>
      </c>
      <c r="R27" s="355"/>
      <c r="S27" s="368"/>
      <c r="T27" s="368"/>
      <c r="U27" s="283"/>
      <c r="V27" s="283"/>
      <c r="W27" s="283"/>
      <c r="X27" s="283"/>
      <c r="Y27" s="283"/>
      <c r="Z27" s="283"/>
      <c r="AA27" s="285"/>
      <c r="AB27" s="285"/>
    </row>
    <row r="28" spans="1:28">
      <c r="A28" s="290">
        <v>42054</v>
      </c>
      <c r="B28" s="575">
        <v>12227</v>
      </c>
      <c r="C28" s="283">
        <v>22</v>
      </c>
      <c r="D28" s="283" t="s">
        <v>369</v>
      </c>
      <c r="E28" s="283" t="s">
        <v>124</v>
      </c>
      <c r="F28" s="355"/>
      <c r="G28" s="285">
        <v>48</v>
      </c>
      <c r="H28" s="283" t="s">
        <v>366</v>
      </c>
      <c r="I28" s="355"/>
      <c r="J28" s="286" t="s">
        <v>121</v>
      </c>
      <c r="K28" s="283" t="s">
        <v>364</v>
      </c>
      <c r="L28" s="355"/>
      <c r="M28" s="286" t="s">
        <v>100</v>
      </c>
      <c r="N28" s="286" t="s">
        <v>100</v>
      </c>
      <c r="O28" s="355"/>
      <c r="P28" s="283"/>
      <c r="Q28" s="283" t="s">
        <v>365</v>
      </c>
      <c r="R28" s="355"/>
      <c r="S28" s="286" t="s">
        <v>100</v>
      </c>
      <c r="T28" s="286" t="s">
        <v>121</v>
      </c>
      <c r="U28" s="283"/>
      <c r="V28" s="283"/>
      <c r="W28" s="286" t="s">
        <v>121</v>
      </c>
      <c r="X28" s="286" t="s">
        <v>121</v>
      </c>
      <c r="Y28" s="286" t="s">
        <v>121</v>
      </c>
      <c r="Z28" s="286" t="s">
        <v>121</v>
      </c>
      <c r="AA28" s="285"/>
      <c r="AB28" s="285"/>
    </row>
    <row r="29" spans="1:28">
      <c r="A29" s="365">
        <v>42369</v>
      </c>
      <c r="B29" s="575">
        <v>12875</v>
      </c>
      <c r="C29" s="368">
        <v>23</v>
      </c>
      <c r="D29" s="368" t="s">
        <v>521</v>
      </c>
      <c r="E29" s="368" t="s">
        <v>124</v>
      </c>
      <c r="F29" s="355"/>
      <c r="G29" s="285">
        <v>48</v>
      </c>
      <c r="H29" s="283" t="s">
        <v>522</v>
      </c>
      <c r="I29" s="355"/>
      <c r="J29" s="286" t="s">
        <v>121</v>
      </c>
      <c r="K29" s="283" t="s">
        <v>525</v>
      </c>
      <c r="L29" s="355"/>
      <c r="M29" s="285"/>
      <c r="N29" s="283" t="s">
        <v>524</v>
      </c>
      <c r="O29" s="355"/>
      <c r="P29" s="283">
        <v>48</v>
      </c>
      <c r="Q29" s="283" t="s">
        <v>523</v>
      </c>
      <c r="R29" s="355"/>
      <c r="S29" s="283">
        <v>48</v>
      </c>
      <c r="T29" s="283"/>
      <c r="U29" s="283"/>
      <c r="V29" s="283"/>
      <c r="W29" s="283"/>
      <c r="X29" s="283"/>
      <c r="Y29" s="283"/>
      <c r="Z29" s="283"/>
      <c r="AA29" s="285"/>
      <c r="AB29" s="285"/>
    </row>
    <row r="30" spans="1:28">
      <c r="A30" s="290"/>
      <c r="B30" s="284"/>
      <c r="C30" s="283"/>
      <c r="D30" s="283"/>
      <c r="E30" s="283"/>
      <c r="F30" s="355"/>
      <c r="G30" s="285"/>
      <c r="H30" s="283"/>
      <c r="I30" s="355"/>
      <c r="J30" s="285"/>
      <c r="K30" s="283"/>
      <c r="L30" s="355"/>
      <c r="M30" s="285"/>
      <c r="N30" s="283"/>
      <c r="O30" s="355"/>
      <c r="P30" s="283"/>
      <c r="Q30" s="283"/>
      <c r="R30" s="355"/>
      <c r="S30" s="283"/>
      <c r="T30" s="283"/>
      <c r="U30" s="283"/>
      <c r="V30" s="283"/>
      <c r="W30" s="283"/>
      <c r="X30" s="283"/>
      <c r="Y30" s="283"/>
      <c r="Z30" s="283"/>
      <c r="AA30" s="285"/>
      <c r="AB30" s="285"/>
    </row>
    <row r="31" spans="1:28">
      <c r="A31" s="290"/>
      <c r="B31" s="284"/>
      <c r="C31" s="283"/>
      <c r="D31" s="283"/>
      <c r="E31" s="283"/>
      <c r="F31" s="355"/>
      <c r="G31" s="285"/>
      <c r="H31" s="283"/>
      <c r="I31" s="355"/>
      <c r="J31" s="285"/>
      <c r="K31" s="283"/>
      <c r="L31" s="355"/>
      <c r="M31" s="285"/>
      <c r="N31" s="283"/>
      <c r="O31" s="355"/>
      <c r="P31" s="283"/>
      <c r="Q31" s="283"/>
      <c r="R31" s="355"/>
      <c r="S31" s="283"/>
      <c r="T31" s="283"/>
      <c r="U31" s="283"/>
      <c r="V31" s="283"/>
      <c r="W31" s="283"/>
      <c r="X31" s="283"/>
      <c r="Y31" s="283"/>
      <c r="Z31" s="283"/>
      <c r="AA31" s="285"/>
      <c r="AB31" s="285"/>
    </row>
    <row r="32" spans="1:28">
      <c r="A32" s="290"/>
      <c r="B32" s="284"/>
      <c r="C32" s="283"/>
      <c r="D32" s="283"/>
      <c r="E32" s="283"/>
      <c r="F32" s="355"/>
      <c r="G32" s="285"/>
      <c r="H32" s="283"/>
      <c r="I32" s="355"/>
      <c r="J32" s="285"/>
      <c r="K32" s="283"/>
      <c r="L32" s="355"/>
      <c r="M32" s="285"/>
      <c r="N32" s="283"/>
      <c r="O32" s="355"/>
      <c r="P32" s="283"/>
      <c r="Q32" s="283"/>
      <c r="R32" s="355"/>
      <c r="S32" s="283"/>
      <c r="T32" s="283"/>
      <c r="U32" s="283"/>
      <c r="V32" s="283"/>
      <c r="W32" s="283"/>
      <c r="X32" s="283"/>
      <c r="Y32" s="283"/>
      <c r="Z32" s="283"/>
      <c r="AA32" s="285"/>
      <c r="AB32" s="285"/>
    </row>
    <row r="33" spans="1:28">
      <c r="A33" s="290"/>
      <c r="B33" s="284"/>
      <c r="C33" s="283"/>
      <c r="D33" s="283"/>
      <c r="E33" s="283"/>
      <c r="F33" s="355"/>
      <c r="G33" s="285"/>
      <c r="H33" s="283"/>
      <c r="I33" s="355"/>
      <c r="J33" s="285"/>
      <c r="K33" s="283"/>
      <c r="L33" s="355"/>
      <c r="M33" s="285"/>
      <c r="N33" s="283"/>
      <c r="O33" s="355"/>
      <c r="P33" s="283"/>
      <c r="Q33" s="283"/>
      <c r="R33" s="355"/>
      <c r="S33" s="283"/>
      <c r="T33" s="283"/>
      <c r="U33" s="283"/>
      <c r="V33" s="283"/>
      <c r="W33" s="283"/>
      <c r="X33" s="283"/>
      <c r="Y33" s="283"/>
      <c r="Z33" s="283"/>
      <c r="AA33" s="285"/>
      <c r="AB33" s="285"/>
    </row>
    <row r="34" spans="1:28">
      <c r="A34" s="290"/>
      <c r="B34" s="284"/>
      <c r="C34" s="283"/>
      <c r="D34" s="283"/>
      <c r="E34" s="283"/>
      <c r="F34" s="355"/>
      <c r="G34" s="285"/>
      <c r="H34" s="283"/>
      <c r="I34" s="355"/>
      <c r="J34" s="285"/>
      <c r="K34" s="283"/>
      <c r="L34" s="355"/>
      <c r="M34" s="285"/>
      <c r="N34" s="283"/>
      <c r="O34" s="355"/>
      <c r="P34" s="283"/>
      <c r="Q34" s="283"/>
      <c r="R34" s="355"/>
      <c r="S34" s="283"/>
      <c r="T34" s="283"/>
      <c r="U34" s="283"/>
      <c r="V34" s="283"/>
      <c r="W34" s="283"/>
      <c r="X34" s="283"/>
      <c r="Y34" s="283"/>
      <c r="Z34" s="283"/>
      <c r="AA34" s="285"/>
      <c r="AB34" s="285"/>
    </row>
    <row r="35" spans="1:28">
      <c r="A35" s="290"/>
      <c r="B35" s="284"/>
      <c r="C35" s="283"/>
      <c r="D35" s="283"/>
      <c r="E35" s="283"/>
      <c r="F35" s="355"/>
      <c r="G35" s="285"/>
      <c r="H35" s="283"/>
      <c r="I35" s="355"/>
      <c r="J35" s="285"/>
      <c r="K35" s="283"/>
      <c r="L35" s="355"/>
      <c r="M35" s="285"/>
      <c r="N35" s="283"/>
      <c r="O35" s="355"/>
      <c r="P35" s="283"/>
      <c r="Q35" s="283"/>
      <c r="R35" s="355"/>
      <c r="S35" s="283"/>
      <c r="T35" s="283"/>
      <c r="U35" s="283"/>
      <c r="V35" s="283"/>
      <c r="W35" s="283"/>
      <c r="X35" s="283"/>
      <c r="Y35" s="283"/>
      <c r="Z35" s="283"/>
      <c r="AA35" s="285"/>
      <c r="AB35" s="285"/>
    </row>
    <row r="37" spans="1:28">
      <c r="Z37" s="1" t="s">
        <v>363</v>
      </c>
    </row>
    <row r="38" spans="1:28">
      <c r="W38" s="1" t="s">
        <v>362</v>
      </c>
    </row>
    <row r="39" spans="1:28">
      <c r="E39" s="41"/>
      <c r="V39" s="1" t="s">
        <v>367</v>
      </c>
    </row>
    <row r="40" spans="1:28">
      <c r="D40" s="1" t="s">
        <v>381</v>
      </c>
    </row>
    <row r="41" spans="1:28">
      <c r="D41" s="1" t="s">
        <v>378</v>
      </c>
    </row>
  </sheetData>
  <mergeCells count="4">
    <mergeCell ref="F24:G24"/>
    <mergeCell ref="R24:T24"/>
    <mergeCell ref="U24:W24"/>
    <mergeCell ref="X24:AB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25"/>
  <sheetViews>
    <sheetView workbookViewId="0">
      <pane ySplit="1" topLeftCell="A19" activePane="bottomLeft" state="frozen"/>
      <selection pane="bottomLeft" activeCell="A23" sqref="A23:XFD23"/>
    </sheetView>
  </sheetViews>
  <sheetFormatPr defaultRowHeight="11.25"/>
  <cols>
    <col min="1" max="1" width="6.88671875" style="291" bestFit="1" customWidth="1"/>
    <col min="2" max="2" width="7.6640625" style="291" bestFit="1" customWidth="1"/>
    <col min="3" max="3" width="6.33203125" style="41" bestFit="1" customWidth="1"/>
    <col min="4" max="4" width="9.6640625" style="41" bestFit="1" customWidth="1"/>
    <col min="5" max="5" width="6.88671875" style="41" customWidth="1"/>
    <col min="6" max="6" width="6.77734375" style="1" bestFit="1" customWidth="1"/>
    <col min="7" max="7" width="45.33203125" style="1" customWidth="1"/>
    <col min="8" max="8" width="16" style="1" customWidth="1"/>
    <col min="9" max="9" width="23" style="1" customWidth="1"/>
    <col min="10" max="10" width="9.44140625" style="1" customWidth="1"/>
    <col min="11" max="11" width="10.33203125" style="1" customWidth="1"/>
    <col min="12" max="12" width="29.88671875" style="1" customWidth="1"/>
    <col min="13" max="13" width="13" style="1" customWidth="1"/>
    <col min="14" max="14" width="18.109375" style="1" customWidth="1"/>
    <col min="15" max="15" width="12.109375" style="1" customWidth="1"/>
    <col min="16" max="16" width="24.109375" style="1" customWidth="1"/>
    <col min="17" max="17" width="8.88671875" style="1" customWidth="1"/>
    <col min="18" max="18" width="35.5546875" style="1" customWidth="1"/>
    <col min="19" max="19" width="13" style="1" customWidth="1"/>
    <col min="20" max="20" width="14.21875" style="1" bestFit="1" customWidth="1"/>
    <col min="21" max="16384" width="8.88671875" style="1"/>
  </cols>
  <sheetData>
    <row r="1" spans="1:20" ht="12" thickBot="1">
      <c r="A1" s="296" t="s">
        <v>107</v>
      </c>
      <c r="B1" s="296" t="s">
        <v>110</v>
      </c>
      <c r="C1" s="297" t="s">
        <v>90</v>
      </c>
      <c r="D1" s="297" t="s">
        <v>104</v>
      </c>
      <c r="E1" s="296" t="s">
        <v>107</v>
      </c>
      <c r="F1" s="298">
        <v>219</v>
      </c>
      <c r="G1" s="298" t="s">
        <v>93</v>
      </c>
      <c r="H1" s="299" t="s">
        <v>91</v>
      </c>
      <c r="I1" s="299" t="s">
        <v>108</v>
      </c>
      <c r="J1" s="300" t="s">
        <v>111</v>
      </c>
      <c r="K1" s="300" t="s">
        <v>114</v>
      </c>
      <c r="L1" s="301" t="s">
        <v>96</v>
      </c>
      <c r="M1" s="307" t="s">
        <v>107</v>
      </c>
      <c r="N1" s="302" t="s">
        <v>99</v>
      </c>
      <c r="O1" s="308" t="s">
        <v>107</v>
      </c>
      <c r="P1" s="301" t="s">
        <v>102</v>
      </c>
      <c r="Q1" s="307" t="s">
        <v>107</v>
      </c>
      <c r="R1" s="302" t="s">
        <v>103</v>
      </c>
      <c r="S1" s="308" t="s">
        <v>107</v>
      </c>
      <c r="T1" s="896" t="s">
        <v>766</v>
      </c>
    </row>
    <row r="2" spans="1:20">
      <c r="A2" s="293"/>
      <c r="B2" s="293"/>
      <c r="C2" s="294"/>
      <c r="D2" s="294"/>
      <c r="E2" s="294"/>
      <c r="F2" s="295"/>
      <c r="G2" s="295"/>
      <c r="H2" s="295"/>
      <c r="I2" s="295"/>
      <c r="J2" s="294"/>
      <c r="K2" s="294"/>
      <c r="L2" s="295"/>
      <c r="M2" s="295"/>
      <c r="N2" s="295"/>
      <c r="O2" s="295"/>
      <c r="P2" s="295"/>
      <c r="Q2" s="295"/>
      <c r="R2" s="295"/>
      <c r="S2" s="295"/>
      <c r="T2" s="897"/>
    </row>
    <row r="3" spans="1:20">
      <c r="A3" s="290">
        <v>26158</v>
      </c>
      <c r="B3" s="391"/>
      <c r="C3" s="284" t="s">
        <v>626</v>
      </c>
      <c r="D3" s="391"/>
      <c r="E3" s="391"/>
      <c r="F3" s="283">
        <v>24</v>
      </c>
      <c r="G3" s="283" t="s">
        <v>634</v>
      </c>
      <c r="H3" s="283" t="s">
        <v>625</v>
      </c>
      <c r="I3" s="286" t="s">
        <v>100</v>
      </c>
      <c r="J3" s="403"/>
      <c r="K3" s="403"/>
      <c r="L3" s="286" t="s">
        <v>100</v>
      </c>
      <c r="M3" s="286" t="s">
        <v>100</v>
      </c>
      <c r="N3" s="286" t="s">
        <v>100</v>
      </c>
      <c r="O3" s="286" t="s">
        <v>100</v>
      </c>
      <c r="P3" s="286" t="s">
        <v>100</v>
      </c>
      <c r="Q3" s="286" t="s">
        <v>100</v>
      </c>
      <c r="R3" s="809" t="s">
        <v>632</v>
      </c>
      <c r="S3" s="286" t="s">
        <v>100</v>
      </c>
      <c r="T3" s="322" t="s">
        <v>768</v>
      </c>
    </row>
    <row r="4" spans="1:20">
      <c r="A4" s="290">
        <v>26597</v>
      </c>
      <c r="B4" s="391"/>
      <c r="C4" s="284">
        <v>11111</v>
      </c>
      <c r="D4" s="391"/>
      <c r="E4" s="391"/>
      <c r="F4" s="283">
        <v>27</v>
      </c>
      <c r="G4" s="283" t="s">
        <v>385</v>
      </c>
      <c r="H4" s="283" t="s">
        <v>186</v>
      </c>
      <c r="I4" s="283" t="s">
        <v>382</v>
      </c>
      <c r="J4" s="403"/>
      <c r="K4" s="354"/>
      <c r="L4" s="286" t="s">
        <v>100</v>
      </c>
      <c r="M4" s="283"/>
      <c r="N4" s="286" t="s">
        <v>100</v>
      </c>
      <c r="O4" s="283"/>
      <c r="P4" s="283"/>
      <c r="Q4" s="283"/>
      <c r="R4" s="286" t="s">
        <v>100</v>
      </c>
      <c r="S4" s="283"/>
      <c r="T4" s="286" t="s">
        <v>100</v>
      </c>
    </row>
    <row r="5" spans="1:20">
      <c r="A5" s="290">
        <v>27106</v>
      </c>
      <c r="B5" s="391"/>
      <c r="C5" s="284">
        <v>11882</v>
      </c>
      <c r="D5" s="391"/>
      <c r="E5" s="391"/>
      <c r="F5" s="283">
        <v>60</v>
      </c>
      <c r="G5" s="283" t="s">
        <v>385</v>
      </c>
      <c r="H5" s="283" t="s">
        <v>186</v>
      </c>
      <c r="I5" s="286" t="s">
        <v>100</v>
      </c>
      <c r="J5" s="403"/>
      <c r="K5" s="354"/>
      <c r="L5" s="286" t="s">
        <v>100</v>
      </c>
      <c r="M5" s="283"/>
      <c r="N5" s="283"/>
      <c r="O5" s="286" t="s">
        <v>100</v>
      </c>
      <c r="P5" s="283"/>
      <c r="Q5" s="285">
        <f t="shared" ref="Q5:Q12" si="0">P5/340.75</f>
        <v>0</v>
      </c>
      <c r="R5" s="286" t="s">
        <v>100</v>
      </c>
      <c r="S5" s="283"/>
      <c r="T5" s="286" t="s">
        <v>100</v>
      </c>
    </row>
    <row r="6" spans="1:20" s="104" customFormat="1">
      <c r="A6" s="392" t="s">
        <v>151</v>
      </c>
      <c r="B6" s="365">
        <v>27161</v>
      </c>
      <c r="C6" s="286" t="s">
        <v>100</v>
      </c>
      <c r="D6" s="284" t="s">
        <v>626</v>
      </c>
      <c r="E6" s="290">
        <v>26158</v>
      </c>
      <c r="F6" s="283">
        <v>24</v>
      </c>
      <c r="G6" s="283" t="s">
        <v>634</v>
      </c>
      <c r="H6" s="286" t="s">
        <v>100</v>
      </c>
      <c r="I6" s="286" t="s">
        <v>100</v>
      </c>
      <c r="J6" s="286" t="s">
        <v>100</v>
      </c>
      <c r="K6" s="286" t="s">
        <v>100</v>
      </c>
      <c r="L6" s="286" t="s">
        <v>100</v>
      </c>
      <c r="M6" s="286" t="s">
        <v>100</v>
      </c>
      <c r="N6" s="368"/>
      <c r="O6" s="419"/>
      <c r="P6" s="286" t="s">
        <v>100</v>
      </c>
      <c r="Q6" s="286" t="s">
        <v>100</v>
      </c>
      <c r="R6" s="286" t="s">
        <v>100</v>
      </c>
      <c r="S6" s="286" t="s">
        <v>100</v>
      </c>
      <c r="T6" s="322" t="s">
        <v>768</v>
      </c>
    </row>
    <row r="7" spans="1:20" s="104" customFormat="1">
      <c r="A7" s="577">
        <v>27688</v>
      </c>
      <c r="B7" s="365">
        <v>27599</v>
      </c>
      <c r="C7" s="418">
        <v>2080</v>
      </c>
      <c r="D7" s="284" t="s">
        <v>396</v>
      </c>
      <c r="E7" s="290">
        <v>26597</v>
      </c>
      <c r="F7" s="368">
        <v>27</v>
      </c>
      <c r="G7" s="283" t="s">
        <v>385</v>
      </c>
      <c r="H7" s="368" t="s">
        <v>391</v>
      </c>
      <c r="I7" s="286" t="s">
        <v>100</v>
      </c>
      <c r="J7" s="369" t="s">
        <v>394</v>
      </c>
      <c r="K7" s="418"/>
      <c r="L7" s="286" t="s">
        <v>100</v>
      </c>
      <c r="M7" s="368"/>
      <c r="N7" s="286" t="s">
        <v>100</v>
      </c>
      <c r="O7" s="419"/>
      <c r="P7" s="286" t="s">
        <v>100</v>
      </c>
      <c r="Q7" s="369"/>
      <c r="R7" s="286" t="s">
        <v>100</v>
      </c>
      <c r="S7" s="368"/>
      <c r="T7" s="286" t="s">
        <v>100</v>
      </c>
    </row>
    <row r="8" spans="1:20" s="104" customFormat="1">
      <c r="A8" s="392" t="s">
        <v>151</v>
      </c>
      <c r="B8" s="365">
        <v>28257</v>
      </c>
      <c r="C8" s="286" t="s">
        <v>100</v>
      </c>
      <c r="D8" s="284" t="s">
        <v>626</v>
      </c>
      <c r="E8" s="290">
        <v>26158</v>
      </c>
      <c r="F8" s="283">
        <v>24</v>
      </c>
      <c r="G8" s="283" t="s">
        <v>634</v>
      </c>
      <c r="H8" s="286" t="s">
        <v>100</v>
      </c>
      <c r="I8" s="286" t="s">
        <v>100</v>
      </c>
      <c r="J8" s="286" t="s">
        <v>100</v>
      </c>
      <c r="K8" s="286" t="s">
        <v>100</v>
      </c>
      <c r="L8" s="286" t="s">
        <v>100</v>
      </c>
      <c r="M8" s="286" t="s">
        <v>100</v>
      </c>
      <c r="N8" s="286" t="s">
        <v>100</v>
      </c>
      <c r="O8" s="286" t="s">
        <v>100</v>
      </c>
      <c r="P8" s="286" t="s">
        <v>100</v>
      </c>
      <c r="Q8" s="286" t="s">
        <v>100</v>
      </c>
      <c r="R8" s="286" t="s">
        <v>100</v>
      </c>
      <c r="S8" s="286" t="s">
        <v>100</v>
      </c>
      <c r="T8" s="322" t="s">
        <v>768</v>
      </c>
    </row>
    <row r="9" spans="1:20">
      <c r="A9" s="277" t="s">
        <v>151</v>
      </c>
      <c r="B9" s="290">
        <v>28476</v>
      </c>
      <c r="C9" s="286" t="s">
        <v>100</v>
      </c>
      <c r="D9" s="284" t="s">
        <v>199</v>
      </c>
      <c r="E9" s="328">
        <v>27106</v>
      </c>
      <c r="F9" s="283">
        <v>60</v>
      </c>
      <c r="G9" s="283" t="s">
        <v>189</v>
      </c>
      <c r="H9" s="286" t="s">
        <v>100</v>
      </c>
      <c r="I9" s="283"/>
      <c r="J9" s="285"/>
      <c r="K9" s="284"/>
      <c r="L9" s="286" t="s">
        <v>100</v>
      </c>
      <c r="M9" s="283"/>
      <c r="N9" s="283"/>
      <c r="O9" s="286" t="s">
        <v>100</v>
      </c>
      <c r="P9" s="283"/>
      <c r="Q9" s="285">
        <f t="shared" si="0"/>
        <v>0</v>
      </c>
      <c r="R9" s="286" t="s">
        <v>100</v>
      </c>
      <c r="S9" s="283"/>
      <c r="T9" s="286" t="s">
        <v>100</v>
      </c>
    </row>
    <row r="10" spans="1:20" s="104" customFormat="1">
      <c r="A10" s="580">
        <v>28783</v>
      </c>
      <c r="B10" s="365">
        <v>28695</v>
      </c>
      <c r="C10" s="418">
        <v>14400</v>
      </c>
      <c r="D10" s="284" t="s">
        <v>396</v>
      </c>
      <c r="E10" s="290">
        <v>26597</v>
      </c>
      <c r="F10" s="368">
        <v>27</v>
      </c>
      <c r="G10" s="283" t="s">
        <v>385</v>
      </c>
      <c r="H10" s="519" t="s">
        <v>395</v>
      </c>
      <c r="I10" s="286" t="s">
        <v>100</v>
      </c>
      <c r="J10" s="369" t="s">
        <v>394</v>
      </c>
      <c r="K10" s="418"/>
      <c r="L10" s="419"/>
      <c r="M10" s="368"/>
      <c r="N10" s="368"/>
      <c r="O10" s="419"/>
      <c r="P10" s="368"/>
      <c r="Q10" s="369"/>
      <c r="R10" s="419"/>
      <c r="S10" s="368"/>
      <c r="T10" s="286" t="s">
        <v>100</v>
      </c>
    </row>
    <row r="11" spans="1:20" s="104" customFormat="1">
      <c r="A11" s="392" t="s">
        <v>151</v>
      </c>
      <c r="B11" s="365">
        <v>29353</v>
      </c>
      <c r="C11" s="286" t="s">
        <v>100</v>
      </c>
      <c r="D11" s="284" t="s">
        <v>626</v>
      </c>
      <c r="E11" s="290">
        <v>26158</v>
      </c>
      <c r="F11" s="283">
        <v>24</v>
      </c>
      <c r="G11" s="283" t="s">
        <v>634</v>
      </c>
      <c r="H11" s="286" t="s">
        <v>100</v>
      </c>
      <c r="I11" s="286" t="s">
        <v>100</v>
      </c>
      <c r="J11" s="286" t="s">
        <v>100</v>
      </c>
      <c r="K11" s="286" t="s">
        <v>100</v>
      </c>
      <c r="L11" s="286" t="s">
        <v>100</v>
      </c>
      <c r="M11" s="286" t="s">
        <v>100</v>
      </c>
      <c r="N11" s="286" t="s">
        <v>100</v>
      </c>
      <c r="O11" s="286" t="s">
        <v>100</v>
      </c>
      <c r="P11" s="286" t="s">
        <v>100</v>
      </c>
      <c r="Q11" s="286" t="s">
        <v>100</v>
      </c>
      <c r="R11" s="286" t="s">
        <v>100</v>
      </c>
      <c r="S11" s="286" t="s">
        <v>100</v>
      </c>
      <c r="T11" s="322" t="s">
        <v>768</v>
      </c>
    </row>
    <row r="12" spans="1:20">
      <c r="A12" s="392" t="s">
        <v>151</v>
      </c>
      <c r="B12" s="290">
        <v>29572</v>
      </c>
      <c r="C12" s="286" t="s">
        <v>100</v>
      </c>
      <c r="D12" s="284" t="s">
        <v>199</v>
      </c>
      <c r="E12" s="328">
        <v>27106</v>
      </c>
      <c r="F12" s="283">
        <v>60</v>
      </c>
      <c r="G12" s="283" t="s">
        <v>189</v>
      </c>
      <c r="H12" s="286" t="s">
        <v>100</v>
      </c>
      <c r="I12" s="283"/>
      <c r="J12" s="285"/>
      <c r="K12" s="284"/>
      <c r="L12" s="286" t="s">
        <v>100</v>
      </c>
      <c r="M12" s="283"/>
      <c r="N12" s="283"/>
      <c r="O12" s="286" t="s">
        <v>100</v>
      </c>
      <c r="P12" s="283"/>
      <c r="Q12" s="285">
        <f t="shared" si="0"/>
        <v>0</v>
      </c>
      <c r="R12" s="286" t="s">
        <v>100</v>
      </c>
      <c r="S12" s="283"/>
      <c r="T12" s="286" t="s">
        <v>100</v>
      </c>
    </row>
    <row r="13" spans="1:20" s="583" customFormat="1">
      <c r="A13" s="580">
        <v>29874</v>
      </c>
      <c r="B13" s="365">
        <v>29791</v>
      </c>
      <c r="C13" s="418">
        <v>18930</v>
      </c>
      <c r="D13" s="284" t="s">
        <v>396</v>
      </c>
      <c r="E13" s="290">
        <v>26597</v>
      </c>
      <c r="F13" s="368">
        <v>27</v>
      </c>
      <c r="G13" s="283" t="s">
        <v>385</v>
      </c>
      <c r="H13" s="519" t="s">
        <v>395</v>
      </c>
      <c r="I13" s="286" t="s">
        <v>100</v>
      </c>
      <c r="J13" s="369" t="s">
        <v>394</v>
      </c>
      <c r="K13" s="581"/>
      <c r="L13" s="519"/>
      <c r="M13" s="150"/>
      <c r="N13" s="150"/>
      <c r="O13" s="519"/>
      <c r="P13" s="150"/>
      <c r="Q13" s="582"/>
      <c r="R13" s="519"/>
      <c r="S13" s="150"/>
      <c r="T13" s="286" t="s">
        <v>100</v>
      </c>
    </row>
    <row r="14" spans="1:20">
      <c r="A14" s="290">
        <v>29952</v>
      </c>
      <c r="B14" s="391"/>
      <c r="C14" s="576" t="s">
        <v>347</v>
      </c>
      <c r="D14" s="284" t="s">
        <v>199</v>
      </c>
      <c r="E14" s="328">
        <v>27106</v>
      </c>
      <c r="F14" s="283">
        <v>60</v>
      </c>
      <c r="G14" s="283" t="s">
        <v>188</v>
      </c>
      <c r="H14" s="283" t="s">
        <v>95</v>
      </c>
      <c r="I14" s="283" t="s">
        <v>109</v>
      </c>
      <c r="J14" s="285"/>
      <c r="K14" s="284"/>
      <c r="L14" s="286" t="s">
        <v>100</v>
      </c>
      <c r="M14" s="283"/>
      <c r="N14" s="283"/>
      <c r="O14" s="286" t="s">
        <v>100</v>
      </c>
      <c r="P14" s="283"/>
      <c r="Q14" s="285">
        <f t="shared" ref="Q14" si="1">P14/340.75</f>
        <v>0</v>
      </c>
      <c r="R14" s="286" t="s">
        <v>100</v>
      </c>
      <c r="S14" s="283"/>
      <c r="T14" s="286" t="s">
        <v>100</v>
      </c>
    </row>
    <row r="15" spans="1:20" s="104" customFormat="1">
      <c r="A15" s="290">
        <v>30183</v>
      </c>
      <c r="B15" s="391"/>
      <c r="C15" s="576" t="s">
        <v>435</v>
      </c>
      <c r="D15" s="284" t="s">
        <v>396</v>
      </c>
      <c r="E15" s="290">
        <v>26597</v>
      </c>
      <c r="F15" s="283">
        <v>27</v>
      </c>
      <c r="G15" s="283" t="s">
        <v>380</v>
      </c>
      <c r="H15" s="283" t="s">
        <v>95</v>
      </c>
      <c r="I15" s="419" t="s">
        <v>397</v>
      </c>
      <c r="J15" s="579"/>
      <c r="K15" s="349"/>
      <c r="L15" s="286" t="s">
        <v>100</v>
      </c>
      <c r="M15" s="419"/>
      <c r="N15" s="286" t="s">
        <v>100</v>
      </c>
      <c r="O15" s="286" t="s">
        <v>100</v>
      </c>
      <c r="P15" s="286" t="s">
        <v>100</v>
      </c>
      <c r="Q15" s="369"/>
      <c r="R15" s="286" t="s">
        <v>100</v>
      </c>
      <c r="S15" s="419"/>
      <c r="T15" s="286" t="s">
        <v>100</v>
      </c>
    </row>
    <row r="16" spans="1:20" s="104" customFormat="1">
      <c r="A16" s="392" t="s">
        <v>151</v>
      </c>
      <c r="B16" s="365">
        <v>30448</v>
      </c>
      <c r="C16" s="286" t="s">
        <v>100</v>
      </c>
      <c r="D16" s="284" t="s">
        <v>626</v>
      </c>
      <c r="E16" s="290">
        <v>26158</v>
      </c>
      <c r="F16" s="283">
        <v>24</v>
      </c>
      <c r="G16" s="283" t="s">
        <v>634</v>
      </c>
      <c r="H16" s="286" t="s">
        <v>100</v>
      </c>
      <c r="I16" s="286" t="s">
        <v>100</v>
      </c>
      <c r="J16" s="286" t="s">
        <v>100</v>
      </c>
      <c r="K16" s="286" t="s">
        <v>100</v>
      </c>
      <c r="L16" s="286" t="s">
        <v>100</v>
      </c>
      <c r="M16" s="286" t="s">
        <v>100</v>
      </c>
      <c r="N16" s="286" t="s">
        <v>100</v>
      </c>
      <c r="O16" s="286" t="s">
        <v>100</v>
      </c>
      <c r="P16" s="286" t="s">
        <v>100</v>
      </c>
      <c r="Q16" s="286" t="s">
        <v>100</v>
      </c>
      <c r="R16" s="286" t="s">
        <v>100</v>
      </c>
      <c r="S16" s="286" t="s">
        <v>100</v>
      </c>
      <c r="T16" s="322" t="s">
        <v>768</v>
      </c>
    </row>
    <row r="17" spans="1:20">
      <c r="A17" s="392" t="s">
        <v>151</v>
      </c>
      <c r="B17" s="290">
        <v>30667</v>
      </c>
      <c r="C17" s="286" t="s">
        <v>100</v>
      </c>
      <c r="D17" s="284" t="s">
        <v>199</v>
      </c>
      <c r="E17" s="328">
        <v>27106</v>
      </c>
      <c r="F17" s="283">
        <v>60</v>
      </c>
      <c r="G17" s="283" t="s">
        <v>189</v>
      </c>
      <c r="H17" s="286" t="s">
        <v>100</v>
      </c>
      <c r="I17" s="283"/>
      <c r="J17" s="285"/>
      <c r="K17" s="284"/>
      <c r="L17" s="286" t="s">
        <v>100</v>
      </c>
      <c r="M17" s="283"/>
      <c r="N17" s="283"/>
      <c r="O17" s="286" t="s">
        <v>100</v>
      </c>
      <c r="P17" s="283"/>
      <c r="Q17" s="285">
        <f t="shared" ref="Q17:Q21" si="2">P17/340.75</f>
        <v>0</v>
      </c>
      <c r="R17" s="286" t="s">
        <v>100</v>
      </c>
      <c r="S17" s="283"/>
      <c r="T17" s="286" t="s">
        <v>100</v>
      </c>
    </row>
    <row r="18" spans="1:20">
      <c r="A18" s="416" t="s">
        <v>151</v>
      </c>
      <c r="B18" s="365">
        <v>30887</v>
      </c>
      <c r="C18" s="286" t="s">
        <v>100</v>
      </c>
      <c r="D18" s="284" t="s">
        <v>396</v>
      </c>
      <c r="E18" s="290">
        <v>26597</v>
      </c>
      <c r="F18" s="368">
        <v>27</v>
      </c>
      <c r="G18" s="279" t="s">
        <v>398</v>
      </c>
      <c r="H18" s="286" t="s">
        <v>100</v>
      </c>
      <c r="I18" s="283"/>
      <c r="J18" s="285"/>
      <c r="K18" s="284"/>
      <c r="L18" s="286"/>
      <c r="M18" s="283"/>
      <c r="N18" s="283"/>
      <c r="O18" s="286"/>
      <c r="P18" s="283"/>
      <c r="Q18" s="285"/>
      <c r="R18" s="286"/>
      <c r="S18" s="283"/>
      <c r="T18" s="286" t="s">
        <v>100</v>
      </c>
    </row>
    <row r="19" spans="1:20" s="583" customFormat="1">
      <c r="A19" s="807">
        <v>31324</v>
      </c>
      <c r="B19" s="812"/>
      <c r="C19" s="519" t="s">
        <v>627</v>
      </c>
      <c r="D19" s="649" t="s">
        <v>626</v>
      </c>
      <c r="E19" s="292">
        <v>26158</v>
      </c>
      <c r="F19" s="809">
        <v>24</v>
      </c>
      <c r="G19" s="809" t="s">
        <v>635</v>
      </c>
      <c r="H19" s="808" t="s">
        <v>628</v>
      </c>
      <c r="I19" s="579"/>
      <c r="J19" s="579"/>
      <c r="K19" s="579"/>
      <c r="L19" s="286" t="s">
        <v>100</v>
      </c>
      <c r="M19" s="286" t="s">
        <v>100</v>
      </c>
      <c r="N19" s="286" t="s">
        <v>100</v>
      </c>
      <c r="O19" s="286" t="s">
        <v>100</v>
      </c>
      <c r="P19" s="150" t="s">
        <v>631</v>
      </c>
      <c r="Q19" s="286" t="s">
        <v>121</v>
      </c>
      <c r="R19" s="519" t="s">
        <v>633</v>
      </c>
      <c r="S19" s="286" t="s">
        <v>121</v>
      </c>
      <c r="T19" s="322" t="s">
        <v>768</v>
      </c>
    </row>
    <row r="20" spans="1:20" s="583" customFormat="1">
      <c r="A20" s="580">
        <v>31629</v>
      </c>
      <c r="B20" s="365">
        <v>31544</v>
      </c>
      <c r="C20" s="576" t="s">
        <v>630</v>
      </c>
      <c r="D20" s="284" t="s">
        <v>626</v>
      </c>
      <c r="E20" s="290">
        <v>26158</v>
      </c>
      <c r="F20" s="283">
        <v>24</v>
      </c>
      <c r="G20" s="283" t="s">
        <v>636</v>
      </c>
      <c r="H20" s="808" t="s">
        <v>95</v>
      </c>
      <c r="I20" s="283" t="s">
        <v>109</v>
      </c>
      <c r="J20" s="582" t="s">
        <v>113</v>
      </c>
      <c r="K20" s="581"/>
      <c r="L20" s="286" t="s">
        <v>100</v>
      </c>
      <c r="M20" s="286" t="s">
        <v>100</v>
      </c>
      <c r="N20" s="286" t="s">
        <v>100</v>
      </c>
      <c r="O20" s="286" t="s">
        <v>100</v>
      </c>
      <c r="P20" s="368" t="s">
        <v>631</v>
      </c>
      <c r="Q20" s="286" t="s">
        <v>121</v>
      </c>
      <c r="R20" s="286" t="s">
        <v>100</v>
      </c>
      <c r="S20" s="286" t="s">
        <v>100</v>
      </c>
      <c r="T20" s="322" t="s">
        <v>768</v>
      </c>
    </row>
    <row r="21" spans="1:20">
      <c r="A21" s="392" t="s">
        <v>151</v>
      </c>
      <c r="B21" s="290">
        <v>31763</v>
      </c>
      <c r="C21" s="286" t="s">
        <v>100</v>
      </c>
      <c r="D21" s="284" t="s">
        <v>199</v>
      </c>
      <c r="E21" s="328">
        <v>27106</v>
      </c>
      <c r="F21" s="283">
        <v>60</v>
      </c>
      <c r="G21" s="283" t="s">
        <v>189</v>
      </c>
      <c r="H21" s="286" t="s">
        <v>100</v>
      </c>
      <c r="I21" s="283"/>
      <c r="J21" s="285"/>
      <c r="K21" s="284"/>
      <c r="L21" s="286" t="s">
        <v>100</v>
      </c>
      <c r="M21" s="283"/>
      <c r="N21" s="283"/>
      <c r="O21" s="286" t="s">
        <v>100</v>
      </c>
      <c r="P21" s="283"/>
      <c r="Q21" s="285">
        <f t="shared" si="2"/>
        <v>0</v>
      </c>
      <c r="R21" s="286" t="s">
        <v>100</v>
      </c>
      <c r="S21" s="286" t="s">
        <v>100</v>
      </c>
      <c r="T21" s="286" t="s">
        <v>100</v>
      </c>
    </row>
    <row r="22" spans="1:20">
      <c r="A22" s="290">
        <v>32394</v>
      </c>
      <c r="B22" s="391"/>
      <c r="C22" s="576" t="s">
        <v>231</v>
      </c>
      <c r="D22" s="355"/>
      <c r="E22" s="391"/>
      <c r="F22" s="283">
        <v>16</v>
      </c>
      <c r="G22" s="283" t="s">
        <v>348</v>
      </c>
      <c r="H22" s="283" t="s">
        <v>95</v>
      </c>
      <c r="I22" s="283" t="s">
        <v>109</v>
      </c>
      <c r="J22" s="403"/>
      <c r="K22" s="354"/>
      <c r="L22" s="283" t="s">
        <v>125</v>
      </c>
      <c r="M22" s="322" t="s">
        <v>359</v>
      </c>
      <c r="N22" s="322" t="s">
        <v>127</v>
      </c>
      <c r="O22" s="286" t="s">
        <v>121</v>
      </c>
      <c r="P22" s="286"/>
      <c r="Q22" s="285"/>
      <c r="R22" s="286" t="s">
        <v>100</v>
      </c>
      <c r="S22" s="286" t="s">
        <v>100</v>
      </c>
      <c r="T22" s="286" t="s">
        <v>100</v>
      </c>
    </row>
    <row r="23" spans="1:20" s="104" customFormat="1">
      <c r="A23" s="365">
        <v>32480</v>
      </c>
      <c r="B23" s="391"/>
      <c r="C23" s="576" t="s">
        <v>787</v>
      </c>
      <c r="D23" s="355"/>
      <c r="E23" s="391"/>
      <c r="F23" s="368">
        <v>170</v>
      </c>
      <c r="G23" s="283" t="s">
        <v>788</v>
      </c>
      <c r="H23" s="283" t="s">
        <v>95</v>
      </c>
      <c r="I23" s="283" t="s">
        <v>109</v>
      </c>
      <c r="J23" s="403"/>
      <c r="K23" s="354"/>
      <c r="L23" s="368" t="s">
        <v>789</v>
      </c>
      <c r="M23" s="286" t="s">
        <v>121</v>
      </c>
      <c r="N23" s="519" t="s">
        <v>552</v>
      </c>
      <c r="O23" s="286" t="s">
        <v>121</v>
      </c>
      <c r="P23" s="808" t="s">
        <v>551</v>
      </c>
      <c r="Q23" s="286" t="s">
        <v>121</v>
      </c>
      <c r="R23" s="286" t="s">
        <v>100</v>
      </c>
      <c r="S23" s="286" t="s">
        <v>100</v>
      </c>
      <c r="T23" s="286" t="s">
        <v>100</v>
      </c>
    </row>
    <row r="24" spans="1:20" s="104" customFormat="1">
      <c r="A24" s="365">
        <v>32480</v>
      </c>
      <c r="B24" s="391"/>
      <c r="C24" s="576" t="s">
        <v>548</v>
      </c>
      <c r="D24" s="355"/>
      <c r="E24" s="391"/>
      <c r="F24" s="368">
        <v>170</v>
      </c>
      <c r="G24" s="283" t="s">
        <v>549</v>
      </c>
      <c r="H24" s="283" t="s">
        <v>95</v>
      </c>
      <c r="I24" s="283" t="s">
        <v>109</v>
      </c>
      <c r="J24" s="403"/>
      <c r="K24" s="354"/>
      <c r="L24" s="368" t="s">
        <v>550</v>
      </c>
      <c r="M24" s="286" t="s">
        <v>121</v>
      </c>
      <c r="N24" s="519" t="s">
        <v>552</v>
      </c>
      <c r="O24" s="286" t="s">
        <v>121</v>
      </c>
      <c r="P24" s="808" t="s">
        <v>551</v>
      </c>
      <c r="Q24" s="286" t="s">
        <v>121</v>
      </c>
      <c r="R24" s="286" t="s">
        <v>100</v>
      </c>
      <c r="S24" s="286" t="s">
        <v>100</v>
      </c>
      <c r="T24" s="286" t="s">
        <v>100</v>
      </c>
    </row>
    <row r="25" spans="1:20">
      <c r="A25" s="290">
        <v>32508</v>
      </c>
      <c r="B25" s="391"/>
      <c r="C25" s="576" t="s">
        <v>346</v>
      </c>
      <c r="D25" s="355"/>
      <c r="E25" s="391"/>
      <c r="F25" s="283">
        <v>21</v>
      </c>
      <c r="G25" s="283" t="s">
        <v>349</v>
      </c>
      <c r="H25" s="283" t="s">
        <v>95</v>
      </c>
      <c r="I25" s="283" t="s">
        <v>109</v>
      </c>
      <c r="J25" s="285"/>
      <c r="K25" s="284"/>
      <c r="L25" s="283" t="s">
        <v>357</v>
      </c>
      <c r="M25" s="322" t="s">
        <v>359</v>
      </c>
      <c r="N25" s="283" t="s">
        <v>358</v>
      </c>
      <c r="O25" s="286" t="s">
        <v>121</v>
      </c>
      <c r="P25" s="286"/>
      <c r="Q25" s="283"/>
      <c r="R25" s="285"/>
      <c r="S25" s="286"/>
      <c r="T25" s="286" t="s">
        <v>100</v>
      </c>
    </row>
    <row r="26" spans="1:20">
      <c r="A26" s="290">
        <v>32583</v>
      </c>
      <c r="B26" s="290">
        <v>32859</v>
      </c>
      <c r="C26" s="284">
        <v>11827</v>
      </c>
      <c r="D26" s="284" t="s">
        <v>199</v>
      </c>
      <c r="E26" s="328">
        <v>27106</v>
      </c>
      <c r="F26" s="283">
        <v>60</v>
      </c>
      <c r="G26" s="283" t="s">
        <v>190</v>
      </c>
      <c r="H26" s="283" t="s">
        <v>191</v>
      </c>
      <c r="I26" s="286" t="s">
        <v>100</v>
      </c>
      <c r="J26" s="285"/>
      <c r="K26" s="284"/>
      <c r="L26" s="286" t="s">
        <v>100</v>
      </c>
      <c r="M26" s="283"/>
      <c r="N26" s="283"/>
      <c r="O26" s="286" t="s">
        <v>100</v>
      </c>
      <c r="P26" s="283"/>
      <c r="Q26" s="285">
        <f t="shared" ref="Q26" si="3">P26/340.75</f>
        <v>0</v>
      </c>
      <c r="R26" s="286" t="s">
        <v>100</v>
      </c>
      <c r="S26" s="283"/>
      <c r="T26" s="286" t="s">
        <v>100</v>
      </c>
    </row>
    <row r="27" spans="1:20" s="583" customFormat="1">
      <c r="A27" s="682">
        <v>32736</v>
      </c>
      <c r="B27" s="391"/>
      <c r="C27" s="576" t="s">
        <v>757</v>
      </c>
      <c r="D27" s="391"/>
      <c r="E27" s="682">
        <v>32736</v>
      </c>
      <c r="F27" s="150">
        <v>173</v>
      </c>
      <c r="G27" s="283" t="s">
        <v>758</v>
      </c>
      <c r="H27" s="283" t="s">
        <v>95</v>
      </c>
      <c r="I27" s="283" t="s">
        <v>109</v>
      </c>
      <c r="J27" s="403"/>
      <c r="K27" s="403"/>
      <c r="L27" s="150" t="s">
        <v>764</v>
      </c>
      <c r="M27" s="286" t="s">
        <v>100</v>
      </c>
      <c r="N27" s="150" t="s">
        <v>763</v>
      </c>
      <c r="O27" s="286" t="s">
        <v>121</v>
      </c>
      <c r="P27" s="519" t="s">
        <v>759</v>
      </c>
      <c r="Q27" s="286" t="s">
        <v>100</v>
      </c>
      <c r="R27" s="150" t="s">
        <v>762</v>
      </c>
      <c r="S27" s="286" t="s">
        <v>100</v>
      </c>
      <c r="T27" s="150" t="s">
        <v>767</v>
      </c>
    </row>
    <row r="28" spans="1:20">
      <c r="A28" s="290">
        <v>32754</v>
      </c>
      <c r="B28" s="391"/>
      <c r="C28" s="576" t="s">
        <v>427</v>
      </c>
      <c r="D28" s="391"/>
      <c r="E28" s="290">
        <v>32754</v>
      </c>
      <c r="F28" s="283" t="s">
        <v>769</v>
      </c>
      <c r="G28" s="283" t="s">
        <v>425</v>
      </c>
      <c r="H28" s="283" t="s">
        <v>95</v>
      </c>
      <c r="I28" s="283" t="s">
        <v>109</v>
      </c>
      <c r="J28" s="403"/>
      <c r="K28" s="403"/>
      <c r="L28" s="283" t="s">
        <v>426</v>
      </c>
      <c r="M28" s="286" t="s">
        <v>100</v>
      </c>
      <c r="N28" s="283"/>
      <c r="O28" s="283"/>
      <c r="P28" s="286" t="s">
        <v>100</v>
      </c>
      <c r="Q28" s="285"/>
      <c r="R28" s="286" t="s">
        <v>100</v>
      </c>
      <c r="S28" s="283"/>
      <c r="T28" s="286" t="s">
        <v>100</v>
      </c>
    </row>
    <row r="29" spans="1:20">
      <c r="A29" s="290">
        <v>32975</v>
      </c>
      <c r="B29" s="391"/>
      <c r="C29" s="576" t="s">
        <v>428</v>
      </c>
      <c r="D29" s="284" t="s">
        <v>427</v>
      </c>
      <c r="E29" s="328">
        <v>32754</v>
      </c>
      <c r="F29" s="283" t="s">
        <v>769</v>
      </c>
      <c r="G29" s="283" t="s">
        <v>429</v>
      </c>
      <c r="H29" s="283" t="s">
        <v>95</v>
      </c>
      <c r="I29" s="391"/>
      <c r="J29" s="284"/>
      <c r="K29" s="284"/>
      <c r="L29" s="286" t="s">
        <v>100</v>
      </c>
      <c r="M29" s="283"/>
      <c r="N29" s="283"/>
      <c r="O29" s="283"/>
      <c r="P29" s="286" t="s">
        <v>100</v>
      </c>
      <c r="Q29" s="283"/>
      <c r="R29" s="286" t="s">
        <v>100</v>
      </c>
      <c r="S29" s="283"/>
      <c r="T29" s="286" t="s">
        <v>100</v>
      </c>
    </row>
    <row r="30" spans="1:20">
      <c r="A30" s="290">
        <v>33042</v>
      </c>
      <c r="B30" s="391"/>
      <c r="C30" s="576" t="s">
        <v>471</v>
      </c>
      <c r="D30" s="391"/>
      <c r="E30" s="290">
        <v>33042</v>
      </c>
      <c r="F30" s="283">
        <v>23</v>
      </c>
      <c r="G30" s="283" t="s">
        <v>472</v>
      </c>
      <c r="H30" s="283" t="s">
        <v>95</v>
      </c>
      <c r="I30" s="283" t="s">
        <v>109</v>
      </c>
      <c r="J30" s="403"/>
      <c r="K30" s="403"/>
      <c r="L30" s="283" t="s">
        <v>473</v>
      </c>
      <c r="M30" s="286" t="s">
        <v>100</v>
      </c>
      <c r="N30" s="283" t="s">
        <v>474</v>
      </c>
      <c r="O30" s="286" t="s">
        <v>121</v>
      </c>
      <c r="P30" s="286" t="s">
        <v>100</v>
      </c>
      <c r="Q30" s="283"/>
      <c r="R30" s="286" t="s">
        <v>100</v>
      </c>
      <c r="S30" s="283"/>
      <c r="T30" s="286" t="s">
        <v>100</v>
      </c>
    </row>
    <row r="31" spans="1:20" s="104" customFormat="1">
      <c r="A31" s="365">
        <v>33494</v>
      </c>
      <c r="B31" s="365">
        <v>33483</v>
      </c>
      <c r="C31" s="576" t="s">
        <v>553</v>
      </c>
      <c r="D31" s="365" t="s">
        <v>554</v>
      </c>
      <c r="E31" s="365">
        <v>32480</v>
      </c>
      <c r="F31" s="368">
        <v>170</v>
      </c>
      <c r="G31" s="283" t="s">
        <v>555</v>
      </c>
      <c r="H31" s="283" t="s">
        <v>95</v>
      </c>
      <c r="I31" s="283" t="s">
        <v>109</v>
      </c>
      <c r="J31" s="369" t="s">
        <v>556</v>
      </c>
      <c r="K31" s="369"/>
      <c r="L31" s="368" t="s">
        <v>550</v>
      </c>
      <c r="M31" s="286" t="s">
        <v>121</v>
      </c>
      <c r="N31" s="519" t="s">
        <v>552</v>
      </c>
      <c r="O31" s="286" t="s">
        <v>121</v>
      </c>
      <c r="P31" s="808" t="s">
        <v>551</v>
      </c>
      <c r="Q31" s="286" t="s">
        <v>121</v>
      </c>
      <c r="R31" s="286" t="s">
        <v>100</v>
      </c>
      <c r="S31" s="286" t="s">
        <v>100</v>
      </c>
      <c r="T31" s="286" t="s">
        <v>100</v>
      </c>
    </row>
    <row r="32" spans="1:20">
      <c r="A32" s="303">
        <v>33515</v>
      </c>
      <c r="B32" s="292">
        <v>33396</v>
      </c>
      <c r="C32" s="576" t="s">
        <v>434</v>
      </c>
      <c r="D32" s="284" t="s">
        <v>231</v>
      </c>
      <c r="E32" s="290">
        <v>32394</v>
      </c>
      <c r="F32" s="283">
        <v>16</v>
      </c>
      <c r="G32" s="283" t="s">
        <v>94</v>
      </c>
      <c r="H32" s="283" t="s">
        <v>95</v>
      </c>
      <c r="I32" s="283" t="s">
        <v>109</v>
      </c>
      <c r="J32" s="305" t="s">
        <v>113</v>
      </c>
      <c r="K32" s="305" t="s">
        <v>115</v>
      </c>
      <c r="L32" s="283" t="s">
        <v>125</v>
      </c>
      <c r="M32" s="286" t="s">
        <v>121</v>
      </c>
      <c r="N32" s="322" t="s">
        <v>127</v>
      </c>
      <c r="O32" s="286" t="s">
        <v>121</v>
      </c>
      <c r="P32" s="286" t="s">
        <v>100</v>
      </c>
      <c r="Q32" s="286" t="s">
        <v>100</v>
      </c>
      <c r="R32" s="283" t="s">
        <v>101</v>
      </c>
      <c r="S32" s="286" t="s">
        <v>100</v>
      </c>
      <c r="T32" s="286" t="s">
        <v>100</v>
      </c>
    </row>
    <row r="33" spans="1:20">
      <c r="A33" s="290">
        <v>33506</v>
      </c>
      <c r="B33" s="290">
        <v>33511</v>
      </c>
      <c r="C33" s="576" t="s">
        <v>433</v>
      </c>
      <c r="D33" s="284" t="s">
        <v>346</v>
      </c>
      <c r="E33" s="290">
        <v>32508</v>
      </c>
      <c r="F33" s="283">
        <v>21</v>
      </c>
      <c r="G33" s="283" t="s">
        <v>349</v>
      </c>
      <c r="H33" s="283" t="s">
        <v>95</v>
      </c>
      <c r="I33" s="283" t="s">
        <v>109</v>
      </c>
      <c r="J33" s="284"/>
      <c r="K33" s="284"/>
      <c r="L33" s="283" t="s">
        <v>357</v>
      </c>
      <c r="M33" s="322" t="s">
        <v>359</v>
      </c>
      <c r="N33" s="283" t="s">
        <v>358</v>
      </c>
      <c r="O33" s="286" t="s">
        <v>121</v>
      </c>
      <c r="P33" s="283"/>
      <c r="Q33" s="283"/>
      <c r="R33" s="283"/>
      <c r="S33" s="283"/>
      <c r="T33" s="286" t="s">
        <v>100</v>
      </c>
    </row>
    <row r="34" spans="1:20" s="583" customFormat="1">
      <c r="A34" s="682">
        <v>33738</v>
      </c>
      <c r="B34" s="682">
        <v>33770</v>
      </c>
      <c r="C34" s="576" t="s">
        <v>770</v>
      </c>
      <c r="D34" s="581" t="s">
        <v>757</v>
      </c>
      <c r="E34" s="682">
        <v>32736</v>
      </c>
      <c r="F34" s="150">
        <v>173</v>
      </c>
      <c r="G34" s="283" t="s">
        <v>758</v>
      </c>
      <c r="H34" s="283" t="s">
        <v>95</v>
      </c>
      <c r="I34" s="283" t="s">
        <v>109</v>
      </c>
      <c r="J34" s="581"/>
      <c r="K34" s="581"/>
      <c r="L34" s="150" t="s">
        <v>764</v>
      </c>
      <c r="M34" s="286" t="s">
        <v>100</v>
      </c>
      <c r="N34" s="150" t="s">
        <v>763</v>
      </c>
      <c r="O34" s="286" t="s">
        <v>121</v>
      </c>
      <c r="P34" s="519" t="s">
        <v>759</v>
      </c>
      <c r="Q34" s="286" t="s">
        <v>100</v>
      </c>
      <c r="R34" s="150" t="s">
        <v>762</v>
      </c>
      <c r="S34" s="286" t="s">
        <v>100</v>
      </c>
      <c r="T34" s="150" t="s">
        <v>767</v>
      </c>
    </row>
    <row r="35" spans="1:20">
      <c r="A35" s="304">
        <v>34043</v>
      </c>
      <c r="B35" s="290">
        <v>33757</v>
      </c>
      <c r="C35" s="576" t="s">
        <v>437</v>
      </c>
      <c r="D35" s="284" t="s">
        <v>427</v>
      </c>
      <c r="E35" s="328">
        <v>32754</v>
      </c>
      <c r="F35" s="283" t="s">
        <v>769</v>
      </c>
      <c r="G35" s="283" t="s">
        <v>425</v>
      </c>
      <c r="H35" s="283" t="s">
        <v>95</v>
      </c>
      <c r="I35" s="283" t="s">
        <v>109</v>
      </c>
      <c r="J35" s="305" t="s">
        <v>436</v>
      </c>
      <c r="K35" s="305" t="s">
        <v>165</v>
      </c>
      <c r="L35" s="283" t="s">
        <v>426</v>
      </c>
      <c r="M35" s="286" t="s">
        <v>100</v>
      </c>
      <c r="N35" s="286" t="s">
        <v>100</v>
      </c>
      <c r="O35" s="283"/>
      <c r="P35" s="286" t="s">
        <v>100</v>
      </c>
      <c r="Q35" s="283"/>
      <c r="R35" s="286" t="s">
        <v>100</v>
      </c>
      <c r="S35" s="283"/>
      <c r="T35" s="286" t="s">
        <v>100</v>
      </c>
    </row>
    <row r="36" spans="1:20">
      <c r="A36" s="365">
        <v>34045</v>
      </c>
      <c r="B36" s="290">
        <v>34045</v>
      </c>
      <c r="C36" s="576" t="s">
        <v>479</v>
      </c>
      <c r="D36" s="284" t="s">
        <v>471</v>
      </c>
      <c r="E36" s="290">
        <v>33042</v>
      </c>
      <c r="F36" s="283">
        <v>23</v>
      </c>
      <c r="G36" s="283" t="s">
        <v>472</v>
      </c>
      <c r="H36" s="283" t="s">
        <v>95</v>
      </c>
      <c r="I36" s="283" t="s">
        <v>109</v>
      </c>
      <c r="J36" s="284"/>
      <c r="K36" s="284"/>
      <c r="L36" s="286" t="s">
        <v>100</v>
      </c>
      <c r="M36" s="283"/>
      <c r="N36" s="283" t="s">
        <v>474</v>
      </c>
      <c r="O36" s="286" t="s">
        <v>121</v>
      </c>
      <c r="P36" s="286" t="s">
        <v>100</v>
      </c>
      <c r="Q36" s="283"/>
      <c r="R36" s="286" t="s">
        <v>100</v>
      </c>
      <c r="S36" s="283"/>
      <c r="T36" s="286" t="s">
        <v>100</v>
      </c>
    </row>
    <row r="37" spans="1:20">
      <c r="A37" s="290">
        <v>34486</v>
      </c>
      <c r="B37" s="290">
        <v>34607</v>
      </c>
      <c r="C37" s="576" t="s">
        <v>432</v>
      </c>
      <c r="D37" s="284" t="s">
        <v>346</v>
      </c>
      <c r="E37" s="290">
        <v>32508</v>
      </c>
      <c r="F37" s="283">
        <v>21</v>
      </c>
      <c r="G37" s="283" t="s">
        <v>349</v>
      </c>
      <c r="H37" s="283" t="s">
        <v>95</v>
      </c>
      <c r="I37" s="283" t="s">
        <v>109</v>
      </c>
      <c r="J37" s="284"/>
      <c r="K37" s="284"/>
      <c r="L37" s="283" t="s">
        <v>357</v>
      </c>
      <c r="M37" s="322" t="s">
        <v>359</v>
      </c>
      <c r="N37" s="283"/>
      <c r="O37" s="283"/>
      <c r="P37" s="283"/>
      <c r="Q37" s="283"/>
      <c r="R37" s="283"/>
      <c r="S37" s="283"/>
      <c r="T37" s="286" t="s">
        <v>100</v>
      </c>
    </row>
    <row r="38" spans="1:20">
      <c r="A38" s="290">
        <v>34494</v>
      </c>
      <c r="B38" s="365">
        <v>34579</v>
      </c>
      <c r="C38" s="576" t="s">
        <v>574</v>
      </c>
      <c r="D38" s="365" t="s">
        <v>554</v>
      </c>
      <c r="E38" s="365">
        <v>32480</v>
      </c>
      <c r="F38" s="368">
        <v>25</v>
      </c>
      <c r="G38" s="283" t="s">
        <v>555</v>
      </c>
      <c r="H38" s="283" t="s">
        <v>95</v>
      </c>
      <c r="I38" s="283" t="s">
        <v>109</v>
      </c>
      <c r="J38" s="284"/>
      <c r="K38" s="284"/>
      <c r="L38" s="283"/>
      <c r="M38" s="283"/>
      <c r="N38" s="283"/>
      <c r="O38" s="283"/>
      <c r="P38" s="283"/>
      <c r="Q38" s="283"/>
      <c r="R38" s="283"/>
      <c r="S38" s="283"/>
      <c r="T38" s="286" t="s">
        <v>100</v>
      </c>
    </row>
    <row r="39" spans="1:20">
      <c r="A39" s="292">
        <v>34835</v>
      </c>
      <c r="B39" s="290">
        <v>34852</v>
      </c>
      <c r="C39" s="576" t="s">
        <v>438</v>
      </c>
      <c r="D39" s="284" t="s">
        <v>427</v>
      </c>
      <c r="E39" s="328">
        <v>32754</v>
      </c>
      <c r="F39" s="283" t="s">
        <v>769</v>
      </c>
      <c r="G39" s="283" t="s">
        <v>425</v>
      </c>
      <c r="H39" s="283" t="s">
        <v>95</v>
      </c>
      <c r="I39" s="283" t="s">
        <v>109</v>
      </c>
      <c r="J39" s="305"/>
      <c r="K39" s="284"/>
      <c r="L39" s="286" t="s">
        <v>100</v>
      </c>
      <c r="M39" s="283"/>
      <c r="N39" s="283"/>
      <c r="O39" s="283"/>
      <c r="P39" s="286" t="s">
        <v>100</v>
      </c>
      <c r="Q39" s="283"/>
      <c r="R39" s="286" t="s">
        <v>100</v>
      </c>
      <c r="S39" s="283"/>
      <c r="T39" s="286" t="s">
        <v>100</v>
      </c>
    </row>
    <row r="40" spans="1:20" s="583" customFormat="1">
      <c r="A40" s="290">
        <v>34962</v>
      </c>
      <c r="B40" s="391"/>
      <c r="C40" s="576" t="s">
        <v>682</v>
      </c>
      <c r="D40" s="354"/>
      <c r="E40" s="391"/>
      <c r="F40" s="150">
        <v>30</v>
      </c>
      <c r="G40" s="368" t="s">
        <v>687</v>
      </c>
      <c r="H40" s="368" t="s">
        <v>95</v>
      </c>
      <c r="I40" s="283" t="s">
        <v>109</v>
      </c>
      <c r="J40" s="403"/>
      <c r="K40" s="354"/>
      <c r="L40" s="368" t="s">
        <v>688</v>
      </c>
      <c r="M40" s="286" t="s">
        <v>100</v>
      </c>
      <c r="N40" s="368" t="s">
        <v>689</v>
      </c>
      <c r="O40" s="286" t="s">
        <v>100</v>
      </c>
      <c r="P40" s="519" t="s">
        <v>690</v>
      </c>
      <c r="Q40" s="286" t="s">
        <v>100</v>
      </c>
      <c r="R40" s="368" t="s">
        <v>691</v>
      </c>
      <c r="S40" s="286" t="s">
        <v>100</v>
      </c>
      <c r="T40" s="286" t="s">
        <v>100</v>
      </c>
    </row>
    <row r="41" spans="1:20">
      <c r="A41" s="290">
        <v>34962</v>
      </c>
      <c r="B41" s="391"/>
      <c r="C41" s="576" t="s">
        <v>198</v>
      </c>
      <c r="D41" s="354"/>
      <c r="E41" s="391"/>
      <c r="F41" s="283">
        <v>16</v>
      </c>
      <c r="G41" s="283" t="s">
        <v>122</v>
      </c>
      <c r="H41" s="283" t="s">
        <v>95</v>
      </c>
      <c r="I41" s="283" t="s">
        <v>109</v>
      </c>
      <c r="J41" s="403"/>
      <c r="K41" s="354"/>
      <c r="L41" s="283" t="s">
        <v>162</v>
      </c>
      <c r="M41" s="286" t="s">
        <v>121</v>
      </c>
      <c r="N41" s="283"/>
      <c r="O41" s="283" t="s">
        <v>163</v>
      </c>
      <c r="P41" s="286" t="s">
        <v>100</v>
      </c>
      <c r="Q41" s="285"/>
      <c r="R41" s="283" t="s">
        <v>160</v>
      </c>
      <c r="S41" s="286" t="s">
        <v>100</v>
      </c>
      <c r="T41" s="286" t="s">
        <v>100</v>
      </c>
    </row>
    <row r="42" spans="1:20" s="583" customFormat="1">
      <c r="A42" s="682">
        <v>34978</v>
      </c>
      <c r="B42" s="365">
        <v>35197</v>
      </c>
      <c r="C42" s="576" t="s">
        <v>637</v>
      </c>
      <c r="D42" s="284" t="s">
        <v>626</v>
      </c>
      <c r="E42" s="290">
        <v>26158</v>
      </c>
      <c r="F42" s="283">
        <v>24</v>
      </c>
      <c r="G42" s="283" t="s">
        <v>638</v>
      </c>
      <c r="H42" s="808" t="s">
        <v>95</v>
      </c>
      <c r="I42" s="283" t="s">
        <v>109</v>
      </c>
      <c r="J42" s="582"/>
      <c r="K42" s="581"/>
      <c r="L42" s="286" t="s">
        <v>100</v>
      </c>
      <c r="M42" s="286" t="s">
        <v>100</v>
      </c>
      <c r="N42" s="286" t="s">
        <v>100</v>
      </c>
      <c r="O42" s="286" t="s">
        <v>100</v>
      </c>
      <c r="P42" s="368" t="s">
        <v>640</v>
      </c>
      <c r="Q42" s="286" t="s">
        <v>121</v>
      </c>
      <c r="R42" s="808" t="s">
        <v>639</v>
      </c>
      <c r="S42" s="286" t="s">
        <v>121</v>
      </c>
      <c r="T42" s="322" t="s">
        <v>768</v>
      </c>
    </row>
    <row r="43" spans="1:20">
      <c r="A43" s="290">
        <v>35060</v>
      </c>
      <c r="B43" s="391"/>
      <c r="C43" s="576" t="s">
        <v>480</v>
      </c>
      <c r="D43" s="284" t="s">
        <v>471</v>
      </c>
      <c r="E43" s="290">
        <v>33042</v>
      </c>
      <c r="F43" s="283">
        <v>23</v>
      </c>
      <c r="G43" s="283" t="s">
        <v>472</v>
      </c>
      <c r="H43" s="283" t="s">
        <v>95</v>
      </c>
      <c r="I43" s="403"/>
      <c r="J43" s="403"/>
      <c r="K43" s="403"/>
      <c r="L43" s="283"/>
      <c r="M43" s="283"/>
      <c r="N43" s="283"/>
      <c r="O43" s="283"/>
      <c r="P43" s="283"/>
      <c r="Q43" s="283"/>
      <c r="R43" s="283"/>
      <c r="S43" s="283"/>
      <c r="T43" s="286" t="s">
        <v>100</v>
      </c>
    </row>
    <row r="44" spans="1:20">
      <c r="A44" s="577">
        <v>35110</v>
      </c>
      <c r="B44" s="290">
        <v>35141</v>
      </c>
      <c r="C44" s="576" t="s">
        <v>509</v>
      </c>
      <c r="D44" s="284" t="s">
        <v>471</v>
      </c>
      <c r="E44" s="290">
        <v>33042</v>
      </c>
      <c r="F44" s="283">
        <v>23</v>
      </c>
      <c r="G44" s="283" t="s">
        <v>472</v>
      </c>
      <c r="H44" s="283" t="s">
        <v>95</v>
      </c>
      <c r="I44" s="283" t="s">
        <v>109</v>
      </c>
      <c r="J44" s="284" t="s">
        <v>115</v>
      </c>
      <c r="K44" s="284"/>
      <c r="L44" s="283"/>
      <c r="M44" s="283"/>
      <c r="N44" s="283"/>
      <c r="O44" s="283"/>
      <c r="P44" s="283"/>
      <c r="Q44" s="283"/>
      <c r="R44" s="283"/>
      <c r="S44" s="283"/>
      <c r="T44" s="286" t="s">
        <v>100</v>
      </c>
    </row>
    <row r="45" spans="1:20">
      <c r="A45" s="304">
        <v>35185</v>
      </c>
      <c r="B45" s="292">
        <v>34492</v>
      </c>
      <c r="C45" s="576" t="s">
        <v>431</v>
      </c>
      <c r="D45" s="284" t="s">
        <v>231</v>
      </c>
      <c r="E45" s="290">
        <v>32394</v>
      </c>
      <c r="F45" s="283">
        <v>16</v>
      </c>
      <c r="G45" s="283" t="s">
        <v>94</v>
      </c>
      <c r="H45" s="283" t="s">
        <v>95</v>
      </c>
      <c r="I45" s="283" t="s">
        <v>109</v>
      </c>
      <c r="J45" s="306" t="s">
        <v>112</v>
      </c>
      <c r="K45" s="306" t="s">
        <v>116</v>
      </c>
      <c r="L45" s="283" t="s">
        <v>125</v>
      </c>
      <c r="M45" s="286" t="s">
        <v>121</v>
      </c>
      <c r="N45" s="322" t="s">
        <v>127</v>
      </c>
      <c r="O45" s="286" t="s">
        <v>121</v>
      </c>
      <c r="P45" s="286" t="s">
        <v>100</v>
      </c>
      <c r="Q45" s="286" t="s">
        <v>100</v>
      </c>
      <c r="R45" s="283" t="s">
        <v>101</v>
      </c>
      <c r="S45" s="286" t="s">
        <v>100</v>
      </c>
      <c r="T45" s="286" t="s">
        <v>100</v>
      </c>
    </row>
    <row r="46" spans="1:20">
      <c r="A46" s="290">
        <v>35584</v>
      </c>
      <c r="B46" s="290">
        <v>35675</v>
      </c>
      <c r="C46" s="576" t="s">
        <v>575</v>
      </c>
      <c r="D46" s="365" t="s">
        <v>554</v>
      </c>
      <c r="E46" s="365">
        <v>32480</v>
      </c>
      <c r="F46" s="368">
        <v>25</v>
      </c>
      <c r="G46" s="283" t="s">
        <v>555</v>
      </c>
      <c r="H46" s="283" t="s">
        <v>95</v>
      </c>
      <c r="I46" s="283" t="s">
        <v>109</v>
      </c>
      <c r="J46" s="284"/>
      <c r="K46" s="284"/>
      <c r="L46" s="283"/>
      <c r="M46" s="283"/>
      <c r="N46" s="283"/>
      <c r="O46" s="283"/>
      <c r="P46" s="283"/>
      <c r="Q46" s="283"/>
      <c r="R46" s="283"/>
      <c r="S46" s="283"/>
      <c r="T46" s="286" t="s">
        <v>100</v>
      </c>
    </row>
    <row r="47" spans="1:20">
      <c r="A47" s="392" t="s">
        <v>151</v>
      </c>
      <c r="B47" s="292">
        <v>35588</v>
      </c>
      <c r="C47" s="277" t="s">
        <v>151</v>
      </c>
      <c r="D47" s="284" t="s">
        <v>231</v>
      </c>
      <c r="E47" s="290">
        <v>32394</v>
      </c>
      <c r="F47" s="283">
        <v>16</v>
      </c>
      <c r="G47" s="283" t="s">
        <v>94</v>
      </c>
      <c r="H47" s="286" t="s">
        <v>100</v>
      </c>
      <c r="I47" s="283" t="s">
        <v>109</v>
      </c>
      <c r="J47" s="284"/>
      <c r="K47" s="284"/>
      <c r="L47" s="283" t="s">
        <v>125</v>
      </c>
      <c r="M47" s="286" t="s">
        <v>121</v>
      </c>
      <c r="N47" s="322" t="s">
        <v>127</v>
      </c>
      <c r="O47" s="286" t="s">
        <v>121</v>
      </c>
      <c r="P47" s="286" t="s">
        <v>100</v>
      </c>
      <c r="Q47" s="286" t="s">
        <v>100</v>
      </c>
      <c r="R47" s="283" t="s">
        <v>101</v>
      </c>
      <c r="S47" s="286" t="s">
        <v>100</v>
      </c>
      <c r="T47" s="322"/>
    </row>
    <row r="48" spans="1:20">
      <c r="A48" s="290">
        <v>35612</v>
      </c>
      <c r="B48" s="290">
        <v>35703</v>
      </c>
      <c r="C48" s="576" t="s">
        <v>430</v>
      </c>
      <c r="D48" s="284" t="s">
        <v>346</v>
      </c>
      <c r="E48" s="290">
        <v>32508</v>
      </c>
      <c r="F48" s="283">
        <v>21</v>
      </c>
      <c r="G48" s="283" t="s">
        <v>349</v>
      </c>
      <c r="H48" s="283" t="s">
        <v>95</v>
      </c>
      <c r="I48" s="283" t="s">
        <v>109</v>
      </c>
      <c r="J48" s="284"/>
      <c r="K48" s="284"/>
      <c r="L48" s="283" t="s">
        <v>357</v>
      </c>
      <c r="M48" s="322" t="s">
        <v>359</v>
      </c>
      <c r="N48" s="283" t="s">
        <v>358</v>
      </c>
      <c r="O48" s="286" t="s">
        <v>121</v>
      </c>
      <c r="P48" s="283"/>
      <c r="Q48" s="283"/>
      <c r="R48" s="283"/>
      <c r="S48" s="283"/>
      <c r="T48" s="286" t="s">
        <v>100</v>
      </c>
    </row>
    <row r="49" spans="1:20">
      <c r="A49" s="292">
        <v>35933</v>
      </c>
      <c r="B49" s="290">
        <v>35948</v>
      </c>
      <c r="C49" s="576">
        <v>14092</v>
      </c>
      <c r="D49" s="284" t="s">
        <v>427</v>
      </c>
      <c r="E49" s="328">
        <v>32754</v>
      </c>
      <c r="F49" s="283" t="s">
        <v>769</v>
      </c>
      <c r="G49" s="283" t="s">
        <v>425</v>
      </c>
      <c r="H49" s="283" t="s">
        <v>95</v>
      </c>
      <c r="I49" s="283" t="s">
        <v>109</v>
      </c>
      <c r="J49" s="305"/>
      <c r="K49" s="284"/>
      <c r="L49" s="286" t="s">
        <v>100</v>
      </c>
      <c r="M49" s="283"/>
      <c r="N49" s="283"/>
      <c r="O49" s="283"/>
      <c r="P49" s="286" t="s">
        <v>100</v>
      </c>
      <c r="Q49" s="283"/>
      <c r="R49" s="286" t="s">
        <v>100</v>
      </c>
      <c r="S49" s="283"/>
      <c r="T49" s="286" t="s">
        <v>100</v>
      </c>
    </row>
    <row r="50" spans="1:20">
      <c r="A50" s="348">
        <v>36136</v>
      </c>
      <c r="B50" s="290">
        <v>35965</v>
      </c>
      <c r="C50" s="284">
        <v>24</v>
      </c>
      <c r="D50" s="284" t="s">
        <v>198</v>
      </c>
      <c r="E50" s="328">
        <v>34962</v>
      </c>
      <c r="F50" s="283">
        <v>16</v>
      </c>
      <c r="G50" s="283" t="s">
        <v>122</v>
      </c>
      <c r="H50" s="283" t="s">
        <v>167</v>
      </c>
      <c r="I50" s="283" t="s">
        <v>109</v>
      </c>
      <c r="J50" s="305" t="s">
        <v>165</v>
      </c>
      <c r="K50" s="305" t="s">
        <v>113</v>
      </c>
      <c r="L50" s="283" t="s">
        <v>162</v>
      </c>
      <c r="M50" s="286" t="s">
        <v>121</v>
      </c>
      <c r="N50" s="283" t="s">
        <v>163</v>
      </c>
      <c r="O50" s="286" t="s">
        <v>100</v>
      </c>
      <c r="P50" s="283" t="s">
        <v>163</v>
      </c>
      <c r="Q50" s="286" t="s">
        <v>100</v>
      </c>
      <c r="R50" s="283"/>
      <c r="S50" s="286" t="s">
        <v>100</v>
      </c>
      <c r="T50" s="322"/>
    </row>
    <row r="51" spans="1:20">
      <c r="A51" s="290">
        <v>36236</v>
      </c>
      <c r="B51" s="290">
        <v>36511</v>
      </c>
      <c r="C51" s="284">
        <v>18939</v>
      </c>
      <c r="D51" s="284" t="s">
        <v>199</v>
      </c>
      <c r="E51" s="328">
        <v>27106</v>
      </c>
      <c r="F51" s="283">
        <v>60</v>
      </c>
      <c r="G51" s="283" t="s">
        <v>192</v>
      </c>
      <c r="H51" s="283" t="s">
        <v>193</v>
      </c>
      <c r="I51" s="286" t="s">
        <v>100</v>
      </c>
      <c r="J51" s="285"/>
      <c r="K51" s="284"/>
      <c r="L51" s="286" t="s">
        <v>100</v>
      </c>
      <c r="M51" s="283"/>
      <c r="N51" s="286" t="s">
        <v>100</v>
      </c>
      <c r="O51" s="286"/>
      <c r="P51" s="286" t="s">
        <v>100</v>
      </c>
      <c r="Q51" s="283"/>
      <c r="R51" s="283"/>
      <c r="S51" s="283"/>
      <c r="T51" s="286" t="s">
        <v>100</v>
      </c>
    </row>
    <row r="52" spans="1:20">
      <c r="A52" s="303">
        <v>36290</v>
      </c>
      <c r="B52" s="290">
        <v>36236</v>
      </c>
      <c r="C52" s="575">
        <v>392</v>
      </c>
      <c r="D52" s="284" t="s">
        <v>471</v>
      </c>
      <c r="E52" s="290">
        <v>33042</v>
      </c>
      <c r="F52" s="283">
        <v>23</v>
      </c>
      <c r="G52" s="283" t="s">
        <v>472</v>
      </c>
      <c r="H52" s="283" t="s">
        <v>124</v>
      </c>
      <c r="I52" s="283" t="s">
        <v>109</v>
      </c>
      <c r="J52" s="305" t="s">
        <v>166</v>
      </c>
      <c r="K52" s="284"/>
      <c r="L52" s="283"/>
      <c r="M52" s="283"/>
      <c r="N52" s="283"/>
      <c r="O52" s="283"/>
      <c r="P52" s="283"/>
      <c r="Q52" s="283"/>
      <c r="R52" s="283"/>
      <c r="S52" s="283"/>
      <c r="T52" s="286" t="s">
        <v>100</v>
      </c>
    </row>
    <row r="53" spans="1:20">
      <c r="A53" s="392" t="s">
        <v>151</v>
      </c>
      <c r="B53" s="292">
        <v>36684</v>
      </c>
      <c r="C53" s="277" t="s">
        <v>151</v>
      </c>
      <c r="D53" s="284" t="s">
        <v>231</v>
      </c>
      <c r="E53" s="290">
        <v>32394</v>
      </c>
      <c r="F53" s="283">
        <v>16</v>
      </c>
      <c r="G53" s="283" t="s">
        <v>348</v>
      </c>
      <c r="H53" s="286" t="s">
        <v>100</v>
      </c>
      <c r="I53" s="283" t="s">
        <v>109</v>
      </c>
      <c r="J53" s="284"/>
      <c r="K53" s="284"/>
      <c r="L53" s="283" t="s">
        <v>125</v>
      </c>
      <c r="M53" s="286" t="s">
        <v>121</v>
      </c>
      <c r="N53" s="322" t="s">
        <v>127</v>
      </c>
      <c r="O53" s="286" t="s">
        <v>121</v>
      </c>
      <c r="P53" s="286" t="s">
        <v>100</v>
      </c>
      <c r="Q53" s="286" t="s">
        <v>100</v>
      </c>
      <c r="R53" s="283" t="s">
        <v>101</v>
      </c>
      <c r="S53" s="286" t="s">
        <v>100</v>
      </c>
      <c r="T53" s="322"/>
    </row>
    <row r="54" spans="1:20">
      <c r="A54" s="290">
        <v>36707</v>
      </c>
      <c r="B54" s="290">
        <v>36799</v>
      </c>
      <c r="C54" s="575">
        <v>1041</v>
      </c>
      <c r="D54" s="284" t="s">
        <v>346</v>
      </c>
      <c r="E54" s="290">
        <v>32508</v>
      </c>
      <c r="F54" s="283">
        <v>21</v>
      </c>
      <c r="G54" s="283" t="s">
        <v>349</v>
      </c>
      <c r="H54" s="283" t="s">
        <v>124</v>
      </c>
      <c r="I54" s="283" t="s">
        <v>109</v>
      </c>
      <c r="J54" s="284"/>
      <c r="K54" s="284"/>
      <c r="L54" s="283" t="s">
        <v>357</v>
      </c>
      <c r="M54" s="322" t="s">
        <v>359</v>
      </c>
      <c r="N54" s="283" t="s">
        <v>358</v>
      </c>
      <c r="O54" s="286" t="s">
        <v>121</v>
      </c>
      <c r="P54" s="283"/>
      <c r="Q54" s="283"/>
      <c r="R54" s="283"/>
      <c r="S54" s="283"/>
      <c r="T54" s="286" t="s">
        <v>100</v>
      </c>
    </row>
    <row r="55" spans="1:20" s="583" customFormat="1">
      <c r="A55" s="292">
        <v>36788</v>
      </c>
      <c r="B55" s="816"/>
      <c r="C55" s="649">
        <v>27556</v>
      </c>
      <c r="D55" s="814"/>
      <c r="E55" s="814"/>
      <c r="F55" s="809">
        <v>24</v>
      </c>
      <c r="G55" s="809" t="s">
        <v>659</v>
      </c>
      <c r="H55" s="809" t="s">
        <v>656</v>
      </c>
      <c r="I55" s="283" t="s">
        <v>109</v>
      </c>
      <c r="J55" s="814"/>
      <c r="K55" s="814"/>
      <c r="L55" s="286" t="s">
        <v>100</v>
      </c>
      <c r="M55" s="286" t="s">
        <v>100</v>
      </c>
      <c r="N55" s="814"/>
      <c r="O55" s="814"/>
      <c r="P55" s="809" t="s">
        <v>657</v>
      </c>
      <c r="Q55" s="286" t="s">
        <v>100</v>
      </c>
      <c r="R55" s="809" t="s">
        <v>658</v>
      </c>
      <c r="S55" s="286" t="s">
        <v>100</v>
      </c>
      <c r="T55" s="286" t="s">
        <v>100</v>
      </c>
    </row>
    <row r="56" spans="1:20" s="104" customFormat="1">
      <c r="A56" s="577">
        <v>36809</v>
      </c>
      <c r="B56" s="365">
        <v>36771</v>
      </c>
      <c r="C56" s="575">
        <v>1240</v>
      </c>
      <c r="D56" s="365" t="s">
        <v>554</v>
      </c>
      <c r="E56" s="365">
        <v>32480</v>
      </c>
      <c r="F56" s="368">
        <v>25</v>
      </c>
      <c r="G56" s="283" t="s">
        <v>555</v>
      </c>
      <c r="H56" s="368" t="s">
        <v>124</v>
      </c>
      <c r="I56" s="283" t="s">
        <v>109</v>
      </c>
      <c r="J56" s="743" t="s">
        <v>115</v>
      </c>
      <c r="K56" s="418"/>
      <c r="L56" s="368"/>
      <c r="M56" s="519"/>
      <c r="N56" s="368"/>
      <c r="O56" s="419"/>
      <c r="P56" s="368"/>
      <c r="Q56" s="368"/>
      <c r="R56" s="368"/>
      <c r="S56" s="368"/>
      <c r="T56" s="286" t="s">
        <v>100</v>
      </c>
    </row>
    <row r="57" spans="1:20" s="104" customFormat="1">
      <c r="A57" s="365">
        <v>37035</v>
      </c>
      <c r="B57" s="365">
        <v>37044</v>
      </c>
      <c r="C57" s="418">
        <v>1581</v>
      </c>
      <c r="D57" s="284" t="s">
        <v>427</v>
      </c>
      <c r="E57" s="328">
        <v>32754</v>
      </c>
      <c r="F57" s="283" t="s">
        <v>769</v>
      </c>
      <c r="G57" s="283" t="s">
        <v>425</v>
      </c>
      <c r="H57" s="283" t="s">
        <v>124</v>
      </c>
      <c r="I57" s="283" t="s">
        <v>109</v>
      </c>
      <c r="J57" s="418"/>
      <c r="K57" s="418"/>
      <c r="L57" s="368"/>
      <c r="M57" s="519"/>
      <c r="N57" s="368"/>
      <c r="O57" s="419"/>
      <c r="P57" s="368"/>
      <c r="Q57" s="368"/>
      <c r="R57" s="368"/>
      <c r="S57" s="368"/>
      <c r="T57" s="286" t="s">
        <v>100</v>
      </c>
    </row>
    <row r="58" spans="1:20">
      <c r="A58" s="348">
        <v>37222</v>
      </c>
      <c r="B58" s="290">
        <v>37061</v>
      </c>
      <c r="C58" s="284">
        <v>532</v>
      </c>
      <c r="D58" s="284" t="s">
        <v>198</v>
      </c>
      <c r="E58" s="328">
        <v>34962</v>
      </c>
      <c r="F58" s="283">
        <v>16</v>
      </c>
      <c r="G58" s="283" t="s">
        <v>122</v>
      </c>
      <c r="H58" s="283" t="s">
        <v>167</v>
      </c>
      <c r="I58" s="283" t="s">
        <v>109</v>
      </c>
      <c r="J58" s="305" t="s">
        <v>165</v>
      </c>
      <c r="K58" s="305" t="s">
        <v>166</v>
      </c>
      <c r="L58" s="283" t="s">
        <v>162</v>
      </c>
      <c r="M58" s="286" t="s">
        <v>121</v>
      </c>
      <c r="N58" s="283" t="s">
        <v>163</v>
      </c>
      <c r="O58" s="286" t="s">
        <v>100</v>
      </c>
      <c r="P58" s="283" t="s">
        <v>163</v>
      </c>
      <c r="Q58" s="286" t="s">
        <v>100</v>
      </c>
      <c r="R58" s="283"/>
      <c r="S58" s="286" t="s">
        <v>100</v>
      </c>
      <c r="T58" s="322"/>
    </row>
    <row r="59" spans="1:20">
      <c r="A59" s="303">
        <v>37335</v>
      </c>
      <c r="B59" s="290">
        <v>37332</v>
      </c>
      <c r="C59" s="284">
        <v>2056</v>
      </c>
      <c r="D59" s="284" t="s">
        <v>471</v>
      </c>
      <c r="E59" s="290">
        <v>33042</v>
      </c>
      <c r="F59" s="283">
        <v>23</v>
      </c>
      <c r="G59" s="283" t="s">
        <v>472</v>
      </c>
      <c r="H59" s="283" t="s">
        <v>124</v>
      </c>
      <c r="I59" s="283" t="s">
        <v>109</v>
      </c>
      <c r="J59" s="284" t="s">
        <v>517</v>
      </c>
      <c r="K59" s="284" t="s">
        <v>517</v>
      </c>
      <c r="L59" s="283"/>
      <c r="M59" s="283"/>
      <c r="N59" s="283"/>
      <c r="O59" s="283"/>
      <c r="P59" s="283"/>
      <c r="Q59" s="283"/>
      <c r="R59" s="283"/>
      <c r="S59" s="283"/>
      <c r="T59" s="286" t="s">
        <v>100</v>
      </c>
    </row>
    <row r="60" spans="1:20">
      <c r="A60" s="277" t="s">
        <v>151</v>
      </c>
      <c r="B60" s="292">
        <v>37779</v>
      </c>
      <c r="C60" s="277" t="s">
        <v>151</v>
      </c>
      <c r="D60" s="284" t="s">
        <v>231</v>
      </c>
      <c r="E60" s="290">
        <v>32394</v>
      </c>
      <c r="F60" s="283">
        <v>16</v>
      </c>
      <c r="G60" s="283" t="s">
        <v>94</v>
      </c>
      <c r="H60" s="286" t="s">
        <v>100</v>
      </c>
      <c r="I60" s="283" t="s">
        <v>109</v>
      </c>
      <c r="J60" s="284"/>
      <c r="K60" s="284"/>
      <c r="L60" s="283" t="s">
        <v>125</v>
      </c>
      <c r="M60" s="286" t="s">
        <v>121</v>
      </c>
      <c r="N60" s="322" t="s">
        <v>127</v>
      </c>
      <c r="O60" s="286" t="s">
        <v>121</v>
      </c>
      <c r="P60" s="286" t="s">
        <v>100</v>
      </c>
      <c r="Q60" s="286" t="s">
        <v>100</v>
      </c>
      <c r="R60" s="283" t="s">
        <v>101</v>
      </c>
      <c r="S60" s="286" t="s">
        <v>100</v>
      </c>
      <c r="T60" s="322"/>
    </row>
    <row r="61" spans="1:20">
      <c r="A61" s="290">
        <v>37796</v>
      </c>
      <c r="B61" s="290">
        <v>37894</v>
      </c>
      <c r="C61" s="575">
        <v>2944</v>
      </c>
      <c r="D61" s="284" t="s">
        <v>346</v>
      </c>
      <c r="E61" s="290">
        <v>32508</v>
      </c>
      <c r="F61" s="283">
        <v>21</v>
      </c>
      <c r="G61" s="283" t="s">
        <v>350</v>
      </c>
      <c r="H61" s="283" t="s">
        <v>124</v>
      </c>
      <c r="I61" s="283" t="s">
        <v>109</v>
      </c>
      <c r="J61" s="284"/>
      <c r="K61" s="284"/>
      <c r="L61" s="286" t="s">
        <v>100</v>
      </c>
      <c r="M61" s="283"/>
      <c r="N61" s="283"/>
      <c r="O61" s="283"/>
      <c r="P61" s="286" t="s">
        <v>100</v>
      </c>
      <c r="Q61" s="283"/>
      <c r="R61" s="286" t="s">
        <v>100</v>
      </c>
      <c r="S61" s="283"/>
      <c r="T61" s="286" t="s">
        <v>100</v>
      </c>
    </row>
    <row r="62" spans="1:20" s="583" customFormat="1">
      <c r="A62" s="577">
        <v>37825</v>
      </c>
      <c r="B62" s="682">
        <v>37773</v>
      </c>
      <c r="C62" s="826">
        <v>3025</v>
      </c>
      <c r="D62" s="649" t="s">
        <v>654</v>
      </c>
      <c r="E62" s="682">
        <v>36788</v>
      </c>
      <c r="F62" s="809">
        <v>24</v>
      </c>
      <c r="G62" s="809" t="s">
        <v>655</v>
      </c>
      <c r="H62" s="150" t="s">
        <v>124</v>
      </c>
      <c r="I62" s="150" t="s">
        <v>109</v>
      </c>
      <c r="J62" s="581" t="s">
        <v>660</v>
      </c>
      <c r="K62" s="581"/>
      <c r="L62" s="286" t="s">
        <v>100</v>
      </c>
      <c r="M62" s="286" t="s">
        <v>100</v>
      </c>
      <c r="N62" s="355"/>
      <c r="O62" s="355"/>
      <c r="P62" s="809" t="s">
        <v>657</v>
      </c>
      <c r="Q62" s="286" t="s">
        <v>100</v>
      </c>
      <c r="R62" s="809" t="s">
        <v>658</v>
      </c>
      <c r="S62" s="286" t="s">
        <v>100</v>
      </c>
      <c r="T62" s="286" t="s">
        <v>100</v>
      </c>
    </row>
    <row r="63" spans="1:20" s="104" customFormat="1">
      <c r="A63" s="303">
        <v>37938</v>
      </c>
      <c r="B63" s="290">
        <v>37866</v>
      </c>
      <c r="C63" s="575">
        <v>3457</v>
      </c>
      <c r="D63" s="365" t="s">
        <v>554</v>
      </c>
      <c r="E63" s="365">
        <v>32480</v>
      </c>
      <c r="F63" s="368">
        <v>25</v>
      </c>
      <c r="G63" s="283" t="s">
        <v>555</v>
      </c>
      <c r="H63" s="283" t="s">
        <v>124</v>
      </c>
      <c r="I63" s="283" t="s">
        <v>109</v>
      </c>
      <c r="J63" s="743" t="s">
        <v>166</v>
      </c>
      <c r="K63" s="418"/>
      <c r="L63" s="419"/>
      <c r="M63" s="368"/>
      <c r="N63" s="368"/>
      <c r="O63" s="368"/>
      <c r="P63" s="419"/>
      <c r="Q63" s="368"/>
      <c r="R63" s="419"/>
      <c r="S63" s="368"/>
      <c r="T63" s="286" t="s">
        <v>100</v>
      </c>
    </row>
    <row r="64" spans="1:20" s="583" customFormat="1">
      <c r="A64" s="682">
        <v>38191</v>
      </c>
      <c r="B64" s="812"/>
      <c r="C64" s="826">
        <v>4059</v>
      </c>
      <c r="D64" s="812"/>
      <c r="E64" s="682">
        <v>38191</v>
      </c>
      <c r="F64" s="150">
        <v>30</v>
      </c>
      <c r="G64" s="150" t="s">
        <v>703</v>
      </c>
      <c r="H64" s="150" t="s">
        <v>124</v>
      </c>
      <c r="I64" s="283" t="s">
        <v>109</v>
      </c>
      <c r="J64" s="355"/>
      <c r="K64" s="355"/>
      <c r="L64" s="808" t="s">
        <v>702</v>
      </c>
      <c r="M64" s="793" t="s">
        <v>705</v>
      </c>
      <c r="N64" s="355"/>
      <c r="O64" s="355"/>
      <c r="P64" s="286" t="s">
        <v>100</v>
      </c>
      <c r="Q64" s="286" t="s">
        <v>100</v>
      </c>
      <c r="R64" s="808" t="s">
        <v>701</v>
      </c>
      <c r="S64" s="793" t="s">
        <v>705</v>
      </c>
      <c r="T64" s="286" t="s">
        <v>100</v>
      </c>
    </row>
    <row r="65" spans="1:20" s="583" customFormat="1">
      <c r="A65" s="682">
        <v>38198</v>
      </c>
      <c r="B65" s="391"/>
      <c r="C65" s="575">
        <v>4070</v>
      </c>
      <c r="D65" s="391"/>
      <c r="E65" s="682">
        <v>38198</v>
      </c>
      <c r="F65" s="150">
        <v>30</v>
      </c>
      <c r="G65" s="150" t="s">
        <v>668</v>
      </c>
      <c r="H65" s="150" t="s">
        <v>124</v>
      </c>
      <c r="I65" s="283" t="s">
        <v>109</v>
      </c>
      <c r="J65" s="355"/>
      <c r="K65" s="355"/>
      <c r="L65" s="519" t="s">
        <v>709</v>
      </c>
      <c r="M65" s="286" t="s">
        <v>121</v>
      </c>
      <c r="N65" s="150" t="s">
        <v>708</v>
      </c>
      <c r="O65" s="150" t="s">
        <v>712</v>
      </c>
      <c r="P65" s="150" t="s">
        <v>710</v>
      </c>
      <c r="Q65" s="150"/>
      <c r="R65" s="519"/>
      <c r="S65" s="150"/>
      <c r="T65" s="286" t="s">
        <v>100</v>
      </c>
    </row>
    <row r="66" spans="1:20">
      <c r="A66" s="303">
        <v>38247</v>
      </c>
      <c r="B66" s="290">
        <v>38157</v>
      </c>
      <c r="C66" s="284">
        <v>2401</v>
      </c>
      <c r="D66" s="284" t="s">
        <v>198</v>
      </c>
      <c r="E66" s="328">
        <v>34962</v>
      </c>
      <c r="F66" s="283">
        <v>16</v>
      </c>
      <c r="G66" s="283" t="s">
        <v>122</v>
      </c>
      <c r="H66" s="283" t="s">
        <v>167</v>
      </c>
      <c r="I66" s="283" t="s">
        <v>109</v>
      </c>
      <c r="J66" s="305" t="s">
        <v>113</v>
      </c>
      <c r="K66" s="284"/>
      <c r="L66" s="283" t="s">
        <v>162</v>
      </c>
      <c r="M66" s="286" t="s">
        <v>121</v>
      </c>
      <c r="N66" s="283" t="s">
        <v>163</v>
      </c>
      <c r="O66" s="286" t="s">
        <v>100</v>
      </c>
      <c r="P66" s="283" t="s">
        <v>163</v>
      </c>
      <c r="Q66" s="150" t="s">
        <v>712</v>
      </c>
      <c r="R66" s="283"/>
      <c r="S66" s="286" t="s">
        <v>100</v>
      </c>
      <c r="T66" s="322"/>
    </row>
    <row r="67" spans="1:20">
      <c r="A67" s="277" t="s">
        <v>151</v>
      </c>
      <c r="B67" s="290">
        <v>38338</v>
      </c>
      <c r="C67" s="277" t="s">
        <v>151</v>
      </c>
      <c r="D67" s="284" t="s">
        <v>199</v>
      </c>
      <c r="E67" s="328">
        <v>27106</v>
      </c>
      <c r="F67" s="283">
        <v>60</v>
      </c>
      <c r="G67" s="283" t="s">
        <v>195</v>
      </c>
      <c r="H67" s="286" t="s">
        <v>100</v>
      </c>
      <c r="I67" s="283"/>
      <c r="J67" s="285"/>
      <c r="K67" s="284"/>
      <c r="L67" s="286" t="s">
        <v>100</v>
      </c>
      <c r="M67" s="283"/>
      <c r="N67" s="286" t="s">
        <v>100</v>
      </c>
      <c r="O67" s="283"/>
      <c r="P67" s="286" t="s">
        <v>100</v>
      </c>
      <c r="Q67" s="286"/>
      <c r="R67" s="286" t="s">
        <v>100</v>
      </c>
      <c r="S67" s="286"/>
      <c r="T67" s="286" t="s">
        <v>100</v>
      </c>
    </row>
    <row r="68" spans="1:20">
      <c r="A68" s="290">
        <v>38671</v>
      </c>
      <c r="B68" s="290">
        <v>38962</v>
      </c>
      <c r="C68" s="575">
        <v>5435</v>
      </c>
      <c r="D68" s="365" t="s">
        <v>554</v>
      </c>
      <c r="E68" s="365">
        <v>32480</v>
      </c>
      <c r="F68" s="368">
        <v>25</v>
      </c>
      <c r="G68" s="283" t="s">
        <v>589</v>
      </c>
      <c r="H68" s="283" t="s">
        <v>124</v>
      </c>
      <c r="I68" s="283" t="s">
        <v>109</v>
      </c>
      <c r="J68" s="284"/>
      <c r="K68" s="284"/>
      <c r="L68" s="283"/>
      <c r="M68" s="283"/>
      <c r="N68" s="283"/>
      <c r="O68" s="283"/>
      <c r="P68" s="283"/>
      <c r="Q68" s="283"/>
      <c r="R68" s="283"/>
      <c r="S68" s="283"/>
      <c r="T68" s="286" t="s">
        <v>100</v>
      </c>
    </row>
    <row r="69" spans="1:20" s="104" customFormat="1">
      <c r="A69" s="290">
        <v>38707</v>
      </c>
      <c r="B69" s="391"/>
      <c r="C69" s="284" t="s">
        <v>591</v>
      </c>
      <c r="D69" s="391"/>
      <c r="E69" s="290">
        <v>38707</v>
      </c>
      <c r="F69" s="283">
        <v>25</v>
      </c>
      <c r="G69" s="368" t="s">
        <v>592</v>
      </c>
      <c r="H69" s="283" t="s">
        <v>593</v>
      </c>
      <c r="I69" s="283" t="s">
        <v>595</v>
      </c>
      <c r="J69" s="418"/>
      <c r="K69" s="418"/>
      <c r="L69" s="283" t="s">
        <v>594</v>
      </c>
      <c r="M69" s="286" t="s">
        <v>121</v>
      </c>
      <c r="N69" s="368"/>
      <c r="O69" s="368"/>
      <c r="P69" s="368"/>
      <c r="Q69" s="368"/>
      <c r="R69" s="368"/>
      <c r="S69" s="368"/>
      <c r="T69" s="286" t="s">
        <v>100</v>
      </c>
    </row>
    <row r="70" spans="1:20">
      <c r="A70" s="742">
        <v>38733</v>
      </c>
      <c r="B70" s="290">
        <v>38428</v>
      </c>
      <c r="C70" s="284">
        <v>5639</v>
      </c>
      <c r="D70" s="284" t="s">
        <v>471</v>
      </c>
      <c r="E70" s="290">
        <v>33042</v>
      </c>
      <c r="F70" s="283">
        <v>23</v>
      </c>
      <c r="G70" s="283" t="s">
        <v>472</v>
      </c>
      <c r="H70" s="283" t="s">
        <v>124</v>
      </c>
      <c r="I70" s="283" t="s">
        <v>109</v>
      </c>
      <c r="J70" s="305" t="s">
        <v>518</v>
      </c>
      <c r="K70" s="305" t="s">
        <v>519</v>
      </c>
      <c r="L70" s="283"/>
      <c r="M70" s="283"/>
      <c r="N70" s="283"/>
      <c r="O70" s="283"/>
      <c r="P70" s="283"/>
      <c r="Q70" s="283"/>
      <c r="R70" s="283"/>
      <c r="S70" s="283"/>
      <c r="T70" s="286" t="s">
        <v>100</v>
      </c>
    </row>
    <row r="71" spans="1:20" s="583" customFormat="1">
      <c r="A71" s="577">
        <v>38971</v>
      </c>
      <c r="B71" s="682">
        <v>38869</v>
      </c>
      <c r="C71" s="826">
        <v>6292</v>
      </c>
      <c r="D71" s="649" t="s">
        <v>654</v>
      </c>
      <c r="E71" s="682">
        <v>36788</v>
      </c>
      <c r="F71" s="809">
        <v>24</v>
      </c>
      <c r="G71" s="809" t="s">
        <v>655</v>
      </c>
      <c r="H71" s="150" t="s">
        <v>124</v>
      </c>
      <c r="I71" s="150" t="s">
        <v>109</v>
      </c>
      <c r="J71" s="305" t="s">
        <v>113</v>
      </c>
      <c r="K71" s="581"/>
      <c r="L71" s="286" t="s">
        <v>100</v>
      </c>
      <c r="M71" s="286" t="s">
        <v>100</v>
      </c>
      <c r="N71" s="355"/>
      <c r="O71" s="355"/>
      <c r="P71" s="809" t="s">
        <v>657</v>
      </c>
      <c r="Q71" s="286" t="s">
        <v>100</v>
      </c>
      <c r="R71" s="809" t="s">
        <v>658</v>
      </c>
      <c r="S71" s="286" t="s">
        <v>100</v>
      </c>
      <c r="T71" s="286" t="s">
        <v>100</v>
      </c>
    </row>
    <row r="72" spans="1:20">
      <c r="A72" s="290">
        <v>39073</v>
      </c>
      <c r="B72" s="391"/>
      <c r="C72" s="284">
        <v>8127</v>
      </c>
      <c r="D72" s="354"/>
      <c r="E72" s="391"/>
      <c r="F72" s="283">
        <v>16</v>
      </c>
      <c r="G72" s="283" t="s">
        <v>259</v>
      </c>
      <c r="H72" s="283" t="s">
        <v>167</v>
      </c>
      <c r="I72" s="286" t="s">
        <v>100</v>
      </c>
      <c r="J72" s="285"/>
      <c r="K72" s="355"/>
      <c r="L72" s="286" t="s">
        <v>100</v>
      </c>
      <c r="M72" s="283"/>
      <c r="N72" s="286" t="s">
        <v>100</v>
      </c>
      <c r="O72" s="283"/>
      <c r="P72" s="286" t="s">
        <v>100</v>
      </c>
      <c r="Q72" s="286"/>
      <c r="R72" s="286" t="s">
        <v>100</v>
      </c>
      <c r="S72" s="286"/>
      <c r="T72" s="322"/>
    </row>
    <row r="73" spans="1:20" s="583" customFormat="1">
      <c r="A73" s="577">
        <v>39330</v>
      </c>
      <c r="B73" s="682">
        <v>39202</v>
      </c>
      <c r="C73" s="826">
        <v>7283</v>
      </c>
      <c r="D73" s="581">
        <v>4070</v>
      </c>
      <c r="E73" s="682">
        <v>38198</v>
      </c>
      <c r="F73" s="150">
        <v>30</v>
      </c>
      <c r="G73" s="150" t="s">
        <v>668</v>
      </c>
      <c r="H73" s="150" t="s">
        <v>124</v>
      </c>
      <c r="I73" s="283" t="s">
        <v>109</v>
      </c>
      <c r="J73" s="830" t="s">
        <v>394</v>
      </c>
      <c r="K73" s="831" t="s">
        <v>115</v>
      </c>
      <c r="L73" s="519" t="s">
        <v>709</v>
      </c>
      <c r="M73" s="286" t="s">
        <v>121</v>
      </c>
      <c r="N73" s="150" t="s">
        <v>712</v>
      </c>
      <c r="O73" s="286" t="s">
        <v>121</v>
      </c>
      <c r="P73" s="150" t="s">
        <v>710</v>
      </c>
      <c r="Q73" s="286" t="s">
        <v>121</v>
      </c>
      <c r="R73" s="286" t="s">
        <v>100</v>
      </c>
      <c r="S73" s="286" t="s">
        <v>100</v>
      </c>
      <c r="T73" s="286" t="s">
        <v>100</v>
      </c>
    </row>
    <row r="74" spans="1:20" s="583" customFormat="1">
      <c r="A74" s="577">
        <v>39330</v>
      </c>
      <c r="B74" s="682">
        <v>39194</v>
      </c>
      <c r="C74" s="826">
        <v>7284</v>
      </c>
      <c r="D74" s="581">
        <v>4059</v>
      </c>
      <c r="E74" s="682">
        <v>38191</v>
      </c>
      <c r="F74" s="150">
        <v>30</v>
      </c>
      <c r="G74" s="150" t="s">
        <v>703</v>
      </c>
      <c r="H74" s="150" t="s">
        <v>124</v>
      </c>
      <c r="I74" s="283" t="s">
        <v>109</v>
      </c>
      <c r="J74" s="830" t="s">
        <v>394</v>
      </c>
      <c r="K74" s="150"/>
      <c r="L74" s="808" t="s">
        <v>702</v>
      </c>
      <c r="M74" s="793" t="s">
        <v>705</v>
      </c>
      <c r="N74" s="355"/>
      <c r="O74" s="355"/>
      <c r="P74" s="286" t="s">
        <v>100</v>
      </c>
      <c r="Q74" s="286" t="s">
        <v>100</v>
      </c>
      <c r="R74" s="808" t="s">
        <v>701</v>
      </c>
      <c r="S74" s="793" t="s">
        <v>705</v>
      </c>
      <c r="T74" s="286" t="s">
        <v>100</v>
      </c>
    </row>
    <row r="75" spans="1:20">
      <c r="A75" s="303">
        <v>39334</v>
      </c>
      <c r="B75" s="290">
        <v>39252</v>
      </c>
      <c r="C75" s="575">
        <v>8138</v>
      </c>
      <c r="D75" s="284" t="s">
        <v>198</v>
      </c>
      <c r="E75" s="290">
        <v>34962</v>
      </c>
      <c r="F75" s="283">
        <v>16</v>
      </c>
      <c r="G75" s="283" t="s">
        <v>122</v>
      </c>
      <c r="H75" s="283" t="s">
        <v>124</v>
      </c>
      <c r="I75" s="283" t="s">
        <v>109</v>
      </c>
      <c r="J75" s="305" t="s">
        <v>113</v>
      </c>
      <c r="K75" s="284"/>
      <c r="L75" s="283" t="s">
        <v>162</v>
      </c>
      <c r="M75" s="286" t="s">
        <v>121</v>
      </c>
      <c r="N75" s="283" t="s">
        <v>163</v>
      </c>
      <c r="O75" s="286" t="s">
        <v>100</v>
      </c>
      <c r="P75" s="283" t="s">
        <v>163</v>
      </c>
      <c r="Q75" s="286" t="s">
        <v>100</v>
      </c>
      <c r="R75" s="283"/>
      <c r="S75" s="286" t="s">
        <v>100</v>
      </c>
      <c r="T75" s="286" t="s">
        <v>100</v>
      </c>
    </row>
    <row r="76" spans="1:20">
      <c r="A76" s="303">
        <v>39430</v>
      </c>
      <c r="B76" s="292">
        <v>39433</v>
      </c>
      <c r="C76" s="284">
        <v>6330</v>
      </c>
      <c r="D76" s="284" t="s">
        <v>199</v>
      </c>
      <c r="E76" s="328">
        <v>27106</v>
      </c>
      <c r="F76" s="283">
        <v>60</v>
      </c>
      <c r="G76" s="283" t="s">
        <v>190</v>
      </c>
      <c r="H76" s="283" t="s">
        <v>194</v>
      </c>
      <c r="I76" s="286"/>
      <c r="J76" s="285"/>
      <c r="K76" s="284"/>
      <c r="L76" s="286" t="s">
        <v>100</v>
      </c>
      <c r="M76" s="286"/>
      <c r="N76" s="286" t="s">
        <v>100</v>
      </c>
      <c r="O76" s="283"/>
      <c r="P76" s="286" t="s">
        <v>100</v>
      </c>
      <c r="Q76" s="283"/>
      <c r="R76" s="286" t="s">
        <v>100</v>
      </c>
      <c r="S76" s="286"/>
      <c r="T76" s="286" t="s">
        <v>100</v>
      </c>
    </row>
    <row r="77" spans="1:20">
      <c r="A77" s="290">
        <v>39639</v>
      </c>
      <c r="B77" s="354"/>
      <c r="C77" s="575">
        <v>7952</v>
      </c>
      <c r="D77" s="354"/>
      <c r="E77" s="290">
        <v>39639</v>
      </c>
      <c r="F77" s="283">
        <v>26</v>
      </c>
      <c r="G77" s="283" t="s">
        <v>530</v>
      </c>
      <c r="H77" s="283" t="s">
        <v>124</v>
      </c>
      <c r="I77" s="283" t="s">
        <v>109</v>
      </c>
      <c r="J77" s="354"/>
      <c r="K77" s="354"/>
      <c r="L77" s="283" t="s">
        <v>531</v>
      </c>
      <c r="M77" s="286" t="s">
        <v>121</v>
      </c>
      <c r="N77" s="283" t="s">
        <v>525</v>
      </c>
      <c r="O77" s="355"/>
      <c r="P77" s="283" t="s">
        <v>532</v>
      </c>
      <c r="Q77" s="286" t="s">
        <v>121</v>
      </c>
      <c r="R77" s="286" t="s">
        <v>151</v>
      </c>
      <c r="S77" s="286" t="s">
        <v>121</v>
      </c>
      <c r="T77" s="286" t="s">
        <v>100</v>
      </c>
    </row>
    <row r="78" spans="1:20" ht="13.5">
      <c r="A78" s="678">
        <v>39750</v>
      </c>
      <c r="B78" s="304" t="s">
        <v>458</v>
      </c>
      <c r="C78" s="679">
        <v>8261</v>
      </c>
      <c r="D78" s="284" t="s">
        <v>427</v>
      </c>
      <c r="E78" s="328">
        <v>32754</v>
      </c>
      <c r="F78" s="283" t="s">
        <v>769</v>
      </c>
      <c r="G78" s="283" t="s">
        <v>459</v>
      </c>
      <c r="H78" s="283" t="s">
        <v>124</v>
      </c>
      <c r="I78" s="283" t="s">
        <v>109</v>
      </c>
      <c r="J78" s="680" t="s">
        <v>460</v>
      </c>
      <c r="K78" s="284"/>
      <c r="L78" s="283"/>
      <c r="M78" s="283"/>
      <c r="N78" s="283"/>
      <c r="O78" s="283"/>
      <c r="P78" s="283"/>
      <c r="Q78" s="283"/>
      <c r="R78" s="283"/>
      <c r="S78" s="283"/>
      <c r="T78" s="286" t="s">
        <v>100</v>
      </c>
    </row>
    <row r="79" spans="1:20">
      <c r="A79" s="290">
        <v>39801</v>
      </c>
      <c r="B79" s="290">
        <v>42615</v>
      </c>
      <c r="C79" s="575">
        <v>8389</v>
      </c>
      <c r="D79" s="365" t="s">
        <v>554</v>
      </c>
      <c r="E79" s="365">
        <v>32480</v>
      </c>
      <c r="F79" s="368">
        <v>25</v>
      </c>
      <c r="G79" s="283" t="s">
        <v>590</v>
      </c>
      <c r="H79" s="283" t="s">
        <v>124</v>
      </c>
      <c r="I79" s="283"/>
      <c r="J79" s="284"/>
      <c r="K79" s="284"/>
      <c r="L79" s="283"/>
      <c r="M79" s="283"/>
      <c r="N79" s="283"/>
      <c r="O79" s="283"/>
      <c r="P79" s="283"/>
      <c r="Q79" s="283"/>
      <c r="R79" s="283"/>
      <c r="S79" s="283"/>
      <c r="T79" s="286" t="s">
        <v>100</v>
      </c>
    </row>
    <row r="80" spans="1:20" s="104" customFormat="1">
      <c r="A80" s="365">
        <v>39802</v>
      </c>
      <c r="B80" s="292">
        <v>39802</v>
      </c>
      <c r="C80" s="575">
        <v>8390</v>
      </c>
      <c r="D80" s="284" t="s">
        <v>591</v>
      </c>
      <c r="E80" s="365">
        <v>38707</v>
      </c>
      <c r="F80" s="283">
        <v>25</v>
      </c>
      <c r="G80" s="368" t="s">
        <v>592</v>
      </c>
      <c r="H80" s="283" t="s">
        <v>124</v>
      </c>
      <c r="I80" s="283" t="s">
        <v>595</v>
      </c>
      <c r="J80" s="418"/>
      <c r="K80" s="418"/>
      <c r="L80" s="368"/>
      <c r="M80" s="368"/>
      <c r="N80" s="368"/>
      <c r="O80" s="368"/>
      <c r="P80" s="368"/>
      <c r="Q80" s="368"/>
      <c r="R80" s="368"/>
      <c r="S80" s="368"/>
      <c r="T80" s="286" t="s">
        <v>100</v>
      </c>
    </row>
    <row r="81" spans="1:20">
      <c r="A81" s="290">
        <v>39902</v>
      </c>
      <c r="B81" s="354"/>
      <c r="C81" s="575">
        <v>8546</v>
      </c>
      <c r="D81" s="354"/>
      <c r="E81" s="290">
        <v>39902</v>
      </c>
      <c r="F81" s="283">
        <v>27</v>
      </c>
      <c r="G81" s="283" t="s">
        <v>405</v>
      </c>
      <c r="H81" s="283" t="s">
        <v>124</v>
      </c>
      <c r="I81" s="283" t="s">
        <v>109</v>
      </c>
      <c r="J81" s="354"/>
      <c r="K81" s="354"/>
      <c r="L81" s="368" t="s">
        <v>408</v>
      </c>
      <c r="M81" s="283"/>
      <c r="N81" s="286" t="s">
        <v>100</v>
      </c>
      <c r="O81" s="286"/>
      <c r="P81" s="286" t="s">
        <v>100</v>
      </c>
      <c r="Q81" s="285"/>
      <c r="R81" s="286" t="s">
        <v>100</v>
      </c>
      <c r="S81" s="283"/>
      <c r="T81" s="286" t="s">
        <v>100</v>
      </c>
    </row>
    <row r="82" spans="1:20" s="104" customFormat="1">
      <c r="A82" s="678">
        <v>39968</v>
      </c>
      <c r="B82" s="290">
        <v>39524</v>
      </c>
      <c r="C82" s="418">
        <v>8687</v>
      </c>
      <c r="D82" s="284" t="s">
        <v>471</v>
      </c>
      <c r="E82" s="290">
        <v>33042</v>
      </c>
      <c r="F82" s="283">
        <v>23</v>
      </c>
      <c r="G82" s="283" t="s">
        <v>472</v>
      </c>
      <c r="H82" s="283" t="s">
        <v>124</v>
      </c>
      <c r="I82" s="283" t="s">
        <v>109</v>
      </c>
      <c r="J82" s="743" t="s">
        <v>520</v>
      </c>
      <c r="K82" s="743" t="s">
        <v>519</v>
      </c>
      <c r="L82" s="368"/>
      <c r="M82" s="368"/>
      <c r="N82" s="419"/>
      <c r="O82" s="419"/>
      <c r="P82" s="419"/>
      <c r="Q82" s="369"/>
      <c r="R82" s="419"/>
      <c r="S82" s="368"/>
      <c r="T82" s="286" t="s">
        <v>100</v>
      </c>
    </row>
    <row r="83" spans="1:20" s="583" customFormat="1">
      <c r="A83" s="682">
        <v>39974</v>
      </c>
      <c r="B83" s="682">
        <v>39965</v>
      </c>
      <c r="C83" s="826">
        <v>8695</v>
      </c>
      <c r="D83" s="649" t="s">
        <v>654</v>
      </c>
      <c r="E83" s="682">
        <v>36788</v>
      </c>
      <c r="F83" s="809">
        <v>24</v>
      </c>
      <c r="G83" s="809" t="s">
        <v>655</v>
      </c>
      <c r="H83" s="150" t="s">
        <v>124</v>
      </c>
      <c r="I83" s="150" t="s">
        <v>109</v>
      </c>
      <c r="J83" s="581"/>
      <c r="K83" s="581"/>
      <c r="L83" s="286" t="s">
        <v>100</v>
      </c>
      <c r="M83" s="286" t="s">
        <v>100</v>
      </c>
      <c r="N83" s="355"/>
      <c r="O83" s="355"/>
      <c r="P83" s="809" t="s">
        <v>657</v>
      </c>
      <c r="Q83" s="286" t="s">
        <v>100</v>
      </c>
      <c r="R83" s="809" t="s">
        <v>658</v>
      </c>
      <c r="S83" s="286" t="s">
        <v>100</v>
      </c>
      <c r="T83" s="286" t="s">
        <v>100</v>
      </c>
    </row>
    <row r="84" spans="1:20" s="104" customFormat="1">
      <c r="A84" s="365">
        <v>40024</v>
      </c>
      <c r="B84" s="354"/>
      <c r="C84" s="575">
        <v>8808</v>
      </c>
      <c r="D84" s="418">
        <v>8546</v>
      </c>
      <c r="E84" s="365">
        <v>39902</v>
      </c>
      <c r="F84" s="283">
        <v>27</v>
      </c>
      <c r="G84" s="283" t="s">
        <v>412</v>
      </c>
      <c r="H84" s="283" t="s">
        <v>124</v>
      </c>
      <c r="I84" s="368"/>
      <c r="J84" s="418"/>
      <c r="K84" s="418"/>
      <c r="L84" s="368"/>
      <c r="M84" s="368"/>
      <c r="N84" s="419"/>
      <c r="O84" s="419"/>
      <c r="P84" s="419"/>
      <c r="Q84" s="369"/>
      <c r="R84" s="419"/>
      <c r="S84" s="368"/>
      <c r="T84" s="286" t="s">
        <v>100</v>
      </c>
    </row>
    <row r="85" spans="1:20" s="583" customFormat="1">
      <c r="A85" s="682">
        <v>40063</v>
      </c>
      <c r="B85" s="354"/>
      <c r="C85" s="575">
        <v>8922</v>
      </c>
      <c r="D85" s="354"/>
      <c r="E85" s="682">
        <v>40063</v>
      </c>
      <c r="F85" s="150">
        <v>30</v>
      </c>
      <c r="G85" s="150" t="s">
        <v>717</v>
      </c>
      <c r="H85" s="283" t="s">
        <v>124</v>
      </c>
      <c r="I85" s="283" t="s">
        <v>109</v>
      </c>
      <c r="J85" s="354"/>
      <c r="K85" s="354"/>
      <c r="L85" s="286" t="s">
        <v>100</v>
      </c>
      <c r="M85" s="286" t="s">
        <v>100</v>
      </c>
      <c r="N85" s="150" t="s">
        <v>722</v>
      </c>
      <c r="O85" s="150" t="s">
        <v>723</v>
      </c>
      <c r="P85" s="286" t="s">
        <v>100</v>
      </c>
      <c r="Q85" s="286" t="s">
        <v>100</v>
      </c>
      <c r="R85" s="150" t="s">
        <v>721</v>
      </c>
      <c r="S85" s="581" t="s">
        <v>725</v>
      </c>
      <c r="T85" s="286" t="s">
        <v>100</v>
      </c>
    </row>
    <row r="86" spans="1:20">
      <c r="A86" s="303">
        <v>40169</v>
      </c>
      <c r="B86" s="290">
        <v>40077</v>
      </c>
      <c r="C86" s="284">
        <v>8127</v>
      </c>
      <c r="D86" s="284" t="s">
        <v>200</v>
      </c>
      <c r="E86" s="290">
        <v>39073</v>
      </c>
      <c r="F86" s="283">
        <v>16</v>
      </c>
      <c r="G86" s="283" t="s">
        <v>169</v>
      </c>
      <c r="H86" s="283" t="s">
        <v>167</v>
      </c>
      <c r="I86" s="286"/>
      <c r="J86" s="305" t="s">
        <v>113</v>
      </c>
      <c r="K86" s="284"/>
      <c r="L86" s="286" t="s">
        <v>100</v>
      </c>
      <c r="M86" s="283"/>
      <c r="N86" s="286" t="s">
        <v>100</v>
      </c>
      <c r="O86" s="286"/>
      <c r="P86" s="286" t="s">
        <v>100</v>
      </c>
      <c r="Q86" s="285"/>
      <c r="R86" s="286" t="s">
        <v>100</v>
      </c>
      <c r="S86" s="283"/>
      <c r="T86" s="809"/>
    </row>
    <row r="87" spans="1:20" s="583" customFormat="1">
      <c r="A87" s="577">
        <v>40338</v>
      </c>
      <c r="B87" s="682">
        <v>40298</v>
      </c>
      <c r="C87" s="826">
        <v>9511</v>
      </c>
      <c r="D87" s="581">
        <v>4070</v>
      </c>
      <c r="E87" s="682">
        <v>38198</v>
      </c>
      <c r="F87" s="150">
        <v>30</v>
      </c>
      <c r="G87" s="150" t="s">
        <v>668</v>
      </c>
      <c r="H87" s="150" t="s">
        <v>124</v>
      </c>
      <c r="I87" s="283" t="s">
        <v>109</v>
      </c>
      <c r="J87" s="743" t="s">
        <v>115</v>
      </c>
      <c r="K87" s="581"/>
      <c r="L87" s="519" t="s">
        <v>709</v>
      </c>
      <c r="M87" s="286" t="s">
        <v>121</v>
      </c>
      <c r="N87" s="150" t="s">
        <v>712</v>
      </c>
      <c r="O87" s="286" t="s">
        <v>121</v>
      </c>
      <c r="P87" s="150" t="s">
        <v>710</v>
      </c>
      <c r="Q87" s="286" t="s">
        <v>121</v>
      </c>
      <c r="R87" s="286" t="s">
        <v>100</v>
      </c>
      <c r="S87" s="286" t="s">
        <v>100</v>
      </c>
      <c r="T87" s="286" t="s">
        <v>100</v>
      </c>
    </row>
    <row r="88" spans="1:20">
      <c r="A88" s="303">
        <v>40423</v>
      </c>
      <c r="B88" s="290">
        <v>40348</v>
      </c>
      <c r="C88" s="575">
        <v>9681</v>
      </c>
      <c r="D88" s="284" t="s">
        <v>198</v>
      </c>
      <c r="E88" s="328">
        <v>34962</v>
      </c>
      <c r="F88" s="283">
        <v>16</v>
      </c>
      <c r="G88" s="283" t="s">
        <v>228</v>
      </c>
      <c r="H88" s="283" t="s">
        <v>124</v>
      </c>
      <c r="I88" s="283" t="s">
        <v>109</v>
      </c>
      <c r="J88" s="305" t="s">
        <v>166</v>
      </c>
      <c r="K88" s="284"/>
      <c r="L88" s="283" t="s">
        <v>162</v>
      </c>
      <c r="M88" s="286" t="s">
        <v>121</v>
      </c>
      <c r="N88" s="283" t="s">
        <v>163</v>
      </c>
      <c r="O88" s="286" t="s">
        <v>100</v>
      </c>
      <c r="P88" s="283" t="s">
        <v>163</v>
      </c>
      <c r="Q88" s="286" t="s">
        <v>100</v>
      </c>
      <c r="R88" s="283"/>
      <c r="S88" s="286" t="s">
        <v>100</v>
      </c>
      <c r="T88" s="286" t="s">
        <v>100</v>
      </c>
    </row>
    <row r="89" spans="1:20">
      <c r="A89" s="290">
        <v>40605</v>
      </c>
      <c r="B89" s="290">
        <v>40642</v>
      </c>
      <c r="C89" s="575">
        <v>9995</v>
      </c>
      <c r="D89" s="284">
        <v>7952</v>
      </c>
      <c r="E89" s="290">
        <v>39639</v>
      </c>
      <c r="F89" s="283">
        <v>26</v>
      </c>
      <c r="G89" s="283" t="s">
        <v>530</v>
      </c>
      <c r="H89" s="283" t="s">
        <v>124</v>
      </c>
      <c r="I89" s="283" t="s">
        <v>109</v>
      </c>
      <c r="J89" s="284"/>
      <c r="K89" s="284"/>
      <c r="L89" s="283" t="s">
        <v>531</v>
      </c>
      <c r="M89" s="286" t="s">
        <v>121</v>
      </c>
      <c r="N89" s="283" t="s">
        <v>525</v>
      </c>
      <c r="O89" s="355"/>
      <c r="P89" s="283" t="s">
        <v>532</v>
      </c>
      <c r="Q89" s="286" t="s">
        <v>121</v>
      </c>
      <c r="R89" s="286" t="s">
        <v>151</v>
      </c>
      <c r="S89" s="286" t="s">
        <v>121</v>
      </c>
      <c r="T89" s="286" t="s">
        <v>100</v>
      </c>
    </row>
    <row r="90" spans="1:20">
      <c r="A90" s="392">
        <v>40877</v>
      </c>
      <c r="B90" s="290">
        <v>40906</v>
      </c>
      <c r="C90" s="651">
        <v>10449</v>
      </c>
      <c r="D90" s="418">
        <v>8546</v>
      </c>
      <c r="E90" s="365">
        <v>39902</v>
      </c>
      <c r="F90" s="283">
        <v>27</v>
      </c>
      <c r="G90" s="283" t="s">
        <v>413</v>
      </c>
      <c r="H90" s="283" t="s">
        <v>124</v>
      </c>
      <c r="I90" s="283" t="s">
        <v>109</v>
      </c>
      <c r="J90" s="284"/>
      <c r="K90" s="284"/>
      <c r="L90" s="283"/>
      <c r="M90" s="283"/>
      <c r="N90" s="283"/>
      <c r="O90" s="283"/>
      <c r="P90" s="283"/>
      <c r="Q90" s="283"/>
      <c r="R90" s="283"/>
      <c r="S90" s="283"/>
      <c r="T90" s="286" t="s">
        <v>100</v>
      </c>
    </row>
    <row r="91" spans="1:20" s="583" customFormat="1">
      <c r="A91" s="580">
        <v>41092</v>
      </c>
      <c r="B91" s="682">
        <v>41061</v>
      </c>
      <c r="C91" s="651">
        <v>10641</v>
      </c>
      <c r="D91" s="649" t="s">
        <v>654</v>
      </c>
      <c r="E91" s="682">
        <v>36788</v>
      </c>
      <c r="F91" s="809">
        <v>24</v>
      </c>
      <c r="G91" s="809" t="s">
        <v>655</v>
      </c>
      <c r="H91" s="150" t="s">
        <v>124</v>
      </c>
      <c r="I91" s="150" t="s">
        <v>109</v>
      </c>
      <c r="J91" s="743" t="s">
        <v>115</v>
      </c>
      <c r="K91" s="581"/>
      <c r="L91" s="286" t="s">
        <v>100</v>
      </c>
      <c r="M91" s="286" t="s">
        <v>100</v>
      </c>
      <c r="N91" s="355"/>
      <c r="O91" s="355"/>
      <c r="P91" s="809" t="s">
        <v>657</v>
      </c>
      <c r="Q91" s="286" t="s">
        <v>100</v>
      </c>
      <c r="R91" s="809" t="s">
        <v>658</v>
      </c>
      <c r="S91" s="286" t="s">
        <v>100</v>
      </c>
      <c r="T91" s="286" t="s">
        <v>100</v>
      </c>
    </row>
    <row r="92" spans="1:20" s="583" customFormat="1">
      <c r="A92" s="580">
        <v>41157</v>
      </c>
      <c r="B92" s="682">
        <v>40700</v>
      </c>
      <c r="C92" s="651">
        <v>10751</v>
      </c>
      <c r="D92" s="418">
        <v>8922</v>
      </c>
      <c r="E92" s="682">
        <v>40063</v>
      </c>
      <c r="F92" s="150">
        <v>30</v>
      </c>
      <c r="G92" s="150" t="s">
        <v>752</v>
      </c>
      <c r="H92" s="150" t="s">
        <v>124</v>
      </c>
      <c r="I92" s="150" t="s">
        <v>109</v>
      </c>
      <c r="J92" s="743" t="s">
        <v>753</v>
      </c>
      <c r="K92" s="581"/>
      <c r="L92" s="286" t="s">
        <v>100</v>
      </c>
      <c r="M92" s="286" t="s">
        <v>100</v>
      </c>
      <c r="N92" s="150" t="s">
        <v>722</v>
      </c>
      <c r="O92" s="150" t="s">
        <v>723</v>
      </c>
      <c r="P92" s="286" t="s">
        <v>100</v>
      </c>
      <c r="Q92" s="286" t="s">
        <v>100</v>
      </c>
      <c r="R92" s="150" t="s">
        <v>721</v>
      </c>
      <c r="S92" s="581" t="s">
        <v>725</v>
      </c>
      <c r="T92" s="286" t="s">
        <v>100</v>
      </c>
    </row>
    <row r="93" spans="1:20">
      <c r="A93" s="303">
        <v>41260</v>
      </c>
      <c r="B93" s="290">
        <v>41173</v>
      </c>
      <c r="C93" s="284">
        <v>9886</v>
      </c>
      <c r="D93" s="284" t="s">
        <v>200</v>
      </c>
      <c r="E93" s="290">
        <v>39073</v>
      </c>
      <c r="F93" s="283">
        <v>16</v>
      </c>
      <c r="G93" s="283" t="s">
        <v>169</v>
      </c>
      <c r="H93" s="283" t="s">
        <v>167</v>
      </c>
      <c r="I93" s="286"/>
      <c r="J93" s="305" t="s">
        <v>113</v>
      </c>
      <c r="K93" s="284"/>
      <c r="L93" s="286" t="s">
        <v>100</v>
      </c>
      <c r="M93" s="283"/>
      <c r="N93" s="286" t="s">
        <v>100</v>
      </c>
      <c r="O93" s="286"/>
      <c r="P93" s="286" t="s">
        <v>100</v>
      </c>
      <c r="Q93" s="285"/>
      <c r="R93" s="286" t="s">
        <v>100</v>
      </c>
      <c r="S93" s="283"/>
      <c r="T93" s="809"/>
    </row>
    <row r="94" spans="1:20" s="583" customFormat="1">
      <c r="A94" s="682">
        <v>41390</v>
      </c>
      <c r="B94" s="682">
        <v>41394</v>
      </c>
      <c r="C94" s="826">
        <v>11114</v>
      </c>
      <c r="D94" s="581">
        <v>4070</v>
      </c>
      <c r="E94" s="682">
        <v>38198</v>
      </c>
      <c r="F94" s="150">
        <v>24</v>
      </c>
      <c r="G94" s="150" t="s">
        <v>670</v>
      </c>
      <c r="H94" s="150" t="s">
        <v>124</v>
      </c>
      <c r="I94" s="150" t="s">
        <v>109</v>
      </c>
      <c r="J94" s="581"/>
      <c r="K94" s="581"/>
      <c r="L94" s="519" t="s">
        <v>709</v>
      </c>
      <c r="M94" s="286" t="s">
        <v>121</v>
      </c>
      <c r="N94" s="150" t="s">
        <v>712</v>
      </c>
      <c r="O94" s="286" t="s">
        <v>121</v>
      </c>
      <c r="P94" s="150" t="s">
        <v>710</v>
      </c>
      <c r="Q94" s="286" t="s">
        <v>121</v>
      </c>
      <c r="R94" s="286" t="s">
        <v>100</v>
      </c>
      <c r="S94" s="286" t="s">
        <v>100</v>
      </c>
      <c r="T94" s="286" t="s">
        <v>100</v>
      </c>
    </row>
    <row r="95" spans="1:20">
      <c r="A95" s="392" t="s">
        <v>151</v>
      </c>
      <c r="B95" s="292">
        <v>41432</v>
      </c>
      <c r="C95" s="277" t="s">
        <v>151</v>
      </c>
      <c r="D95" s="284" t="s">
        <v>231</v>
      </c>
      <c r="E95" s="290">
        <v>32394</v>
      </c>
      <c r="F95" s="283">
        <v>16</v>
      </c>
      <c r="G95" s="283" t="s">
        <v>94</v>
      </c>
      <c r="H95" s="286" t="s">
        <v>100</v>
      </c>
      <c r="I95" s="283" t="s">
        <v>109</v>
      </c>
      <c r="J95" s="284"/>
      <c r="K95" s="284"/>
      <c r="L95" s="283" t="s">
        <v>125</v>
      </c>
      <c r="M95" s="286" t="s">
        <v>121</v>
      </c>
      <c r="N95" s="322" t="s">
        <v>127</v>
      </c>
      <c r="O95" s="286" t="s">
        <v>121</v>
      </c>
      <c r="P95" s="286" t="s">
        <v>100</v>
      </c>
      <c r="Q95" s="286" t="s">
        <v>100</v>
      </c>
      <c r="R95" s="283" t="s">
        <v>101</v>
      </c>
      <c r="S95" s="286" t="s">
        <v>100</v>
      </c>
      <c r="T95" s="322"/>
    </row>
    <row r="96" spans="1:20" s="104" customFormat="1">
      <c r="A96" s="681">
        <v>41816</v>
      </c>
      <c r="B96" s="682">
        <v>43618</v>
      </c>
      <c r="C96" s="683">
        <v>11775</v>
      </c>
      <c r="D96" s="284" t="s">
        <v>427</v>
      </c>
      <c r="E96" s="328">
        <v>32754</v>
      </c>
      <c r="F96" s="283">
        <v>29</v>
      </c>
      <c r="G96" s="283" t="s">
        <v>463</v>
      </c>
      <c r="H96" s="283" t="s">
        <v>124</v>
      </c>
      <c r="I96" s="685" t="s">
        <v>466</v>
      </c>
      <c r="J96" s="418"/>
      <c r="K96" s="418"/>
      <c r="L96" s="368" t="s">
        <v>465</v>
      </c>
      <c r="M96" s="684" t="s">
        <v>464</v>
      </c>
      <c r="N96" s="519"/>
      <c r="O96" s="419"/>
      <c r="P96" s="286" t="s">
        <v>100</v>
      </c>
      <c r="Q96" s="419"/>
      <c r="R96" s="286" t="s">
        <v>100</v>
      </c>
      <c r="S96" s="419"/>
      <c r="T96" s="286" t="s">
        <v>100</v>
      </c>
    </row>
    <row r="97" spans="1:20" s="104" customFormat="1">
      <c r="A97" s="681">
        <v>41969</v>
      </c>
      <c r="B97" s="354"/>
      <c r="C97" s="575">
        <v>12098</v>
      </c>
      <c r="D97" s="355"/>
      <c r="E97" s="355"/>
      <c r="F97" s="368">
        <v>25</v>
      </c>
      <c r="G97" s="283" t="s">
        <v>604</v>
      </c>
      <c r="H97" s="283" t="s">
        <v>124</v>
      </c>
      <c r="I97" s="283" t="s">
        <v>109</v>
      </c>
      <c r="J97" s="354"/>
      <c r="K97" s="354"/>
      <c r="L97" s="283" t="s">
        <v>606</v>
      </c>
      <c r="M97" s="793" t="s">
        <v>608</v>
      </c>
      <c r="N97" s="519" t="s">
        <v>609</v>
      </c>
      <c r="O97" s="419"/>
      <c r="P97" s="519" t="s">
        <v>611</v>
      </c>
      <c r="Q97" s="283" t="s">
        <v>109</v>
      </c>
      <c r="R97" s="519" t="s">
        <v>610</v>
      </c>
      <c r="S97" s="419"/>
      <c r="T97" s="286" t="s">
        <v>100</v>
      </c>
    </row>
    <row r="98" spans="1:20">
      <c r="A98" s="290">
        <v>41988</v>
      </c>
      <c r="B98" s="354"/>
      <c r="C98" s="284">
        <v>9307</v>
      </c>
      <c r="D98" s="355"/>
      <c r="E98" s="355"/>
      <c r="F98" s="283">
        <v>16</v>
      </c>
      <c r="G98" s="283" t="s">
        <v>133</v>
      </c>
      <c r="H98" s="283" t="s">
        <v>164</v>
      </c>
      <c r="I98" s="283" t="s">
        <v>109</v>
      </c>
      <c r="J98" s="354"/>
      <c r="K98" s="354"/>
      <c r="L98" s="286" t="s">
        <v>100</v>
      </c>
      <c r="M98" s="283"/>
      <c r="N98" s="286" t="s">
        <v>100</v>
      </c>
      <c r="O98" s="286"/>
      <c r="P98" s="286" t="s">
        <v>100</v>
      </c>
      <c r="Q98" s="285"/>
      <c r="R98" s="286" t="s">
        <v>100</v>
      </c>
      <c r="S98" s="283"/>
      <c r="T98" s="809"/>
    </row>
    <row r="99" spans="1:20">
      <c r="A99" s="290">
        <v>42054</v>
      </c>
      <c r="B99" s="354"/>
      <c r="C99" s="575">
        <v>12227</v>
      </c>
      <c r="D99" s="355"/>
      <c r="E99" s="355"/>
      <c r="F99" s="283">
        <v>22</v>
      </c>
      <c r="G99" s="283" t="s">
        <v>369</v>
      </c>
      <c r="H99" s="283" t="s">
        <v>124</v>
      </c>
      <c r="I99" s="283" t="s">
        <v>109</v>
      </c>
      <c r="J99" s="283"/>
      <c r="K99" s="284"/>
      <c r="L99" s="283" t="s">
        <v>366</v>
      </c>
      <c r="M99" s="286" t="s">
        <v>121</v>
      </c>
      <c r="N99" s="283" t="s">
        <v>364</v>
      </c>
      <c r="O99" s="286" t="s">
        <v>100</v>
      </c>
      <c r="P99" s="286" t="s">
        <v>100</v>
      </c>
      <c r="Q99" s="286"/>
      <c r="R99" s="283" t="s">
        <v>365</v>
      </c>
      <c r="S99" s="286" t="s">
        <v>100</v>
      </c>
      <c r="T99" s="286" t="s">
        <v>100</v>
      </c>
    </row>
    <row r="100" spans="1:20" s="583" customFormat="1">
      <c r="A100" s="682">
        <v>42165</v>
      </c>
      <c r="B100" s="682">
        <v>42156</v>
      </c>
      <c r="C100" s="651">
        <v>12424</v>
      </c>
      <c r="D100" s="649" t="s">
        <v>654</v>
      </c>
      <c r="E100" s="682">
        <v>36788</v>
      </c>
      <c r="F100" s="809">
        <v>24</v>
      </c>
      <c r="G100" s="809" t="s">
        <v>655</v>
      </c>
      <c r="H100" s="150" t="s">
        <v>124</v>
      </c>
      <c r="I100" s="150" t="s">
        <v>109</v>
      </c>
      <c r="J100" s="150"/>
      <c r="K100" s="581"/>
      <c r="L100" s="286" t="s">
        <v>100</v>
      </c>
      <c r="M100" s="286" t="s">
        <v>100</v>
      </c>
      <c r="N100" s="355"/>
      <c r="O100" s="355"/>
      <c r="P100" s="809" t="s">
        <v>657</v>
      </c>
      <c r="Q100" s="286" t="s">
        <v>100</v>
      </c>
      <c r="R100" s="809" t="s">
        <v>658</v>
      </c>
      <c r="S100" s="286" t="s">
        <v>100</v>
      </c>
      <c r="T100" s="286" t="s">
        <v>100</v>
      </c>
    </row>
    <row r="101" spans="1:20">
      <c r="A101" s="303">
        <v>42349</v>
      </c>
      <c r="B101" s="290">
        <v>42268</v>
      </c>
      <c r="C101" s="575">
        <v>12823</v>
      </c>
      <c r="D101" s="284" t="s">
        <v>200</v>
      </c>
      <c r="E101" s="290">
        <v>39073</v>
      </c>
      <c r="F101" s="283">
        <v>16</v>
      </c>
      <c r="G101" s="283" t="s">
        <v>169</v>
      </c>
      <c r="H101" s="283" t="s">
        <v>124</v>
      </c>
      <c r="I101" s="283" t="s">
        <v>109</v>
      </c>
      <c r="J101" s="305" t="s">
        <v>113</v>
      </c>
      <c r="K101" s="284"/>
      <c r="L101" s="286" t="s">
        <v>100</v>
      </c>
      <c r="M101" s="283"/>
      <c r="N101" s="286" t="s">
        <v>100</v>
      </c>
      <c r="O101" s="286"/>
      <c r="P101" s="286" t="s">
        <v>100</v>
      </c>
      <c r="Q101" s="285"/>
      <c r="R101" s="286" t="s">
        <v>100</v>
      </c>
      <c r="S101" s="283"/>
      <c r="T101" s="286" t="s">
        <v>100</v>
      </c>
    </row>
    <row r="102" spans="1:20" s="104" customFormat="1">
      <c r="A102" s="365">
        <v>42369</v>
      </c>
      <c r="B102" s="354"/>
      <c r="C102" s="575">
        <v>12875</v>
      </c>
      <c r="D102" s="354"/>
      <c r="E102" s="354"/>
      <c r="F102" s="368">
        <v>23</v>
      </c>
      <c r="G102" s="283" t="s">
        <v>521</v>
      </c>
      <c r="H102" s="283" t="s">
        <v>124</v>
      </c>
      <c r="I102" s="283" t="s">
        <v>109</v>
      </c>
      <c r="J102" s="354"/>
      <c r="K102" s="354"/>
      <c r="L102" s="283" t="s">
        <v>522</v>
      </c>
      <c r="M102" s="283" t="s">
        <v>109</v>
      </c>
      <c r="N102" s="283" t="s">
        <v>525</v>
      </c>
      <c r="O102" s="355"/>
      <c r="P102" s="283" t="s">
        <v>524</v>
      </c>
      <c r="Q102" s="283" t="s">
        <v>109</v>
      </c>
      <c r="R102" s="283" t="s">
        <v>523</v>
      </c>
      <c r="S102" s="283" t="s">
        <v>109</v>
      </c>
      <c r="T102" s="286" t="s">
        <v>100</v>
      </c>
    </row>
    <row r="103" spans="1:20" s="104" customFormat="1">
      <c r="A103" s="365">
        <v>42734</v>
      </c>
      <c r="B103" s="303">
        <v>42615</v>
      </c>
      <c r="C103" s="575">
        <v>13577</v>
      </c>
      <c r="D103" s="365" t="s">
        <v>554</v>
      </c>
      <c r="E103" s="365">
        <v>32480</v>
      </c>
      <c r="F103" s="368">
        <v>25</v>
      </c>
      <c r="G103" s="283" t="s">
        <v>612</v>
      </c>
      <c r="H103" s="283" t="s">
        <v>124</v>
      </c>
      <c r="I103" s="283" t="s">
        <v>109</v>
      </c>
      <c r="J103" s="305" t="s">
        <v>113</v>
      </c>
      <c r="K103" s="418"/>
      <c r="L103" s="368"/>
      <c r="M103" s="368"/>
      <c r="N103" s="368"/>
      <c r="O103" s="368"/>
      <c r="P103" s="368"/>
      <c r="Q103" s="368"/>
      <c r="R103" s="368"/>
      <c r="S103" s="368"/>
      <c r="T103" s="286" t="s">
        <v>100</v>
      </c>
    </row>
    <row r="104" spans="1:20">
      <c r="A104" s="290">
        <v>42963</v>
      </c>
      <c r="B104" s="290">
        <v>42992</v>
      </c>
      <c r="C104" s="575">
        <v>13997</v>
      </c>
      <c r="D104" s="284">
        <v>9307</v>
      </c>
      <c r="E104" s="290">
        <v>41988</v>
      </c>
      <c r="F104" s="283">
        <v>16</v>
      </c>
      <c r="G104" s="283" t="s">
        <v>133</v>
      </c>
      <c r="H104" s="283" t="s">
        <v>124</v>
      </c>
      <c r="I104" s="283" t="s">
        <v>109</v>
      </c>
      <c r="J104" s="284"/>
      <c r="K104" s="284"/>
      <c r="L104" s="286" t="s">
        <v>100</v>
      </c>
      <c r="M104" s="283"/>
      <c r="N104" s="286" t="s">
        <v>100</v>
      </c>
      <c r="O104" s="286"/>
      <c r="P104" s="286" t="s">
        <v>100</v>
      </c>
      <c r="Q104" s="285"/>
      <c r="R104" s="286" t="s">
        <v>100</v>
      </c>
      <c r="S104" s="283"/>
      <c r="T104" s="286" t="s">
        <v>100</v>
      </c>
    </row>
    <row r="105" spans="1:20">
      <c r="A105" s="290">
        <v>43040</v>
      </c>
      <c r="B105" s="290">
        <v>43057</v>
      </c>
      <c r="C105" s="575">
        <v>14186</v>
      </c>
      <c r="D105" s="284">
        <v>12227</v>
      </c>
      <c r="E105" s="290">
        <v>42054</v>
      </c>
      <c r="F105" s="283">
        <v>22</v>
      </c>
      <c r="G105" s="283" t="s">
        <v>369</v>
      </c>
      <c r="H105" s="283" t="s">
        <v>124</v>
      </c>
      <c r="I105" s="283" t="s">
        <v>109</v>
      </c>
      <c r="J105" s="283"/>
      <c r="K105" s="284"/>
      <c r="L105" s="283" t="s">
        <v>366</v>
      </c>
      <c r="M105" s="286" t="s">
        <v>121</v>
      </c>
      <c r="N105" s="283" t="s">
        <v>364</v>
      </c>
      <c r="O105" s="286" t="s">
        <v>100</v>
      </c>
      <c r="P105" s="286" t="s">
        <v>100</v>
      </c>
      <c r="Q105" s="286"/>
      <c r="R105" s="286" t="s">
        <v>100</v>
      </c>
      <c r="S105" s="286" t="s">
        <v>100</v>
      </c>
      <c r="T105" s="286" t="s">
        <v>100</v>
      </c>
    </row>
    <row r="106" spans="1:20">
      <c r="A106" s="289" t="s">
        <v>151</v>
      </c>
      <c r="B106" s="290">
        <v>43086</v>
      </c>
      <c r="C106" s="277" t="s">
        <v>151</v>
      </c>
      <c r="D106" s="284" t="s">
        <v>199</v>
      </c>
      <c r="E106" s="328">
        <v>27106</v>
      </c>
      <c r="F106" s="283">
        <v>60</v>
      </c>
      <c r="G106" s="283" t="s">
        <v>272</v>
      </c>
      <c r="H106" s="286" t="s">
        <v>100</v>
      </c>
      <c r="I106" s="283"/>
      <c r="J106" s="285">
        <f t="shared" ref="J106" si="4">I106/340.75</f>
        <v>0</v>
      </c>
      <c r="K106" s="284"/>
      <c r="L106" s="286" t="s">
        <v>100</v>
      </c>
      <c r="M106" s="286"/>
      <c r="N106" s="286" t="s">
        <v>100</v>
      </c>
      <c r="O106" s="283"/>
      <c r="P106" s="286" t="s">
        <v>100</v>
      </c>
      <c r="Q106" s="283"/>
      <c r="R106" s="286" t="s">
        <v>100</v>
      </c>
      <c r="S106" s="286"/>
      <c r="T106" s="286" t="s">
        <v>100</v>
      </c>
    </row>
    <row r="107" spans="1:20">
      <c r="A107" s="392" t="s">
        <v>151</v>
      </c>
      <c r="B107" s="290">
        <v>43364</v>
      </c>
      <c r="C107" s="277" t="s">
        <v>151</v>
      </c>
      <c r="D107" s="284" t="s">
        <v>200</v>
      </c>
      <c r="E107" s="290">
        <v>39073</v>
      </c>
      <c r="F107" s="283">
        <v>16</v>
      </c>
      <c r="G107" s="283" t="s">
        <v>169</v>
      </c>
      <c r="H107" s="283"/>
      <c r="I107" s="283"/>
      <c r="J107" s="284"/>
      <c r="K107" s="284"/>
      <c r="L107" s="283"/>
      <c r="M107" s="283"/>
      <c r="N107" s="283"/>
      <c r="O107" s="283"/>
      <c r="P107" s="283"/>
      <c r="Q107" s="283"/>
      <c r="R107" s="283"/>
      <c r="S107" s="283"/>
      <c r="T107" s="809"/>
    </row>
    <row r="108" spans="1:20">
      <c r="A108" s="290">
        <v>43241</v>
      </c>
      <c r="B108" s="290">
        <v>43373</v>
      </c>
      <c r="C108" s="575">
        <v>14533</v>
      </c>
      <c r="D108" s="284" t="s">
        <v>346</v>
      </c>
      <c r="E108" s="290">
        <v>32508</v>
      </c>
      <c r="F108" s="283">
        <v>21</v>
      </c>
      <c r="G108" s="283" t="s">
        <v>351</v>
      </c>
      <c r="H108" s="283" t="s">
        <v>124</v>
      </c>
      <c r="I108" s="283" t="s">
        <v>109</v>
      </c>
      <c r="J108" s="284"/>
      <c r="K108" s="284"/>
      <c r="L108" s="286" t="s">
        <v>100</v>
      </c>
      <c r="M108" s="286"/>
      <c r="N108" s="286" t="s">
        <v>100</v>
      </c>
      <c r="O108" s="283"/>
      <c r="P108" s="286" t="s">
        <v>100</v>
      </c>
      <c r="Q108" s="283"/>
      <c r="R108" s="286" t="s">
        <v>100</v>
      </c>
      <c r="S108" s="283"/>
      <c r="T108" s="286" t="s">
        <v>100</v>
      </c>
    </row>
    <row r="109" spans="1:20">
      <c r="A109" s="290">
        <v>43269</v>
      </c>
      <c r="B109" s="290">
        <v>43373</v>
      </c>
      <c r="C109" s="575">
        <v>14566</v>
      </c>
      <c r="D109" s="284" t="s">
        <v>346</v>
      </c>
      <c r="E109" s="290">
        <v>32508</v>
      </c>
      <c r="F109" s="283">
        <v>21</v>
      </c>
      <c r="G109" s="283" t="s">
        <v>352</v>
      </c>
      <c r="H109" s="283" t="s">
        <v>124</v>
      </c>
      <c r="I109" s="283" t="s">
        <v>109</v>
      </c>
      <c r="J109" s="284"/>
      <c r="K109" s="284"/>
      <c r="L109" s="283"/>
      <c r="M109" s="283"/>
      <c r="N109" s="283"/>
      <c r="O109" s="283"/>
      <c r="P109" s="283"/>
      <c r="Q109" s="283"/>
      <c r="R109" s="283"/>
      <c r="S109" s="283"/>
      <c r="T109" s="286" t="s">
        <v>100</v>
      </c>
    </row>
    <row r="110" spans="1:20">
      <c r="A110" s="392" t="s">
        <v>151</v>
      </c>
      <c r="B110" s="290">
        <v>44001</v>
      </c>
      <c r="C110" s="277" t="s">
        <v>151</v>
      </c>
      <c r="D110" s="284" t="s">
        <v>198</v>
      </c>
      <c r="E110" s="328">
        <v>34962</v>
      </c>
      <c r="F110" s="283">
        <v>16</v>
      </c>
      <c r="G110" s="283" t="s">
        <v>254</v>
      </c>
      <c r="H110" s="283"/>
      <c r="I110" s="283" t="s">
        <v>109</v>
      </c>
      <c r="J110" s="284"/>
      <c r="K110" s="284"/>
      <c r="L110" s="283"/>
      <c r="M110" s="283"/>
      <c r="N110" s="283"/>
      <c r="O110" s="283"/>
      <c r="P110" s="283"/>
      <c r="Q110" s="283"/>
      <c r="R110" s="283"/>
      <c r="S110" s="283"/>
      <c r="T110" s="809"/>
    </row>
    <row r="111" spans="1:20">
      <c r="A111" s="392" t="s">
        <v>151</v>
      </c>
      <c r="B111" s="290">
        <v>44088</v>
      </c>
      <c r="C111" s="277" t="s">
        <v>151</v>
      </c>
      <c r="D111" s="284">
        <v>9307</v>
      </c>
      <c r="E111" s="290">
        <v>41988</v>
      </c>
      <c r="F111" s="283">
        <v>16</v>
      </c>
      <c r="G111" s="283" t="s">
        <v>133</v>
      </c>
      <c r="H111" s="283"/>
      <c r="I111" s="283" t="s">
        <v>109</v>
      </c>
      <c r="J111" s="284"/>
      <c r="K111" s="284"/>
      <c r="L111" s="286" t="s">
        <v>100</v>
      </c>
      <c r="M111" s="283"/>
      <c r="N111" s="286" t="s">
        <v>100</v>
      </c>
      <c r="O111" s="286"/>
      <c r="P111" s="286" t="s">
        <v>100</v>
      </c>
      <c r="Q111" s="285"/>
      <c r="R111" s="286" t="s">
        <v>100</v>
      </c>
      <c r="S111" s="283"/>
      <c r="T111" s="809"/>
    </row>
    <row r="112" spans="1:20" s="104" customFormat="1">
      <c r="A112" s="303">
        <v>44224</v>
      </c>
      <c r="B112" s="290">
        <v>44153</v>
      </c>
      <c r="C112" s="575">
        <v>16079</v>
      </c>
      <c r="D112" s="284">
        <v>12227</v>
      </c>
      <c r="E112" s="290">
        <v>42054</v>
      </c>
      <c r="F112" s="283">
        <v>22</v>
      </c>
      <c r="G112" s="283" t="s">
        <v>370</v>
      </c>
      <c r="H112" s="283" t="s">
        <v>124</v>
      </c>
      <c r="I112" s="286" t="s">
        <v>121</v>
      </c>
      <c r="J112" s="283"/>
      <c r="K112" s="284"/>
      <c r="L112" s="283" t="s">
        <v>366</v>
      </c>
      <c r="M112" s="286" t="s">
        <v>121</v>
      </c>
      <c r="N112" s="283" t="s">
        <v>364</v>
      </c>
      <c r="O112" s="286" t="s">
        <v>100</v>
      </c>
      <c r="P112" s="286" t="s">
        <v>100</v>
      </c>
      <c r="Q112" s="286"/>
      <c r="R112" s="286" t="s">
        <v>100</v>
      </c>
      <c r="S112" s="286" t="s">
        <v>100</v>
      </c>
      <c r="T112" s="286" t="s">
        <v>100</v>
      </c>
    </row>
    <row r="113" spans="1:20">
      <c r="A113" s="392" t="s">
        <v>151</v>
      </c>
      <c r="B113" s="290">
        <v>44460</v>
      </c>
      <c r="C113" s="277" t="s">
        <v>151</v>
      </c>
      <c r="D113" s="284" t="s">
        <v>200</v>
      </c>
      <c r="E113" s="290">
        <v>39073</v>
      </c>
      <c r="F113" s="283">
        <v>16</v>
      </c>
      <c r="G113" s="283" t="s">
        <v>234</v>
      </c>
      <c r="H113" s="283"/>
      <c r="I113" s="283"/>
      <c r="J113" s="284"/>
      <c r="K113" s="284"/>
      <c r="L113" s="286"/>
      <c r="M113" s="283"/>
      <c r="N113" s="286"/>
      <c r="O113" s="286"/>
      <c r="P113" s="286"/>
      <c r="Q113" s="285"/>
      <c r="R113" s="286"/>
      <c r="S113" s="283"/>
      <c r="T113" s="809"/>
    </row>
    <row r="114" spans="1:20">
      <c r="A114" s="303">
        <v>45174</v>
      </c>
      <c r="B114" s="290">
        <v>44924</v>
      </c>
      <c r="C114" s="575">
        <v>17246</v>
      </c>
      <c r="D114" s="418">
        <v>8546</v>
      </c>
      <c r="E114" s="365">
        <v>39902</v>
      </c>
      <c r="F114" s="283">
        <v>27</v>
      </c>
      <c r="G114" s="283" t="s">
        <v>422</v>
      </c>
      <c r="H114" s="283" t="s">
        <v>124</v>
      </c>
      <c r="I114" s="283" t="s">
        <v>423</v>
      </c>
      <c r="J114" s="284"/>
      <c r="K114" s="284"/>
      <c r="L114" s="283"/>
      <c r="M114" s="283"/>
      <c r="N114" s="283"/>
      <c r="O114" s="283"/>
      <c r="P114" s="283"/>
      <c r="Q114" s="283"/>
      <c r="R114" s="283"/>
      <c r="S114" s="283"/>
      <c r="T114" s="286" t="s">
        <v>100</v>
      </c>
    </row>
    <row r="115" spans="1:20">
      <c r="A115" s="290"/>
      <c r="B115" s="290">
        <v>45183</v>
      </c>
      <c r="C115" s="284"/>
      <c r="D115" s="284">
        <v>9307</v>
      </c>
      <c r="E115" s="290">
        <v>41988</v>
      </c>
      <c r="F115" s="283">
        <v>16</v>
      </c>
      <c r="G115" s="283" t="s">
        <v>133</v>
      </c>
      <c r="H115" s="283"/>
      <c r="I115" s="283" t="s">
        <v>109</v>
      </c>
      <c r="J115" s="284"/>
      <c r="K115" s="284"/>
      <c r="L115" s="286" t="s">
        <v>100</v>
      </c>
      <c r="M115" s="283"/>
      <c r="N115" s="286" t="s">
        <v>100</v>
      </c>
      <c r="O115" s="286"/>
      <c r="P115" s="286" t="s">
        <v>100</v>
      </c>
      <c r="Q115" s="285"/>
      <c r="R115" s="286" t="s">
        <v>100</v>
      </c>
      <c r="S115" s="283"/>
      <c r="T115" s="809"/>
    </row>
    <row r="116" spans="1:20">
      <c r="A116" s="289" t="s">
        <v>151</v>
      </c>
      <c r="B116" s="290">
        <v>45827</v>
      </c>
      <c r="C116" s="289" t="s">
        <v>151</v>
      </c>
      <c r="D116" s="284" t="s">
        <v>198</v>
      </c>
      <c r="E116" s="328">
        <v>34962</v>
      </c>
      <c r="F116" s="283">
        <v>16</v>
      </c>
      <c r="G116" s="283" t="s">
        <v>122</v>
      </c>
      <c r="H116" s="289" t="s">
        <v>151</v>
      </c>
      <c r="I116" s="283" t="s">
        <v>109</v>
      </c>
      <c r="J116" s="284"/>
      <c r="K116" s="284"/>
      <c r="L116" s="283" t="s">
        <v>162</v>
      </c>
      <c r="M116" s="286" t="s">
        <v>121</v>
      </c>
      <c r="N116" s="283" t="s">
        <v>163</v>
      </c>
      <c r="O116" s="286" t="s">
        <v>100</v>
      </c>
      <c r="P116" s="283" t="s">
        <v>163</v>
      </c>
      <c r="Q116" s="286" t="s">
        <v>100</v>
      </c>
      <c r="R116" s="283"/>
      <c r="S116" s="286" t="s">
        <v>100</v>
      </c>
      <c r="T116" s="322"/>
    </row>
    <row r="117" spans="1:20">
      <c r="A117" s="290"/>
      <c r="B117" s="290">
        <v>46279</v>
      </c>
      <c r="C117" s="284"/>
      <c r="D117" s="284">
        <v>9307</v>
      </c>
      <c r="E117" s="290">
        <v>41988</v>
      </c>
      <c r="F117" s="283">
        <v>16</v>
      </c>
      <c r="G117" s="283" t="s">
        <v>133</v>
      </c>
      <c r="H117" s="283"/>
      <c r="I117" s="283" t="s">
        <v>109</v>
      </c>
      <c r="J117" s="284"/>
      <c r="K117" s="284"/>
      <c r="L117" s="283"/>
      <c r="M117" s="283"/>
      <c r="N117" s="283"/>
      <c r="O117" s="283"/>
      <c r="P117" s="283"/>
      <c r="Q117" s="283"/>
      <c r="R117" s="283"/>
      <c r="S117" s="283"/>
      <c r="T117" s="809"/>
    </row>
    <row r="118" spans="1:20">
      <c r="A118" s="289" t="s">
        <v>151</v>
      </c>
      <c r="B118" s="290">
        <v>46738</v>
      </c>
      <c r="C118" s="277" t="s">
        <v>151</v>
      </c>
      <c r="D118" s="284" t="s">
        <v>199</v>
      </c>
      <c r="E118" s="328">
        <v>27106</v>
      </c>
      <c r="F118" s="283">
        <v>60</v>
      </c>
      <c r="G118" s="283" t="s">
        <v>272</v>
      </c>
      <c r="H118" s="283"/>
      <c r="I118" s="283"/>
      <c r="J118" s="284"/>
      <c r="K118" s="284"/>
      <c r="L118" s="283"/>
      <c r="M118" s="283"/>
      <c r="N118" s="283"/>
      <c r="O118" s="283"/>
      <c r="P118" s="283"/>
      <c r="Q118" s="283"/>
      <c r="R118" s="283"/>
      <c r="S118" s="283"/>
      <c r="T118" s="286" t="s">
        <v>100</v>
      </c>
    </row>
    <row r="119" spans="1:20">
      <c r="A119" s="290"/>
      <c r="B119" s="290"/>
      <c r="C119" s="284"/>
      <c r="D119" s="284"/>
      <c r="E119" s="290"/>
      <c r="F119" s="283"/>
      <c r="G119" s="283"/>
      <c r="H119" s="283"/>
      <c r="I119" s="283"/>
      <c r="J119" s="284"/>
      <c r="K119" s="284"/>
      <c r="L119" s="283"/>
      <c r="M119" s="283"/>
      <c r="N119" s="283"/>
      <c r="O119" s="283"/>
      <c r="P119" s="283"/>
      <c r="Q119" s="283"/>
      <c r="R119" s="283"/>
      <c r="S119" s="283"/>
      <c r="T119" s="809"/>
    </row>
    <row r="120" spans="1:20">
      <c r="A120" s="277" t="s">
        <v>151</v>
      </c>
      <c r="B120" s="290">
        <v>48112</v>
      </c>
      <c r="C120" s="277" t="s">
        <v>151</v>
      </c>
      <c r="D120" s="284" t="s">
        <v>200</v>
      </c>
      <c r="E120" s="290">
        <v>39073</v>
      </c>
      <c r="F120" s="283">
        <v>16</v>
      </c>
      <c r="G120" s="283" t="s">
        <v>235</v>
      </c>
      <c r="H120" s="283"/>
      <c r="I120" s="283"/>
      <c r="J120" s="284"/>
      <c r="K120" s="284"/>
      <c r="L120" s="283"/>
      <c r="M120" s="283"/>
      <c r="N120" s="283"/>
      <c r="O120" s="283"/>
      <c r="P120" s="283"/>
      <c r="Q120" s="283"/>
      <c r="R120" s="283"/>
      <c r="S120" s="283"/>
      <c r="T120" s="809"/>
    </row>
    <row r="121" spans="1:20">
      <c r="A121" s="290"/>
      <c r="B121" s="290"/>
      <c r="C121" s="284"/>
      <c r="D121" s="284"/>
      <c r="E121" s="290"/>
      <c r="F121" s="283"/>
      <c r="G121" s="283"/>
      <c r="H121" s="283"/>
      <c r="I121" s="283"/>
      <c r="J121" s="284"/>
      <c r="K121" s="284"/>
      <c r="L121" s="283"/>
      <c r="M121" s="283"/>
      <c r="N121" s="283"/>
      <c r="O121" s="283"/>
      <c r="P121" s="283"/>
      <c r="Q121" s="283"/>
      <c r="R121" s="283"/>
      <c r="S121" s="283"/>
      <c r="T121" s="809"/>
    </row>
    <row r="122" spans="1:20">
      <c r="A122" s="290"/>
      <c r="B122" s="290"/>
      <c r="C122" s="284"/>
      <c r="D122" s="284"/>
      <c r="E122" s="290"/>
      <c r="F122" s="283"/>
      <c r="G122" s="283"/>
      <c r="H122" s="283"/>
      <c r="I122" s="283"/>
      <c r="J122" s="284"/>
      <c r="K122" s="284"/>
      <c r="L122" s="283"/>
      <c r="M122" s="283"/>
      <c r="N122" s="283"/>
      <c r="O122" s="283"/>
      <c r="P122" s="283"/>
      <c r="Q122" s="283"/>
      <c r="R122" s="283"/>
      <c r="S122" s="283"/>
      <c r="T122" s="809"/>
    </row>
    <row r="123" spans="1:20">
      <c r="A123" s="290"/>
      <c r="B123" s="290"/>
      <c r="C123" s="284"/>
      <c r="D123" s="284"/>
      <c r="E123" s="290"/>
      <c r="F123" s="283"/>
      <c r="G123" s="283"/>
      <c r="H123" s="283"/>
      <c r="I123" s="283"/>
      <c r="J123" s="284"/>
      <c r="K123" s="284"/>
      <c r="L123" s="283"/>
      <c r="M123" s="283"/>
      <c r="N123" s="283"/>
      <c r="O123" s="283"/>
      <c r="P123" s="283"/>
      <c r="Q123" s="283"/>
      <c r="R123" s="283"/>
      <c r="S123" s="283"/>
      <c r="T123" s="809"/>
    </row>
    <row r="124" spans="1:20">
      <c r="A124" s="277" t="s">
        <v>151</v>
      </c>
      <c r="B124" s="292">
        <v>56042</v>
      </c>
      <c r="C124" s="277" t="s">
        <v>151</v>
      </c>
      <c r="D124" s="284" t="s">
        <v>231</v>
      </c>
      <c r="E124" s="290">
        <v>32394</v>
      </c>
      <c r="F124" s="283">
        <v>16</v>
      </c>
      <c r="G124" s="283" t="s">
        <v>94</v>
      </c>
      <c r="H124" s="283"/>
      <c r="I124" s="283"/>
      <c r="J124" s="284"/>
      <c r="K124" s="284"/>
      <c r="L124" s="283"/>
      <c r="M124" s="283"/>
      <c r="N124" s="283"/>
      <c r="O124" s="283"/>
      <c r="P124" s="283"/>
      <c r="Q124" s="283"/>
      <c r="R124" s="283"/>
      <c r="S124" s="283"/>
      <c r="T124" s="809"/>
    </row>
    <row r="125" spans="1:20">
      <c r="A125" s="290"/>
      <c r="B125" s="290"/>
      <c r="C125" s="284"/>
      <c r="D125" s="284"/>
      <c r="E125" s="284"/>
      <c r="F125" s="283"/>
      <c r="G125" s="283"/>
      <c r="H125" s="283"/>
      <c r="I125" s="283"/>
      <c r="J125" s="284"/>
      <c r="K125" s="284"/>
      <c r="L125" s="283"/>
      <c r="M125" s="283"/>
      <c r="N125" s="283"/>
      <c r="O125" s="283"/>
      <c r="P125" s="283"/>
      <c r="Q125" s="283"/>
      <c r="R125" s="283"/>
      <c r="S125" s="283"/>
      <c r="T125" s="809"/>
    </row>
  </sheetData>
  <autoFilter ref="F1:F12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Y135"/>
  <sheetViews>
    <sheetView workbookViewId="0">
      <pane ySplit="1" topLeftCell="A21" activePane="bottomLeft" state="frozen"/>
      <selection pane="bottomLeft" activeCell="A23" sqref="A23:XFD23"/>
    </sheetView>
  </sheetViews>
  <sheetFormatPr defaultRowHeight="11.25"/>
  <cols>
    <col min="1" max="1" width="6.88671875" style="291" bestFit="1" customWidth="1"/>
    <col min="2" max="2" width="7.6640625" style="291" bestFit="1" customWidth="1"/>
    <col min="3" max="3" width="6.33203125" style="41" bestFit="1" customWidth="1"/>
    <col min="4" max="4" width="9.6640625" style="41" bestFit="1" customWidth="1"/>
    <col min="5" max="5" width="6.77734375" style="393" bestFit="1" customWidth="1"/>
    <col min="6" max="6" width="4.33203125" style="1" customWidth="1"/>
    <col min="7" max="7" width="50.6640625" style="1" bestFit="1" customWidth="1"/>
    <col min="8" max="8" width="17.5546875" style="1" bestFit="1" customWidth="1"/>
    <col min="9" max="10" width="8.21875" style="1" bestFit="1" customWidth="1"/>
    <col min="11" max="11" width="8" style="1" bestFit="1" customWidth="1"/>
    <col min="12" max="12" width="8.6640625" style="42" bestFit="1" customWidth="1"/>
    <col min="13" max="13" width="9.77734375" style="42" customWidth="1"/>
    <col min="14" max="14" width="29.88671875" style="1" bestFit="1" customWidth="1"/>
    <col min="15" max="15" width="8.88671875" style="1"/>
    <col min="16" max="16" width="8.21875" style="1" bestFit="1" customWidth="1"/>
    <col min="17" max="17" width="18.109375" style="1" bestFit="1" customWidth="1"/>
    <col min="18" max="18" width="12.109375" style="1" bestFit="1" customWidth="1"/>
    <col min="19" max="19" width="8.21875" style="1" bestFit="1" customWidth="1"/>
    <col min="20" max="20" width="24.109375" style="1" bestFit="1" customWidth="1"/>
    <col min="21" max="22" width="8.88671875" style="1"/>
    <col min="23" max="23" width="35.5546875" style="1" bestFit="1" customWidth="1"/>
    <col min="24" max="16384" width="8.88671875" style="1"/>
  </cols>
  <sheetData>
    <row r="1" spans="1:25">
      <c r="A1" s="289" t="s">
        <v>107</v>
      </c>
      <c r="B1" s="289" t="s">
        <v>196</v>
      </c>
      <c r="C1" s="277" t="s">
        <v>90</v>
      </c>
      <c r="D1" s="277" t="s">
        <v>104</v>
      </c>
      <c r="E1" s="392" t="s">
        <v>197</v>
      </c>
      <c r="F1" s="276">
        <v>219</v>
      </c>
      <c r="G1" s="276" t="s">
        <v>93</v>
      </c>
      <c r="H1" s="278" t="s">
        <v>91</v>
      </c>
      <c r="I1" s="278" t="s">
        <v>92</v>
      </c>
      <c r="J1" s="278" t="s">
        <v>98</v>
      </c>
      <c r="K1" s="288" t="s">
        <v>106</v>
      </c>
      <c r="L1" s="356" t="s">
        <v>98</v>
      </c>
      <c r="M1" s="405" t="s">
        <v>217</v>
      </c>
      <c r="N1" s="281" t="s">
        <v>96</v>
      </c>
      <c r="O1" s="282" t="s">
        <v>92</v>
      </c>
      <c r="P1" s="282" t="s">
        <v>98</v>
      </c>
      <c r="Q1" s="279" t="s">
        <v>99</v>
      </c>
      <c r="R1" s="280" t="s">
        <v>92</v>
      </c>
      <c r="S1" s="280" t="s">
        <v>98</v>
      </c>
      <c r="T1" s="281" t="s">
        <v>102</v>
      </c>
      <c r="U1" s="282" t="s">
        <v>92</v>
      </c>
      <c r="V1" s="282" t="s">
        <v>98</v>
      </c>
      <c r="W1" s="279" t="s">
        <v>103</v>
      </c>
      <c r="X1" s="280" t="s">
        <v>92</v>
      </c>
      <c r="Y1" s="280" t="s">
        <v>98</v>
      </c>
    </row>
    <row r="2" spans="1:25">
      <c r="A2" s="290"/>
      <c r="B2" s="290"/>
      <c r="C2" s="284"/>
      <c r="D2" s="284"/>
      <c r="E2" s="328"/>
      <c r="F2" s="283"/>
      <c r="G2" s="283"/>
      <c r="H2" s="283"/>
      <c r="I2" s="283"/>
      <c r="J2" s="285">
        <f>I2/340.75</f>
        <v>0</v>
      </c>
      <c r="K2" s="284"/>
      <c r="L2" s="285">
        <f t="shared" ref="J2:L59" si="0">K2/340.75</f>
        <v>0</v>
      </c>
      <c r="M2" s="285"/>
      <c r="N2" s="283"/>
      <c r="O2" s="283"/>
      <c r="P2" s="283"/>
      <c r="Q2" s="283"/>
      <c r="R2" s="283"/>
      <c r="S2" s="285">
        <f>R2/340.75</f>
        <v>0</v>
      </c>
      <c r="T2" s="283"/>
      <c r="U2" s="283"/>
      <c r="V2" s="283"/>
      <c r="W2" s="283"/>
      <c r="X2" s="283"/>
      <c r="Y2" s="283"/>
    </row>
    <row r="3" spans="1:25">
      <c r="A3" s="290">
        <v>26158</v>
      </c>
      <c r="B3" s="391"/>
      <c r="C3" s="284" t="s">
        <v>626</v>
      </c>
      <c r="D3" s="391"/>
      <c r="E3" s="391"/>
      <c r="F3" s="283">
        <v>24</v>
      </c>
      <c r="G3" s="283" t="s">
        <v>634</v>
      </c>
      <c r="H3" s="283" t="s">
        <v>625</v>
      </c>
      <c r="I3" s="283">
        <v>500</v>
      </c>
      <c r="J3" s="285">
        <f t="shared" si="0"/>
        <v>1.467351430667645</v>
      </c>
      <c r="K3" s="284">
        <v>500</v>
      </c>
      <c r="L3" s="285">
        <f t="shared" si="0"/>
        <v>1.467351430667645</v>
      </c>
      <c r="M3" s="285">
        <f>3*L3*28.903</f>
        <v>127.23257520176084</v>
      </c>
      <c r="N3" s="286" t="s">
        <v>100</v>
      </c>
      <c r="O3" s="286" t="s">
        <v>100</v>
      </c>
      <c r="P3" s="286" t="s">
        <v>100</v>
      </c>
      <c r="Q3" s="286" t="s">
        <v>100</v>
      </c>
      <c r="R3" s="286" t="s">
        <v>100</v>
      </c>
      <c r="S3" s="286" t="s">
        <v>100</v>
      </c>
      <c r="T3" s="286" t="s">
        <v>100</v>
      </c>
      <c r="U3" s="286" t="s">
        <v>100</v>
      </c>
      <c r="V3" s="286" t="s">
        <v>100</v>
      </c>
      <c r="W3" s="809" t="s">
        <v>632</v>
      </c>
      <c r="X3" s="286" t="s">
        <v>100</v>
      </c>
      <c r="Y3" s="286" t="s">
        <v>100</v>
      </c>
    </row>
    <row r="4" spans="1:25">
      <c r="A4" s="290">
        <v>26597</v>
      </c>
      <c r="B4" s="391"/>
      <c r="C4" s="284">
        <v>11111</v>
      </c>
      <c r="D4" s="391"/>
      <c r="E4" s="391"/>
      <c r="F4" s="283">
        <v>27</v>
      </c>
      <c r="G4" s="283" t="s">
        <v>385</v>
      </c>
      <c r="H4" s="283" t="s">
        <v>384</v>
      </c>
      <c r="I4" s="284">
        <v>1000</v>
      </c>
      <c r="J4" s="285">
        <f t="shared" si="0"/>
        <v>2.9347028613352899</v>
      </c>
      <c r="K4" s="284">
        <v>1000</v>
      </c>
      <c r="L4" s="285">
        <f t="shared" si="0"/>
        <v>2.9347028613352899</v>
      </c>
      <c r="M4" s="285">
        <f>J4/2*3*79.83</f>
        <v>351.4159941305943</v>
      </c>
      <c r="N4" s="286" t="s">
        <v>100</v>
      </c>
      <c r="O4" s="283"/>
      <c r="P4" s="283"/>
      <c r="Q4" s="286" t="s">
        <v>100</v>
      </c>
      <c r="R4" s="283"/>
      <c r="S4" s="285"/>
      <c r="T4" s="286" t="s">
        <v>100</v>
      </c>
      <c r="U4" s="283"/>
      <c r="V4" s="283"/>
      <c r="W4" s="286" t="s">
        <v>100</v>
      </c>
      <c r="X4" s="283"/>
      <c r="Y4" s="283"/>
    </row>
    <row r="5" spans="1:25">
      <c r="A5" s="328">
        <v>27106</v>
      </c>
      <c r="B5" s="354"/>
      <c r="C5" s="284">
        <v>11882</v>
      </c>
      <c r="D5" s="355"/>
      <c r="E5" s="355"/>
      <c r="F5" s="283">
        <v>60</v>
      </c>
      <c r="G5" s="283" t="s">
        <v>251</v>
      </c>
      <c r="H5" s="283" t="s">
        <v>186</v>
      </c>
      <c r="I5" s="286" t="s">
        <v>100</v>
      </c>
      <c r="J5" s="285"/>
      <c r="K5" s="284">
        <v>1500</v>
      </c>
      <c r="L5" s="285">
        <f t="shared" si="0"/>
        <v>4.4020542920029344</v>
      </c>
      <c r="M5" s="369">
        <f>L5*3*28.646</f>
        <v>378.30374174614821</v>
      </c>
      <c r="N5" s="286" t="s">
        <v>100</v>
      </c>
      <c r="O5" s="283"/>
      <c r="P5" s="283"/>
      <c r="Q5" s="286" t="s">
        <v>100</v>
      </c>
      <c r="R5" s="283"/>
      <c r="S5" s="285"/>
      <c r="T5" s="286" t="s">
        <v>100</v>
      </c>
      <c r="U5" s="283"/>
      <c r="V5" s="283"/>
      <c r="W5" s="286" t="s">
        <v>100</v>
      </c>
      <c r="X5" s="283"/>
      <c r="Y5" s="283"/>
    </row>
    <row r="6" spans="1:25" s="104" customFormat="1">
      <c r="A6" s="277" t="s">
        <v>151</v>
      </c>
      <c r="B6" s="365">
        <v>27161</v>
      </c>
      <c r="C6" s="418"/>
      <c r="D6" s="284" t="s">
        <v>626</v>
      </c>
      <c r="E6" s="290">
        <v>26158</v>
      </c>
      <c r="F6" s="283">
        <v>24</v>
      </c>
      <c r="G6" s="283" t="s">
        <v>634</v>
      </c>
      <c r="H6" s="277" t="s">
        <v>151</v>
      </c>
      <c r="I6" s="286" t="s">
        <v>100</v>
      </c>
      <c r="J6" s="286" t="s">
        <v>100</v>
      </c>
      <c r="K6" s="310">
        <v>500</v>
      </c>
      <c r="L6" s="350">
        <f t="shared" si="0"/>
        <v>1.467351430667645</v>
      </c>
      <c r="M6" s="350">
        <f>M3+3*L6*28.903</f>
        <v>254.46515040352168</v>
      </c>
      <c r="N6" s="286" t="s">
        <v>100</v>
      </c>
      <c r="O6" s="286" t="s">
        <v>100</v>
      </c>
      <c r="P6" s="286" t="s">
        <v>100</v>
      </c>
      <c r="Q6" s="286" t="s">
        <v>100</v>
      </c>
      <c r="R6" s="286" t="s">
        <v>100</v>
      </c>
      <c r="S6" s="286" t="s">
        <v>100</v>
      </c>
      <c r="T6" s="286" t="s">
        <v>100</v>
      </c>
      <c r="U6" s="286" t="s">
        <v>100</v>
      </c>
      <c r="V6" s="286" t="s">
        <v>100</v>
      </c>
      <c r="W6" s="809" t="s">
        <v>632</v>
      </c>
      <c r="X6" s="286" t="s">
        <v>100</v>
      </c>
      <c r="Y6" s="286" t="s">
        <v>100</v>
      </c>
    </row>
    <row r="7" spans="1:25" s="104" customFormat="1">
      <c r="A7" s="577">
        <v>27688</v>
      </c>
      <c r="B7" s="365">
        <v>27599</v>
      </c>
      <c r="C7" s="418">
        <v>2080</v>
      </c>
      <c r="D7" s="284" t="s">
        <v>396</v>
      </c>
      <c r="E7" s="290">
        <v>26597</v>
      </c>
      <c r="F7" s="368">
        <v>27</v>
      </c>
      <c r="G7" s="283" t="s">
        <v>385</v>
      </c>
      <c r="H7" s="368" t="s">
        <v>391</v>
      </c>
      <c r="I7" s="286" t="s">
        <v>100</v>
      </c>
      <c r="J7" s="369"/>
      <c r="K7" s="418">
        <v>500</v>
      </c>
      <c r="L7" s="285">
        <f t="shared" si="0"/>
        <v>1.467351430667645</v>
      </c>
      <c r="M7" s="585">
        <f>M4+L7*3*79.83</f>
        <v>702.8319882611886</v>
      </c>
      <c r="N7" s="286" t="s">
        <v>100</v>
      </c>
      <c r="O7" s="368"/>
      <c r="P7" s="286"/>
      <c r="Q7" s="286" t="s">
        <v>100</v>
      </c>
      <c r="R7" s="286"/>
      <c r="S7" s="369"/>
      <c r="T7" s="286" t="s">
        <v>100</v>
      </c>
      <c r="U7" s="368"/>
      <c r="V7" s="368"/>
      <c r="W7" s="286" t="s">
        <v>100</v>
      </c>
      <c r="X7" s="368"/>
      <c r="Y7" s="368"/>
    </row>
    <row r="8" spans="1:25" s="104" customFormat="1">
      <c r="A8" s="277" t="s">
        <v>151</v>
      </c>
      <c r="B8" s="365">
        <v>28257</v>
      </c>
      <c r="C8" s="277" t="s">
        <v>151</v>
      </c>
      <c r="D8" s="284" t="s">
        <v>626</v>
      </c>
      <c r="E8" s="290">
        <v>26158</v>
      </c>
      <c r="F8" s="283">
        <v>24</v>
      </c>
      <c r="G8" s="283" t="s">
        <v>634</v>
      </c>
      <c r="H8" s="277" t="s">
        <v>151</v>
      </c>
      <c r="I8" s="286" t="s">
        <v>100</v>
      </c>
      <c r="J8" s="286" t="s">
        <v>100</v>
      </c>
      <c r="K8" s="310">
        <v>500</v>
      </c>
      <c r="L8" s="350">
        <f t="shared" ref="L8" si="1">K8/340.75</f>
        <v>1.467351430667645</v>
      </c>
      <c r="M8" s="648">
        <f>M6+3*L8*28.903</f>
        <v>381.69772560528253</v>
      </c>
      <c r="N8" s="286" t="s">
        <v>100</v>
      </c>
      <c r="O8" s="286" t="s">
        <v>100</v>
      </c>
      <c r="P8" s="286" t="s">
        <v>100</v>
      </c>
      <c r="Q8" s="286" t="s">
        <v>100</v>
      </c>
      <c r="R8" s="286" t="s">
        <v>100</v>
      </c>
      <c r="S8" s="286" t="s">
        <v>100</v>
      </c>
      <c r="T8" s="286" t="s">
        <v>100</v>
      </c>
      <c r="U8" s="286" t="s">
        <v>100</v>
      </c>
      <c r="V8" s="286" t="s">
        <v>100</v>
      </c>
      <c r="W8" s="809" t="s">
        <v>632</v>
      </c>
      <c r="X8" s="286" t="s">
        <v>100</v>
      </c>
      <c r="Y8" s="286" t="s">
        <v>100</v>
      </c>
    </row>
    <row r="9" spans="1:25">
      <c r="A9" s="277" t="s">
        <v>151</v>
      </c>
      <c r="B9" s="290">
        <v>28476</v>
      </c>
      <c r="C9" s="277" t="s">
        <v>151</v>
      </c>
      <c r="D9" s="284" t="s">
        <v>199</v>
      </c>
      <c r="E9" s="328">
        <v>27106</v>
      </c>
      <c r="F9" s="283">
        <v>60</v>
      </c>
      <c r="G9" s="283" t="s">
        <v>189</v>
      </c>
      <c r="H9" s="286" t="s">
        <v>100</v>
      </c>
      <c r="I9" s="283"/>
      <c r="J9" s="285"/>
      <c r="K9" s="284">
        <v>6000</v>
      </c>
      <c r="L9" s="285">
        <f t="shared" si="0"/>
        <v>17.608217168011738</v>
      </c>
      <c r="M9" s="369">
        <f>M5+L9*3*28.646</f>
        <v>1891.5187087307411</v>
      </c>
      <c r="N9" s="286" t="s">
        <v>100</v>
      </c>
      <c r="O9" s="283"/>
      <c r="P9" s="283"/>
      <c r="Q9" s="286" t="s">
        <v>100</v>
      </c>
      <c r="R9" s="283"/>
      <c r="S9" s="285">
        <f t="shared" ref="S9:S32" si="2">R9/340.75</f>
        <v>0</v>
      </c>
      <c r="T9" s="286" t="s">
        <v>100</v>
      </c>
      <c r="U9" s="283"/>
      <c r="V9" s="283"/>
      <c r="W9" s="286" t="s">
        <v>100</v>
      </c>
      <c r="X9" s="283"/>
      <c r="Y9" s="283"/>
    </row>
    <row r="10" spans="1:25" s="104" customFormat="1">
      <c r="A10" s="580">
        <v>28783</v>
      </c>
      <c r="B10" s="365">
        <v>28695</v>
      </c>
      <c r="C10" s="418">
        <v>14400</v>
      </c>
      <c r="D10" s="284" t="s">
        <v>396</v>
      </c>
      <c r="E10" s="290">
        <v>26597</v>
      </c>
      <c r="F10" s="368">
        <v>27</v>
      </c>
      <c r="G10" s="283" t="s">
        <v>385</v>
      </c>
      <c r="H10" s="519" t="s">
        <v>395</v>
      </c>
      <c r="I10" s="286" t="s">
        <v>100</v>
      </c>
      <c r="J10" s="369"/>
      <c r="K10" s="418">
        <v>4500</v>
      </c>
      <c r="L10" s="586">
        <f t="shared" si="0"/>
        <v>13.206162876008804</v>
      </c>
      <c r="M10" s="585">
        <f>M7+L10*3*79.83</f>
        <v>3865.5759354365368</v>
      </c>
      <c r="N10" s="286" t="s">
        <v>100</v>
      </c>
      <c r="O10" s="419"/>
      <c r="P10" s="368"/>
      <c r="Q10" s="286" t="s">
        <v>100</v>
      </c>
      <c r="R10" s="419"/>
      <c r="S10" s="368"/>
      <c r="T10" s="286" t="s">
        <v>100</v>
      </c>
      <c r="U10" s="368"/>
      <c r="V10" s="368"/>
      <c r="W10" s="286" t="s">
        <v>100</v>
      </c>
      <c r="X10" s="368"/>
      <c r="Y10" s="368"/>
    </row>
    <row r="11" spans="1:25" s="104" customFormat="1">
      <c r="A11" s="277" t="s">
        <v>151</v>
      </c>
      <c r="B11" s="365">
        <v>29353</v>
      </c>
      <c r="C11" s="277" t="s">
        <v>151</v>
      </c>
      <c r="D11" s="284" t="s">
        <v>626</v>
      </c>
      <c r="E11" s="290">
        <v>26158</v>
      </c>
      <c r="F11" s="283">
        <v>24</v>
      </c>
      <c r="G11" s="283" t="s">
        <v>634</v>
      </c>
      <c r="H11" s="277" t="s">
        <v>151</v>
      </c>
      <c r="I11" s="286" t="s">
        <v>100</v>
      </c>
      <c r="J11" s="286" t="s">
        <v>100</v>
      </c>
      <c r="K11" s="310">
        <v>500</v>
      </c>
      <c r="L11" s="350">
        <f t="shared" si="0"/>
        <v>1.467351430667645</v>
      </c>
      <c r="M11" s="648">
        <f>M8+3*L11*28.903</f>
        <v>508.93030080704335</v>
      </c>
      <c r="N11" s="286" t="s">
        <v>100</v>
      </c>
      <c r="O11" s="286" t="s">
        <v>100</v>
      </c>
      <c r="P11" s="286" t="s">
        <v>100</v>
      </c>
      <c r="Q11" s="286" t="s">
        <v>100</v>
      </c>
      <c r="R11" s="286" t="s">
        <v>100</v>
      </c>
      <c r="S11" s="286" t="s">
        <v>100</v>
      </c>
      <c r="T11" s="286" t="s">
        <v>100</v>
      </c>
      <c r="U11" s="286" t="s">
        <v>100</v>
      </c>
      <c r="V11" s="286" t="s">
        <v>100</v>
      </c>
      <c r="W11" s="809" t="s">
        <v>632</v>
      </c>
      <c r="X11" s="286" t="s">
        <v>100</v>
      </c>
      <c r="Y11" s="286" t="s">
        <v>100</v>
      </c>
    </row>
    <row r="12" spans="1:25">
      <c r="A12" s="277" t="s">
        <v>151</v>
      </c>
      <c r="B12" s="290">
        <v>29572</v>
      </c>
      <c r="C12" s="277" t="s">
        <v>151</v>
      </c>
      <c r="D12" s="284" t="s">
        <v>199</v>
      </c>
      <c r="E12" s="328">
        <v>27106</v>
      </c>
      <c r="F12" s="283">
        <v>60</v>
      </c>
      <c r="G12" s="283" t="s">
        <v>189</v>
      </c>
      <c r="H12" s="286" t="s">
        <v>100</v>
      </c>
      <c r="I12" s="283"/>
      <c r="J12" s="285"/>
      <c r="K12" s="284">
        <v>6000</v>
      </c>
      <c r="L12" s="285">
        <f t="shared" si="0"/>
        <v>17.608217168011738</v>
      </c>
      <c r="M12" s="369">
        <f>M9+3*L12*28.646</f>
        <v>3404.7336757153339</v>
      </c>
      <c r="N12" s="286" t="s">
        <v>100</v>
      </c>
      <c r="O12" s="283"/>
      <c r="P12" s="283"/>
      <c r="Q12" s="286" t="s">
        <v>100</v>
      </c>
      <c r="R12" s="283"/>
      <c r="S12" s="285">
        <f t="shared" si="2"/>
        <v>0</v>
      </c>
      <c r="T12" s="286" t="s">
        <v>100</v>
      </c>
      <c r="U12" s="283"/>
      <c r="V12" s="283"/>
      <c r="W12" s="286" t="s">
        <v>100</v>
      </c>
      <c r="X12" s="283"/>
      <c r="Y12" s="283"/>
    </row>
    <row r="13" spans="1:25" s="583" customFormat="1">
      <c r="A13" s="580">
        <v>29874</v>
      </c>
      <c r="B13" s="365">
        <v>29791</v>
      </c>
      <c r="C13" s="418">
        <v>18930</v>
      </c>
      <c r="D13" s="284" t="s">
        <v>396</v>
      </c>
      <c r="E13" s="290">
        <v>26597</v>
      </c>
      <c r="F13" s="368">
        <v>27</v>
      </c>
      <c r="G13" s="283" t="s">
        <v>385</v>
      </c>
      <c r="H13" s="519" t="s">
        <v>395</v>
      </c>
      <c r="I13" s="286" t="s">
        <v>100</v>
      </c>
      <c r="J13" s="369"/>
      <c r="K13" s="581">
        <v>6000</v>
      </c>
      <c r="L13" s="586">
        <f t="shared" si="0"/>
        <v>17.608217168011738</v>
      </c>
      <c r="M13" s="587">
        <f>M10+3*L13*79.83</f>
        <v>8082.567865003668</v>
      </c>
      <c r="N13" s="286" t="s">
        <v>100</v>
      </c>
      <c r="O13" s="519"/>
      <c r="P13" s="150"/>
      <c r="Q13" s="286" t="s">
        <v>100</v>
      </c>
      <c r="R13" s="519"/>
      <c r="S13" s="150"/>
      <c r="T13" s="286" t="s">
        <v>100</v>
      </c>
      <c r="U13" s="150"/>
      <c r="V13" s="150"/>
      <c r="W13" s="286" t="s">
        <v>100</v>
      </c>
      <c r="X13" s="150"/>
      <c r="Y13" s="150"/>
    </row>
    <row r="14" spans="1:25">
      <c r="A14" s="290">
        <v>29952</v>
      </c>
      <c r="B14" s="391"/>
      <c r="C14" s="576" t="s">
        <v>347</v>
      </c>
      <c r="D14" s="284" t="s">
        <v>199</v>
      </c>
      <c r="E14" s="328">
        <v>27106</v>
      </c>
      <c r="F14" s="283">
        <v>60</v>
      </c>
      <c r="G14" s="283" t="s">
        <v>188</v>
      </c>
      <c r="H14" s="283" t="s">
        <v>95</v>
      </c>
      <c r="I14" s="355"/>
      <c r="J14" s="403">
        <f t="shared" ref="J14" si="3">I14/340.75</f>
        <v>0</v>
      </c>
      <c r="K14" s="354"/>
      <c r="L14" s="403">
        <f t="shared" si="0"/>
        <v>0</v>
      </c>
      <c r="M14" s="403"/>
      <c r="N14" s="286" t="s">
        <v>100</v>
      </c>
      <c r="O14" s="283"/>
      <c r="P14" s="283"/>
      <c r="Q14" s="286" t="s">
        <v>100</v>
      </c>
      <c r="R14" s="283"/>
      <c r="S14" s="285">
        <f t="shared" si="2"/>
        <v>0</v>
      </c>
      <c r="T14" s="286" t="s">
        <v>100</v>
      </c>
      <c r="U14" s="283"/>
      <c r="V14" s="283"/>
      <c r="W14" s="286" t="s">
        <v>100</v>
      </c>
      <c r="X14" s="283"/>
      <c r="Y14" s="283"/>
    </row>
    <row r="15" spans="1:25" s="104" customFormat="1">
      <c r="A15" s="290">
        <v>30183</v>
      </c>
      <c r="B15" s="391"/>
      <c r="C15" s="576" t="s">
        <v>435</v>
      </c>
      <c r="D15" s="284" t="s">
        <v>396</v>
      </c>
      <c r="E15" s="290">
        <v>26597</v>
      </c>
      <c r="F15" s="283">
        <v>27</v>
      </c>
      <c r="G15" s="283" t="s">
        <v>380</v>
      </c>
      <c r="H15" s="283" t="s">
        <v>95</v>
      </c>
      <c r="I15" s="355"/>
      <c r="J15" s="579"/>
      <c r="K15" s="349"/>
      <c r="L15" s="349"/>
      <c r="M15" s="349"/>
      <c r="N15" s="584"/>
      <c r="O15" s="584"/>
      <c r="P15" s="584"/>
      <c r="Q15" s="579"/>
      <c r="R15" s="584"/>
      <c r="S15" s="584"/>
      <c r="T15" s="579"/>
      <c r="U15" s="578"/>
      <c r="V15" s="578"/>
      <c r="W15" s="578"/>
      <c r="X15" s="578"/>
      <c r="Y15" s="578"/>
    </row>
    <row r="16" spans="1:25" s="104" customFormat="1">
      <c r="A16" s="277" t="s">
        <v>151</v>
      </c>
      <c r="B16" s="365">
        <v>30448</v>
      </c>
      <c r="C16" s="277" t="s">
        <v>151</v>
      </c>
      <c r="D16" s="284" t="s">
        <v>626</v>
      </c>
      <c r="E16" s="290">
        <v>26158</v>
      </c>
      <c r="F16" s="283">
        <v>24</v>
      </c>
      <c r="G16" s="283" t="s">
        <v>634</v>
      </c>
      <c r="H16" s="277" t="s">
        <v>151</v>
      </c>
      <c r="I16" s="286" t="s">
        <v>100</v>
      </c>
      <c r="J16" s="286" t="s">
        <v>100</v>
      </c>
      <c r="K16" s="310">
        <v>500</v>
      </c>
      <c r="L16" s="350">
        <f t="shared" ref="L16" si="4">K16/340.75</f>
        <v>1.467351430667645</v>
      </c>
      <c r="M16" s="648">
        <f>M11+3*L16*28.903</f>
        <v>636.16287600880423</v>
      </c>
      <c r="N16" s="286" t="s">
        <v>100</v>
      </c>
      <c r="O16" s="286" t="s">
        <v>100</v>
      </c>
      <c r="P16" s="286" t="s">
        <v>100</v>
      </c>
      <c r="Q16" s="286" t="s">
        <v>100</v>
      </c>
      <c r="R16" s="286" t="s">
        <v>100</v>
      </c>
      <c r="S16" s="286" t="s">
        <v>100</v>
      </c>
      <c r="T16" s="286" t="s">
        <v>100</v>
      </c>
      <c r="U16" s="286" t="s">
        <v>100</v>
      </c>
      <c r="V16" s="286" t="s">
        <v>100</v>
      </c>
      <c r="W16" s="809" t="s">
        <v>632</v>
      </c>
      <c r="X16" s="286" t="s">
        <v>100</v>
      </c>
      <c r="Y16" s="286" t="s">
        <v>100</v>
      </c>
    </row>
    <row r="17" spans="1:25">
      <c r="A17" s="277" t="s">
        <v>151</v>
      </c>
      <c r="B17" s="290">
        <v>30667</v>
      </c>
      <c r="C17" s="277" t="s">
        <v>151</v>
      </c>
      <c r="D17" s="284" t="s">
        <v>199</v>
      </c>
      <c r="E17" s="328">
        <v>27106</v>
      </c>
      <c r="F17" s="283">
        <v>60</v>
      </c>
      <c r="G17" s="283" t="s">
        <v>189</v>
      </c>
      <c r="H17" s="286" t="s">
        <v>100</v>
      </c>
      <c r="I17" s="283"/>
      <c r="J17" s="285"/>
      <c r="K17" s="284">
        <v>6000</v>
      </c>
      <c r="L17" s="285">
        <f t="shared" si="0"/>
        <v>17.608217168011738</v>
      </c>
      <c r="M17" s="369">
        <f>M12+3*L17*28.646</f>
        <v>4917.9486426999265</v>
      </c>
      <c r="N17" s="286" t="s">
        <v>100</v>
      </c>
      <c r="O17" s="283"/>
      <c r="P17" s="283"/>
      <c r="Q17" s="286" t="s">
        <v>100</v>
      </c>
      <c r="R17" s="283"/>
      <c r="S17" s="285">
        <f t="shared" si="2"/>
        <v>0</v>
      </c>
      <c r="T17" s="286" t="s">
        <v>100</v>
      </c>
      <c r="U17" s="283"/>
      <c r="V17" s="283"/>
      <c r="W17" s="286" t="s">
        <v>100</v>
      </c>
      <c r="X17" s="283"/>
      <c r="Y17" s="283"/>
    </row>
    <row r="18" spans="1:25">
      <c r="A18" s="416" t="s">
        <v>151</v>
      </c>
      <c r="B18" s="365">
        <v>30887</v>
      </c>
      <c r="C18" s="286" t="s">
        <v>100</v>
      </c>
      <c r="D18" s="284" t="s">
        <v>396</v>
      </c>
      <c r="E18" s="290">
        <v>26597</v>
      </c>
      <c r="F18" s="368">
        <v>27</v>
      </c>
      <c r="G18" s="279" t="s">
        <v>398</v>
      </c>
      <c r="H18" s="286" t="s">
        <v>100</v>
      </c>
      <c r="I18" s="283"/>
      <c r="J18" s="285"/>
      <c r="K18" s="284">
        <v>6000</v>
      </c>
      <c r="L18" s="285">
        <f t="shared" si="0"/>
        <v>17.608217168011738</v>
      </c>
      <c r="M18" s="336">
        <f>M13+L18*10*79.83</f>
        <v>22139.207630227436</v>
      </c>
      <c r="N18" s="286" t="s">
        <v>100</v>
      </c>
      <c r="O18" s="286"/>
      <c r="P18" s="283"/>
      <c r="Q18" s="286" t="s">
        <v>100</v>
      </c>
      <c r="R18" s="286"/>
      <c r="S18" s="283"/>
      <c r="T18" s="286" t="s">
        <v>100</v>
      </c>
      <c r="U18" s="283"/>
      <c r="V18" s="283"/>
      <c r="W18" s="283"/>
      <c r="X18" s="283"/>
      <c r="Y18" s="283"/>
    </row>
    <row r="19" spans="1:25" s="104" customFormat="1">
      <c r="A19" s="681">
        <v>31324</v>
      </c>
      <c r="B19" s="391"/>
      <c r="C19" s="519" t="s">
        <v>627</v>
      </c>
      <c r="D19" s="284" t="s">
        <v>626</v>
      </c>
      <c r="E19" s="290">
        <v>26158</v>
      </c>
      <c r="F19" s="283">
        <v>24</v>
      </c>
      <c r="G19" s="283" t="s">
        <v>635</v>
      </c>
      <c r="H19" s="808" t="s">
        <v>628</v>
      </c>
      <c r="I19" s="355"/>
      <c r="J19" s="403"/>
      <c r="K19" s="354"/>
      <c r="L19" s="403"/>
      <c r="M19" s="813"/>
      <c r="N19" s="286" t="s">
        <v>100</v>
      </c>
      <c r="O19" s="286" t="s">
        <v>100</v>
      </c>
      <c r="P19" s="286" t="s">
        <v>100</v>
      </c>
      <c r="Q19" s="286" t="s">
        <v>100</v>
      </c>
      <c r="R19" s="286" t="s">
        <v>100</v>
      </c>
      <c r="S19" s="286" t="s">
        <v>100</v>
      </c>
      <c r="T19" s="150" t="s">
        <v>631</v>
      </c>
      <c r="U19" s="286" t="s">
        <v>121</v>
      </c>
      <c r="V19" s="286" t="s">
        <v>121</v>
      </c>
      <c r="W19" s="519" t="s">
        <v>633</v>
      </c>
      <c r="X19" s="286" t="s">
        <v>121</v>
      </c>
      <c r="Y19" s="286" t="s">
        <v>121</v>
      </c>
    </row>
    <row r="20" spans="1:25" s="104" customFormat="1">
      <c r="A20" s="580">
        <v>31629</v>
      </c>
      <c r="B20" s="365">
        <v>31544</v>
      </c>
      <c r="C20" s="576" t="s">
        <v>630</v>
      </c>
      <c r="D20" s="284" t="s">
        <v>626</v>
      </c>
      <c r="E20" s="290">
        <v>26158</v>
      </c>
      <c r="F20" s="283">
        <v>24</v>
      </c>
      <c r="G20" s="283" t="s">
        <v>636</v>
      </c>
      <c r="H20" s="808" t="s">
        <v>95</v>
      </c>
      <c r="I20" s="368">
        <v>500</v>
      </c>
      <c r="J20" s="285">
        <f t="shared" ref="J20" si="5">I20/340.75</f>
        <v>1.467351430667645</v>
      </c>
      <c r="K20" s="418">
        <v>6000</v>
      </c>
      <c r="L20" s="369">
        <f t="shared" ref="L20" si="6">K20/340.75</f>
        <v>17.608217168011738</v>
      </c>
      <c r="M20" s="585">
        <f>M16+10*L20*28.903</f>
        <v>5725.4658840792363</v>
      </c>
      <c r="N20" s="286" t="s">
        <v>100</v>
      </c>
      <c r="O20" s="286" t="s">
        <v>100</v>
      </c>
      <c r="P20" s="286" t="s">
        <v>100</v>
      </c>
      <c r="Q20" s="286" t="s">
        <v>100</v>
      </c>
      <c r="R20" s="286" t="s">
        <v>100</v>
      </c>
      <c r="S20" s="286" t="s">
        <v>100</v>
      </c>
      <c r="T20" s="286" t="s">
        <v>100</v>
      </c>
      <c r="U20" s="286" t="s">
        <v>100</v>
      </c>
      <c r="V20" s="286" t="s">
        <v>100</v>
      </c>
      <c r="W20" s="286" t="s">
        <v>100</v>
      </c>
      <c r="X20" s="286" t="s">
        <v>100</v>
      </c>
      <c r="Y20" s="286" t="s">
        <v>100</v>
      </c>
    </row>
    <row r="21" spans="1:25">
      <c r="A21" s="277" t="s">
        <v>151</v>
      </c>
      <c r="B21" s="290">
        <v>31763</v>
      </c>
      <c r="C21" s="277" t="s">
        <v>151</v>
      </c>
      <c r="D21" s="284" t="s">
        <v>199</v>
      </c>
      <c r="E21" s="328">
        <v>27106</v>
      </c>
      <c r="F21" s="283">
        <v>60</v>
      </c>
      <c r="G21" s="283" t="s">
        <v>189</v>
      </c>
      <c r="H21" s="286" t="s">
        <v>100</v>
      </c>
      <c r="I21" s="283"/>
      <c r="J21" s="285"/>
      <c r="K21" s="284">
        <v>6000</v>
      </c>
      <c r="L21" s="285">
        <f t="shared" si="0"/>
        <v>17.608217168011738</v>
      </c>
      <c r="M21" s="369">
        <f>M17+3*L21*28.646</f>
        <v>6431.1636096845195</v>
      </c>
      <c r="N21" s="286" t="s">
        <v>100</v>
      </c>
      <c r="O21" s="283"/>
      <c r="P21" s="283"/>
      <c r="Q21" s="286" t="s">
        <v>100</v>
      </c>
      <c r="R21" s="283"/>
      <c r="S21" s="285">
        <f t="shared" si="2"/>
        <v>0</v>
      </c>
      <c r="T21" s="286" t="s">
        <v>100</v>
      </c>
      <c r="U21" s="283"/>
      <c r="V21" s="283"/>
      <c r="W21" s="286" t="s">
        <v>100</v>
      </c>
      <c r="X21" s="283"/>
      <c r="Y21" s="283"/>
    </row>
    <row r="22" spans="1:25">
      <c r="A22" s="290">
        <v>32394</v>
      </c>
      <c r="B22" s="391"/>
      <c r="C22" s="576" t="s">
        <v>231</v>
      </c>
      <c r="D22" s="355"/>
      <c r="E22" s="391"/>
      <c r="F22" s="283">
        <v>16</v>
      </c>
      <c r="G22" s="283" t="s">
        <v>256</v>
      </c>
      <c r="H22" s="283" t="s">
        <v>95</v>
      </c>
      <c r="I22" s="286" t="s">
        <v>121</v>
      </c>
      <c r="J22" s="285"/>
      <c r="K22" s="539">
        <v>6000</v>
      </c>
      <c r="L22" s="492">
        <f t="shared" ref="L22:L27" si="7">K22/340.75</f>
        <v>17.608217168011738</v>
      </c>
      <c r="M22" s="492">
        <f>L22*3*29</f>
        <v>1531.9148936170213</v>
      </c>
      <c r="N22" s="283" t="s">
        <v>125</v>
      </c>
      <c r="O22" s="286" t="s">
        <v>121</v>
      </c>
      <c r="P22" s="283"/>
      <c r="Q22" s="322" t="s">
        <v>127</v>
      </c>
      <c r="R22" s="286" t="s">
        <v>121</v>
      </c>
      <c r="S22" s="285"/>
      <c r="T22" s="286" t="s">
        <v>100</v>
      </c>
      <c r="U22" s="286" t="s">
        <v>100</v>
      </c>
      <c r="V22" s="285"/>
      <c r="W22" s="283" t="s">
        <v>101</v>
      </c>
      <c r="X22" s="286" t="s">
        <v>100</v>
      </c>
      <c r="Y22" s="283"/>
    </row>
    <row r="23" spans="1:25" s="104" customFormat="1">
      <c r="A23" s="365">
        <v>32480</v>
      </c>
      <c r="B23" s="391"/>
      <c r="C23" s="576" t="s">
        <v>787</v>
      </c>
      <c r="D23" s="355"/>
      <c r="E23" s="391"/>
      <c r="F23" s="368">
        <v>170</v>
      </c>
      <c r="G23" s="283" t="s">
        <v>790</v>
      </c>
      <c r="H23" s="283" t="s">
        <v>95</v>
      </c>
      <c r="I23" s="286" t="s">
        <v>121</v>
      </c>
      <c r="J23" s="369"/>
      <c r="K23" s="418">
        <v>1000</v>
      </c>
      <c r="L23" s="369">
        <f t="shared" si="7"/>
        <v>2.9347028613352899</v>
      </c>
      <c r="M23" s="369">
        <f>L23*3*37.747</f>
        <v>332.32868672046959</v>
      </c>
      <c r="N23" s="368" t="s">
        <v>789</v>
      </c>
      <c r="O23" s="286" t="s">
        <v>121</v>
      </c>
      <c r="P23" s="419"/>
      <c r="Q23" s="519" t="s">
        <v>552</v>
      </c>
      <c r="R23" s="286" t="s">
        <v>121</v>
      </c>
      <c r="S23" s="418"/>
      <c r="T23" s="519" t="s">
        <v>551</v>
      </c>
      <c r="U23" s="286" t="s">
        <v>121</v>
      </c>
      <c r="V23" s="369"/>
      <c r="W23" s="286" t="s">
        <v>100</v>
      </c>
      <c r="X23" s="419"/>
      <c r="Y23" s="368"/>
    </row>
    <row r="24" spans="1:25" s="104" customFormat="1">
      <c r="A24" s="365">
        <v>32480</v>
      </c>
      <c r="B24" s="391"/>
      <c r="C24" s="576" t="s">
        <v>548</v>
      </c>
      <c r="D24" s="355"/>
      <c r="E24" s="391"/>
      <c r="F24" s="368">
        <v>170</v>
      </c>
      <c r="G24" s="283" t="s">
        <v>549</v>
      </c>
      <c r="H24" s="283" t="s">
        <v>95</v>
      </c>
      <c r="I24" s="286" t="s">
        <v>121</v>
      </c>
      <c r="J24" s="369"/>
      <c r="K24" s="418">
        <v>1000</v>
      </c>
      <c r="L24" s="369">
        <f t="shared" ref="L24" si="8">K24/340.75</f>
        <v>2.9347028613352899</v>
      </c>
      <c r="M24" s="369">
        <f>L24*3*20.28</f>
        <v>178.54732208363907</v>
      </c>
      <c r="N24" s="368" t="s">
        <v>550</v>
      </c>
      <c r="O24" s="286" t="s">
        <v>121</v>
      </c>
      <c r="P24" s="419"/>
      <c r="Q24" s="519" t="s">
        <v>552</v>
      </c>
      <c r="R24" s="286" t="s">
        <v>121</v>
      </c>
      <c r="S24" s="418"/>
      <c r="T24" s="519" t="s">
        <v>551</v>
      </c>
      <c r="U24" s="286" t="s">
        <v>121</v>
      </c>
      <c r="V24" s="369"/>
      <c r="W24" s="286" t="s">
        <v>100</v>
      </c>
      <c r="X24" s="419"/>
      <c r="Y24" s="368"/>
    </row>
    <row r="25" spans="1:25" s="104" customFormat="1">
      <c r="A25" s="290">
        <v>32508</v>
      </c>
      <c r="B25" s="391"/>
      <c r="C25" s="576" t="s">
        <v>346</v>
      </c>
      <c r="D25" s="355"/>
      <c r="E25" s="391"/>
      <c r="F25" s="283">
        <v>21</v>
      </c>
      <c r="G25" s="283" t="s">
        <v>349</v>
      </c>
      <c r="H25" s="283" t="s">
        <v>95</v>
      </c>
      <c r="I25" s="419"/>
      <c r="J25" s="369"/>
      <c r="K25" s="418">
        <v>1000</v>
      </c>
      <c r="L25" s="369">
        <f t="shared" si="7"/>
        <v>2.9347028613352899</v>
      </c>
      <c r="M25" s="369">
        <f>L25*3*28.37</f>
        <v>249.77256052824654</v>
      </c>
      <c r="N25" s="283" t="s">
        <v>357</v>
      </c>
      <c r="O25" s="286" t="s">
        <v>121</v>
      </c>
      <c r="P25" s="368"/>
      <c r="Q25" s="283" t="s">
        <v>358</v>
      </c>
      <c r="R25" s="286" t="s">
        <v>121</v>
      </c>
      <c r="S25" s="369"/>
      <c r="T25" s="519" t="s">
        <v>759</v>
      </c>
      <c r="U25" s="286" t="s">
        <v>100</v>
      </c>
      <c r="V25" s="286" t="s">
        <v>100</v>
      </c>
      <c r="W25" s="150" t="s">
        <v>762</v>
      </c>
      <c r="X25" s="286" t="s">
        <v>100</v>
      </c>
      <c r="Y25" s="286" t="s">
        <v>100</v>
      </c>
    </row>
    <row r="26" spans="1:25">
      <c r="A26" s="290">
        <v>32583</v>
      </c>
      <c r="B26" s="290">
        <v>32859</v>
      </c>
      <c r="C26" s="284">
        <v>11827</v>
      </c>
      <c r="D26" s="284" t="s">
        <v>199</v>
      </c>
      <c r="E26" s="328">
        <v>27106</v>
      </c>
      <c r="F26" s="283">
        <v>60</v>
      </c>
      <c r="G26" s="283" t="s">
        <v>190</v>
      </c>
      <c r="H26" s="283" t="s">
        <v>191</v>
      </c>
      <c r="I26" s="286" t="s">
        <v>100</v>
      </c>
      <c r="J26" s="285"/>
      <c r="K26" s="539">
        <v>6000</v>
      </c>
      <c r="L26" s="492">
        <f t="shared" si="7"/>
        <v>17.608217168011738</v>
      </c>
      <c r="M26" s="492">
        <f>M18+10*L26*28.646</f>
        <v>27183.257520176077</v>
      </c>
      <c r="N26" s="286" t="s">
        <v>100</v>
      </c>
      <c r="O26" s="283"/>
      <c r="P26" s="283"/>
      <c r="Q26" s="286" t="s">
        <v>100</v>
      </c>
      <c r="R26" s="283"/>
      <c r="S26" s="285">
        <f t="shared" ref="S26" si="9">R26/340.75</f>
        <v>0</v>
      </c>
      <c r="T26" s="286" t="s">
        <v>100</v>
      </c>
      <c r="U26" s="283"/>
      <c r="V26" s="283"/>
      <c r="W26" s="286" t="s">
        <v>100</v>
      </c>
      <c r="X26" s="283"/>
      <c r="Y26" s="283"/>
    </row>
    <row r="27" spans="1:25" s="583" customFormat="1">
      <c r="A27" s="682">
        <v>32736</v>
      </c>
      <c r="B27" s="391"/>
      <c r="C27" s="576" t="s">
        <v>757</v>
      </c>
      <c r="D27" s="391"/>
      <c r="E27" s="682">
        <v>32736</v>
      </c>
      <c r="F27" s="150">
        <v>173</v>
      </c>
      <c r="G27" s="283" t="s">
        <v>758</v>
      </c>
      <c r="H27" s="283" t="s">
        <v>95</v>
      </c>
      <c r="I27" s="286" t="s">
        <v>121</v>
      </c>
      <c r="J27" s="403"/>
      <c r="K27" s="418">
        <v>1000</v>
      </c>
      <c r="L27" s="369">
        <f t="shared" si="7"/>
        <v>2.9347028613352899</v>
      </c>
      <c r="M27" s="582">
        <f>3*L27*36.335</f>
        <v>319.89728539985333</v>
      </c>
      <c r="N27" s="150" t="s">
        <v>764</v>
      </c>
      <c r="O27" s="286" t="s">
        <v>100</v>
      </c>
      <c r="P27" s="286" t="s">
        <v>100</v>
      </c>
      <c r="Q27" s="150" t="s">
        <v>763</v>
      </c>
      <c r="R27" s="286" t="s">
        <v>121</v>
      </c>
      <c r="S27" s="286" t="s">
        <v>121</v>
      </c>
      <c r="T27" s="519" t="s">
        <v>759</v>
      </c>
      <c r="U27" s="286" t="s">
        <v>100</v>
      </c>
      <c r="V27" s="286" t="s">
        <v>100</v>
      </c>
      <c r="W27" s="150" t="s">
        <v>762</v>
      </c>
      <c r="X27" s="286" t="s">
        <v>100</v>
      </c>
      <c r="Y27" s="286" t="s">
        <v>100</v>
      </c>
    </row>
    <row r="28" spans="1:25" s="104" customFormat="1">
      <c r="A28" s="290">
        <v>32754</v>
      </c>
      <c r="B28" s="391"/>
      <c r="C28" s="576" t="s">
        <v>427</v>
      </c>
      <c r="D28" s="391"/>
      <c r="E28" s="290">
        <v>32754</v>
      </c>
      <c r="F28" s="283">
        <v>29</v>
      </c>
      <c r="G28" s="283" t="s">
        <v>425</v>
      </c>
      <c r="H28" s="283" t="s">
        <v>95</v>
      </c>
      <c r="I28" s="286" t="s">
        <v>121</v>
      </c>
      <c r="J28" s="369"/>
      <c r="K28" s="418">
        <v>1000</v>
      </c>
      <c r="L28" s="369">
        <f t="shared" ref="L28" si="10">K28/340.75</f>
        <v>2.9347028613352899</v>
      </c>
      <c r="M28" s="369">
        <f>L28*3*28.37</f>
        <v>249.77256052824654</v>
      </c>
      <c r="N28" s="283" t="s">
        <v>426</v>
      </c>
      <c r="O28" s="286" t="s">
        <v>100</v>
      </c>
      <c r="P28" s="368"/>
      <c r="Q28" s="286" t="s">
        <v>100</v>
      </c>
      <c r="R28" s="419"/>
      <c r="S28" s="369"/>
      <c r="T28" s="286" t="s">
        <v>100</v>
      </c>
      <c r="U28" s="419"/>
      <c r="V28" s="369"/>
      <c r="W28" s="286" t="s">
        <v>100</v>
      </c>
      <c r="X28" s="419"/>
      <c r="Y28" s="368"/>
    </row>
    <row r="29" spans="1:25">
      <c r="A29" s="290">
        <v>32975</v>
      </c>
      <c r="B29" s="391"/>
      <c r="C29" s="576" t="s">
        <v>428</v>
      </c>
      <c r="D29" s="284" t="s">
        <v>427</v>
      </c>
      <c r="E29" s="284">
        <v>32754</v>
      </c>
      <c r="F29" s="283">
        <v>29</v>
      </c>
      <c r="G29" s="283" t="s">
        <v>429</v>
      </c>
      <c r="H29" s="283" t="s">
        <v>95</v>
      </c>
      <c r="I29" s="283"/>
      <c r="J29" s="285">
        <f t="shared" ref="J29" si="11">I29/340.75</f>
        <v>0</v>
      </c>
      <c r="K29" s="284"/>
      <c r="L29" s="285">
        <f t="shared" ref="L29:L31" si="12">K29/340.75</f>
        <v>0</v>
      </c>
      <c r="M29" s="369"/>
      <c r="N29" s="283"/>
      <c r="O29" s="283"/>
      <c r="P29" s="283"/>
      <c r="Q29" s="283"/>
      <c r="R29" s="283"/>
      <c r="S29" s="285">
        <f t="shared" si="2"/>
        <v>0</v>
      </c>
      <c r="T29" s="283"/>
      <c r="U29" s="283"/>
      <c r="V29" s="283"/>
      <c r="W29" s="283"/>
      <c r="X29" s="283"/>
      <c r="Y29" s="283"/>
    </row>
    <row r="30" spans="1:25">
      <c r="A30" s="290">
        <v>33042</v>
      </c>
      <c r="B30" s="391"/>
      <c r="C30" s="576" t="s">
        <v>471</v>
      </c>
      <c r="D30" s="391"/>
      <c r="E30" s="290">
        <v>33042</v>
      </c>
      <c r="F30" s="283">
        <v>23</v>
      </c>
      <c r="G30" s="283" t="s">
        <v>472</v>
      </c>
      <c r="H30" s="283" t="s">
        <v>95</v>
      </c>
      <c r="I30" s="286" t="s">
        <v>121</v>
      </c>
      <c r="J30" s="403"/>
      <c r="K30" s="418">
        <v>1000</v>
      </c>
      <c r="L30" s="369">
        <f t="shared" si="12"/>
        <v>2.9347028613352899</v>
      </c>
      <c r="M30" s="369">
        <f>L30*3*28.37</f>
        <v>249.77256052824654</v>
      </c>
      <c r="N30" s="283" t="s">
        <v>473</v>
      </c>
      <c r="O30" s="286" t="s">
        <v>100</v>
      </c>
      <c r="P30" s="283"/>
      <c r="Q30" s="283" t="s">
        <v>474</v>
      </c>
      <c r="R30" s="286" t="s">
        <v>121</v>
      </c>
      <c r="S30" s="285"/>
      <c r="T30" s="286" t="s">
        <v>100</v>
      </c>
      <c r="U30" s="283"/>
      <c r="V30" s="283"/>
      <c r="W30" s="286" t="s">
        <v>100</v>
      </c>
      <c r="X30" s="283"/>
      <c r="Y30" s="283"/>
    </row>
    <row r="31" spans="1:25" s="104" customFormat="1">
      <c r="A31" s="365">
        <v>33494</v>
      </c>
      <c r="B31" s="365">
        <v>33483</v>
      </c>
      <c r="C31" s="576" t="s">
        <v>553</v>
      </c>
      <c r="D31" s="365" t="s">
        <v>554</v>
      </c>
      <c r="E31" s="365">
        <v>32480</v>
      </c>
      <c r="F31" s="368">
        <v>170</v>
      </c>
      <c r="G31" s="283" t="s">
        <v>555</v>
      </c>
      <c r="H31" s="283" t="s">
        <v>95</v>
      </c>
      <c r="I31" s="287" t="s">
        <v>105</v>
      </c>
      <c r="J31" s="369"/>
      <c r="K31" s="418">
        <v>4500</v>
      </c>
      <c r="L31" s="369">
        <f t="shared" si="12"/>
        <v>13.206162876008804</v>
      </c>
      <c r="M31" s="369">
        <f>M24+L31*3*20.28</f>
        <v>982.01027146001479</v>
      </c>
      <c r="N31" s="368" t="s">
        <v>550</v>
      </c>
      <c r="O31" s="286" t="s">
        <v>121</v>
      </c>
      <c r="P31" s="419"/>
      <c r="Q31" s="519" t="s">
        <v>552</v>
      </c>
      <c r="R31" s="286" t="s">
        <v>121</v>
      </c>
      <c r="S31" s="418"/>
      <c r="T31" s="519" t="s">
        <v>551</v>
      </c>
      <c r="U31" s="286" t="s">
        <v>121</v>
      </c>
      <c r="V31" s="369"/>
      <c r="W31" s="286" t="s">
        <v>100</v>
      </c>
      <c r="X31" s="368"/>
      <c r="Y31" s="283"/>
    </row>
    <row r="32" spans="1:25">
      <c r="A32" s="290">
        <v>33506</v>
      </c>
      <c r="B32" s="290">
        <v>33511</v>
      </c>
      <c r="C32" s="576" t="s">
        <v>433</v>
      </c>
      <c r="D32" s="284" t="s">
        <v>346</v>
      </c>
      <c r="E32" s="290">
        <v>32508</v>
      </c>
      <c r="F32" s="283">
        <v>21</v>
      </c>
      <c r="G32" s="283" t="s">
        <v>349</v>
      </c>
      <c r="H32" s="283" t="s">
        <v>95</v>
      </c>
      <c r="I32" s="287" t="s">
        <v>105</v>
      </c>
      <c r="J32" s="285"/>
      <c r="K32" s="284">
        <v>6000</v>
      </c>
      <c r="L32" s="285">
        <f t="shared" si="0"/>
        <v>17.608217168011738</v>
      </c>
      <c r="M32" s="369">
        <f>M25+L33*3*28.37</f>
        <v>1748.4079236977257</v>
      </c>
      <c r="N32" s="283"/>
      <c r="O32" s="283"/>
      <c r="P32" s="283"/>
      <c r="Q32" s="283"/>
      <c r="R32" s="283"/>
      <c r="S32" s="285">
        <f t="shared" si="2"/>
        <v>0</v>
      </c>
      <c r="T32" s="283"/>
      <c r="U32" s="283"/>
      <c r="V32" s="283"/>
      <c r="W32" s="283"/>
      <c r="X32" s="283"/>
      <c r="Y32" s="283"/>
    </row>
    <row r="33" spans="1:25">
      <c r="A33" s="303">
        <v>33515</v>
      </c>
      <c r="B33" s="292">
        <v>33396</v>
      </c>
      <c r="C33" s="576" t="s">
        <v>434</v>
      </c>
      <c r="D33" s="284" t="s">
        <v>231</v>
      </c>
      <c r="E33" s="290">
        <v>32394</v>
      </c>
      <c r="F33" s="283">
        <v>16</v>
      </c>
      <c r="G33" s="283" t="s">
        <v>94</v>
      </c>
      <c r="H33" s="283" t="s">
        <v>95</v>
      </c>
      <c r="I33" s="287" t="s">
        <v>105</v>
      </c>
      <c r="J33" s="285"/>
      <c r="K33" s="284">
        <v>6000</v>
      </c>
      <c r="L33" s="285">
        <f t="shared" si="0"/>
        <v>17.608217168011738</v>
      </c>
      <c r="M33" s="369">
        <f>M25+3*L33*29</f>
        <v>1781.6874541452678</v>
      </c>
      <c r="N33" s="283" t="s">
        <v>101</v>
      </c>
      <c r="O33" s="286" t="s">
        <v>100</v>
      </c>
      <c r="P33" s="285"/>
      <c r="Q33" s="322" t="s">
        <v>127</v>
      </c>
      <c r="R33" s="286" t="s">
        <v>121</v>
      </c>
      <c r="S33" s="285"/>
      <c r="T33" s="286" t="s">
        <v>100</v>
      </c>
      <c r="U33" s="286" t="s">
        <v>100</v>
      </c>
      <c r="V33" s="285"/>
      <c r="W33" s="283" t="s">
        <v>101</v>
      </c>
      <c r="X33" s="286" t="s">
        <v>100</v>
      </c>
      <c r="Y33" s="283"/>
    </row>
    <row r="34" spans="1:25" s="583" customFormat="1">
      <c r="A34" s="682">
        <v>33738</v>
      </c>
      <c r="B34" s="682">
        <v>33770</v>
      </c>
      <c r="C34" s="576" t="s">
        <v>770</v>
      </c>
      <c r="D34" s="581" t="s">
        <v>757</v>
      </c>
      <c r="E34" s="682">
        <v>32736</v>
      </c>
      <c r="F34" s="150">
        <v>173</v>
      </c>
      <c r="G34" s="283" t="s">
        <v>758</v>
      </c>
      <c r="H34" s="283" t="s">
        <v>95</v>
      </c>
      <c r="I34" s="287" t="s">
        <v>105</v>
      </c>
      <c r="J34" s="582"/>
      <c r="K34" s="581">
        <v>6000</v>
      </c>
      <c r="L34" s="582">
        <f t="shared" si="0"/>
        <v>17.608217168011738</v>
      </c>
      <c r="M34" s="582">
        <f>M27+3*L34*36.335</f>
        <v>2239.2809977989727</v>
      </c>
      <c r="N34" s="283" t="s">
        <v>357</v>
      </c>
      <c r="O34" s="286" t="s">
        <v>121</v>
      </c>
      <c r="P34" s="368"/>
      <c r="Q34" s="283" t="s">
        <v>358</v>
      </c>
      <c r="R34" s="286" t="s">
        <v>121</v>
      </c>
      <c r="S34" s="369"/>
      <c r="T34" s="519" t="s">
        <v>759</v>
      </c>
      <c r="U34" s="286" t="s">
        <v>100</v>
      </c>
      <c r="V34" s="286" t="s">
        <v>100</v>
      </c>
      <c r="W34" s="150" t="s">
        <v>762</v>
      </c>
      <c r="X34" s="286" t="s">
        <v>100</v>
      </c>
      <c r="Y34" s="286" t="s">
        <v>100</v>
      </c>
    </row>
    <row r="35" spans="1:25">
      <c r="A35" s="304">
        <v>34043</v>
      </c>
      <c r="B35" s="290">
        <v>33757</v>
      </c>
      <c r="C35" s="576" t="s">
        <v>437</v>
      </c>
      <c r="D35" s="284" t="s">
        <v>427</v>
      </c>
      <c r="E35" s="328">
        <v>32754</v>
      </c>
      <c r="F35" s="283">
        <v>29</v>
      </c>
      <c r="G35" s="283" t="s">
        <v>425</v>
      </c>
      <c r="H35" s="283" t="s">
        <v>95</v>
      </c>
      <c r="I35" s="287" t="s">
        <v>105</v>
      </c>
      <c r="J35" s="305"/>
      <c r="K35" s="649">
        <v>4500</v>
      </c>
      <c r="L35" s="285">
        <f t="shared" ref="L35" si="13">K35/340.75</f>
        <v>13.206162876008804</v>
      </c>
      <c r="M35" s="650">
        <f>M17+L35*3*24.567</f>
        <v>5891.2560528246513</v>
      </c>
      <c r="N35" s="283" t="s">
        <v>426</v>
      </c>
      <c r="O35" s="286" t="s">
        <v>100</v>
      </c>
      <c r="P35" s="286" t="s">
        <v>100</v>
      </c>
      <c r="Q35" s="283"/>
      <c r="R35" s="286" t="s">
        <v>100</v>
      </c>
      <c r="S35" s="283"/>
      <c r="T35" s="286" t="s">
        <v>100</v>
      </c>
      <c r="U35" s="283"/>
      <c r="V35" s="283"/>
      <c r="W35" s="283"/>
      <c r="X35" s="283"/>
      <c r="Y35" s="283"/>
    </row>
    <row r="36" spans="1:25">
      <c r="A36" s="365">
        <v>34045</v>
      </c>
      <c r="B36" s="290">
        <v>34045</v>
      </c>
      <c r="C36" s="576" t="s">
        <v>479</v>
      </c>
      <c r="D36" s="284" t="s">
        <v>471</v>
      </c>
      <c r="E36" s="290">
        <v>33042</v>
      </c>
      <c r="F36" s="283">
        <v>23</v>
      </c>
      <c r="G36" s="283" t="s">
        <v>472</v>
      </c>
      <c r="H36" s="283" t="s">
        <v>95</v>
      </c>
      <c r="I36" s="287" t="s">
        <v>105</v>
      </c>
      <c r="J36" s="284"/>
      <c r="K36" s="649">
        <v>4500</v>
      </c>
      <c r="L36" s="285">
        <f t="shared" ref="L36" si="14">K36/340.75</f>
        <v>13.206162876008804</v>
      </c>
      <c r="M36" s="336">
        <f>M30+L36*3*47.92</f>
        <v>2148.2905355832722</v>
      </c>
      <c r="N36" s="283" t="s">
        <v>474</v>
      </c>
      <c r="O36" s="286" t="s">
        <v>121</v>
      </c>
      <c r="P36" s="286"/>
      <c r="Q36" s="283" t="s">
        <v>474</v>
      </c>
      <c r="R36" s="286" t="s">
        <v>121</v>
      </c>
      <c r="S36" s="283"/>
      <c r="T36" s="286" t="s">
        <v>100</v>
      </c>
      <c r="U36" s="283"/>
      <c r="V36" s="283"/>
      <c r="W36" s="286" t="s">
        <v>100</v>
      </c>
      <c r="X36" s="283"/>
      <c r="Y36" s="283"/>
    </row>
    <row r="37" spans="1:25">
      <c r="A37" s="290">
        <v>34486</v>
      </c>
      <c r="B37" s="290">
        <v>34607</v>
      </c>
      <c r="C37" s="576" t="s">
        <v>432</v>
      </c>
      <c r="D37" s="284" t="s">
        <v>346</v>
      </c>
      <c r="E37" s="290">
        <v>32508</v>
      </c>
      <c r="F37" s="283">
        <v>21</v>
      </c>
      <c r="G37" s="283" t="s">
        <v>349</v>
      </c>
      <c r="H37" s="283" t="s">
        <v>95</v>
      </c>
      <c r="I37" s="287" t="s">
        <v>105</v>
      </c>
      <c r="J37" s="285"/>
      <c r="K37" s="284">
        <v>6000</v>
      </c>
      <c r="L37" s="285">
        <f t="shared" si="0"/>
        <v>17.608217168011738</v>
      </c>
      <c r="M37" s="369">
        <f>M32+L37*3*28.37</f>
        <v>3247.0432868672051</v>
      </c>
      <c r="N37" s="283" t="s">
        <v>357</v>
      </c>
      <c r="O37" s="286" t="s">
        <v>121</v>
      </c>
      <c r="P37" s="283"/>
      <c r="Q37" s="283"/>
      <c r="R37" s="283"/>
      <c r="S37" s="285">
        <f t="shared" ref="S37:S60" si="15">R37/340.75</f>
        <v>0</v>
      </c>
      <c r="T37" s="283"/>
      <c r="U37" s="283"/>
      <c r="V37" s="283"/>
      <c r="W37" s="283"/>
      <c r="X37" s="283"/>
      <c r="Y37" s="283"/>
    </row>
    <row r="38" spans="1:25" s="104" customFormat="1">
      <c r="A38" s="290">
        <v>34494</v>
      </c>
      <c r="B38" s="365">
        <v>34579</v>
      </c>
      <c r="C38" s="576" t="s">
        <v>574</v>
      </c>
      <c r="D38" s="365" t="s">
        <v>554</v>
      </c>
      <c r="E38" s="365">
        <v>32480</v>
      </c>
      <c r="F38" s="368">
        <v>25</v>
      </c>
      <c r="G38" s="283" t="s">
        <v>555</v>
      </c>
      <c r="H38" s="283" t="s">
        <v>95</v>
      </c>
      <c r="I38" s="287" t="s">
        <v>105</v>
      </c>
      <c r="J38" s="369"/>
      <c r="K38" s="418">
        <v>6000</v>
      </c>
      <c r="L38" s="369">
        <f t="shared" si="0"/>
        <v>17.608217168011738</v>
      </c>
      <c r="M38" s="369">
        <f>M31+L38*3*20.28</f>
        <v>2053.2942039618492</v>
      </c>
      <c r="N38" s="368"/>
      <c r="O38" s="419"/>
      <c r="P38" s="368"/>
      <c r="Q38" s="368"/>
      <c r="R38" s="368"/>
      <c r="S38" s="369"/>
      <c r="T38" s="368"/>
      <c r="U38" s="368"/>
      <c r="V38" s="368"/>
      <c r="W38" s="368"/>
      <c r="X38" s="368"/>
      <c r="Y38" s="283"/>
    </row>
    <row r="39" spans="1:25">
      <c r="A39" s="292">
        <v>34835</v>
      </c>
      <c r="B39" s="290">
        <v>34852</v>
      </c>
      <c r="C39" s="576" t="s">
        <v>438</v>
      </c>
      <c r="D39" s="284" t="s">
        <v>427</v>
      </c>
      <c r="E39" s="328">
        <v>32754</v>
      </c>
      <c r="F39" s="283">
        <v>29</v>
      </c>
      <c r="G39" s="283" t="s">
        <v>425</v>
      </c>
      <c r="H39" s="283" t="s">
        <v>95</v>
      </c>
      <c r="I39" s="287" t="s">
        <v>105</v>
      </c>
      <c r="J39" s="305"/>
      <c r="K39" s="284">
        <v>6000</v>
      </c>
      <c r="L39" s="285">
        <f t="shared" si="0"/>
        <v>17.608217168011738</v>
      </c>
      <c r="M39" s="336">
        <f>M35+3*L39*24.567</f>
        <v>7188.9992663242847</v>
      </c>
      <c r="N39" s="283" t="s">
        <v>426</v>
      </c>
      <c r="O39" s="286" t="s">
        <v>100</v>
      </c>
      <c r="P39" s="286" t="s">
        <v>100</v>
      </c>
      <c r="Q39" s="286" t="s">
        <v>100</v>
      </c>
      <c r="R39" s="286" t="s">
        <v>100</v>
      </c>
      <c r="S39" s="283"/>
      <c r="T39" s="286" t="s">
        <v>100</v>
      </c>
      <c r="U39" s="283"/>
      <c r="V39" s="283"/>
      <c r="W39" s="286" t="s">
        <v>100</v>
      </c>
      <c r="X39" s="283"/>
      <c r="Y39" s="283"/>
    </row>
    <row r="40" spans="1:25" s="583" customFormat="1">
      <c r="A40" s="290">
        <v>34962</v>
      </c>
      <c r="B40" s="391"/>
      <c r="C40" s="576" t="s">
        <v>682</v>
      </c>
      <c r="D40" s="354"/>
      <c r="E40" s="391"/>
      <c r="F40" s="150">
        <v>30</v>
      </c>
      <c r="G40" s="368" t="s">
        <v>687</v>
      </c>
      <c r="H40" s="368" t="s">
        <v>95</v>
      </c>
      <c r="I40" s="286" t="s">
        <v>121</v>
      </c>
      <c r="J40" s="581"/>
      <c r="K40" s="581">
        <v>1000</v>
      </c>
      <c r="L40" s="582">
        <f t="shared" si="0"/>
        <v>2.9347028613352899</v>
      </c>
      <c r="M40" s="587">
        <f>3*L40*27.098</f>
        <v>238.57373440939108</v>
      </c>
      <c r="N40" s="368" t="s">
        <v>688</v>
      </c>
      <c r="O40" s="286" t="s">
        <v>100</v>
      </c>
      <c r="P40" s="519"/>
      <c r="Q40" s="368" t="s">
        <v>689</v>
      </c>
      <c r="R40" s="286" t="s">
        <v>100</v>
      </c>
      <c r="S40" s="286" t="s">
        <v>100</v>
      </c>
      <c r="T40" s="519" t="s">
        <v>690</v>
      </c>
      <c r="U40" s="286" t="s">
        <v>100</v>
      </c>
      <c r="V40" s="286" t="s">
        <v>100</v>
      </c>
      <c r="W40" s="368" t="s">
        <v>691</v>
      </c>
      <c r="X40" s="286" t="s">
        <v>100</v>
      </c>
      <c r="Y40" s="150"/>
    </row>
    <row r="41" spans="1:25">
      <c r="A41" s="290">
        <v>34962</v>
      </c>
      <c r="B41" s="391"/>
      <c r="C41" s="576" t="s">
        <v>198</v>
      </c>
      <c r="D41" s="355"/>
      <c r="E41" s="391"/>
      <c r="F41" s="283">
        <v>16</v>
      </c>
      <c r="G41" s="283" t="s">
        <v>252</v>
      </c>
      <c r="H41" s="283" t="s">
        <v>95</v>
      </c>
      <c r="I41" s="286" t="s">
        <v>121</v>
      </c>
      <c r="J41" s="285"/>
      <c r="K41" s="284">
        <v>1000</v>
      </c>
      <c r="L41" s="285">
        <f t="shared" si="0"/>
        <v>2.9347028613352899</v>
      </c>
      <c r="M41" s="369">
        <f>3*L41*24.526</f>
        <v>215.92956713132799</v>
      </c>
      <c r="N41" s="283" t="s">
        <v>162</v>
      </c>
      <c r="O41" s="286" t="s">
        <v>121</v>
      </c>
      <c r="P41" s="283"/>
      <c r="Q41" s="283" t="s">
        <v>163</v>
      </c>
      <c r="R41" s="286" t="s">
        <v>100</v>
      </c>
      <c r="S41" s="285"/>
      <c r="T41" s="283" t="s">
        <v>160</v>
      </c>
      <c r="U41" s="286" t="s">
        <v>100</v>
      </c>
      <c r="V41" s="283"/>
      <c r="W41" s="283" t="s">
        <v>123</v>
      </c>
      <c r="X41" s="286" t="s">
        <v>100</v>
      </c>
      <c r="Y41" s="283"/>
    </row>
    <row r="42" spans="1:25" s="583" customFormat="1">
      <c r="A42" s="682">
        <v>34978</v>
      </c>
      <c r="B42" s="365">
        <v>35197</v>
      </c>
      <c r="C42" s="576" t="s">
        <v>637</v>
      </c>
      <c r="D42" s="284" t="s">
        <v>626</v>
      </c>
      <c r="E42" s="290">
        <v>26158</v>
      </c>
      <c r="F42" s="283">
        <v>24</v>
      </c>
      <c r="G42" s="283" t="s">
        <v>638</v>
      </c>
      <c r="H42" s="808" t="s">
        <v>95</v>
      </c>
      <c r="I42" s="286" t="s">
        <v>121</v>
      </c>
      <c r="J42" s="287" t="s">
        <v>105</v>
      </c>
      <c r="K42" s="418">
        <v>6000</v>
      </c>
      <c r="L42" s="369">
        <f t="shared" si="0"/>
        <v>17.608217168011738</v>
      </c>
      <c r="M42" s="585">
        <f>M37+10*L42*28.903</f>
        <v>8336.3462949376371</v>
      </c>
      <c r="N42" s="286" t="s">
        <v>100</v>
      </c>
      <c r="O42" s="286" t="s">
        <v>100</v>
      </c>
      <c r="P42" s="286" t="s">
        <v>100</v>
      </c>
      <c r="Q42" s="286" t="s">
        <v>100</v>
      </c>
      <c r="R42" s="286" t="s">
        <v>100</v>
      </c>
      <c r="S42" s="286" t="s">
        <v>100</v>
      </c>
      <c r="T42" s="368" t="s">
        <v>640</v>
      </c>
      <c r="U42" s="286" t="s">
        <v>121</v>
      </c>
      <c r="V42" s="286" t="s">
        <v>121</v>
      </c>
      <c r="W42" s="808" t="s">
        <v>639</v>
      </c>
      <c r="X42" s="286" t="s">
        <v>121</v>
      </c>
      <c r="Y42" s="286" t="s">
        <v>121</v>
      </c>
    </row>
    <row r="43" spans="1:25">
      <c r="A43" s="290">
        <v>35060</v>
      </c>
      <c r="B43" s="391"/>
      <c r="C43" s="576" t="s">
        <v>480</v>
      </c>
      <c r="D43" s="284" t="s">
        <v>471</v>
      </c>
      <c r="E43" s="290">
        <v>33042</v>
      </c>
      <c r="F43" s="283">
        <v>23</v>
      </c>
      <c r="G43" s="283" t="s">
        <v>472</v>
      </c>
      <c r="H43" s="283" t="s">
        <v>95</v>
      </c>
      <c r="I43" s="578"/>
      <c r="J43" s="579">
        <f t="shared" si="0"/>
        <v>0</v>
      </c>
      <c r="K43" s="349"/>
      <c r="L43" s="579">
        <f t="shared" si="0"/>
        <v>0</v>
      </c>
      <c r="M43" s="579"/>
      <c r="N43" s="283"/>
      <c r="O43" s="283"/>
      <c r="P43" s="283"/>
      <c r="Q43" s="283"/>
      <c r="R43" s="283"/>
      <c r="S43" s="285">
        <f t="shared" si="15"/>
        <v>0</v>
      </c>
      <c r="T43" s="283" t="s">
        <v>481</v>
      </c>
      <c r="U43" s="283"/>
      <c r="V43" s="283"/>
      <c r="W43" s="283"/>
      <c r="X43" s="283"/>
      <c r="Y43" s="283"/>
    </row>
    <row r="44" spans="1:25" s="104" customFormat="1">
      <c r="A44" s="577">
        <v>35110</v>
      </c>
      <c r="B44" s="290">
        <v>35141</v>
      </c>
      <c r="C44" s="576" t="s">
        <v>482</v>
      </c>
      <c r="D44" s="284" t="s">
        <v>471</v>
      </c>
      <c r="E44" s="290">
        <v>33042</v>
      </c>
      <c r="F44" s="283">
        <v>23</v>
      </c>
      <c r="G44" s="283" t="s">
        <v>472</v>
      </c>
      <c r="H44" s="283" t="s">
        <v>95</v>
      </c>
      <c r="I44" s="286" t="s">
        <v>121</v>
      </c>
      <c r="J44" s="287" t="s">
        <v>105</v>
      </c>
      <c r="K44" s="418">
        <v>6000</v>
      </c>
      <c r="L44" s="285">
        <f t="shared" si="0"/>
        <v>17.608217168011738</v>
      </c>
      <c r="M44" s="369">
        <f>M36+3*L44*47.92</f>
        <v>4679.6478356566404</v>
      </c>
      <c r="N44" s="368"/>
      <c r="O44" s="368"/>
      <c r="P44" s="368"/>
      <c r="Q44" s="368"/>
      <c r="R44" s="368"/>
      <c r="S44" s="369"/>
      <c r="T44" s="368"/>
      <c r="U44" s="368"/>
      <c r="V44" s="368"/>
      <c r="W44" s="368"/>
      <c r="X44" s="368"/>
      <c r="Y44" s="368"/>
    </row>
    <row r="45" spans="1:25">
      <c r="A45" s="304">
        <v>35185</v>
      </c>
      <c r="B45" s="292">
        <v>34492</v>
      </c>
      <c r="C45" s="576" t="s">
        <v>431</v>
      </c>
      <c r="D45" s="284" t="s">
        <v>231</v>
      </c>
      <c r="E45" s="290">
        <v>32394</v>
      </c>
      <c r="F45" s="283">
        <v>16</v>
      </c>
      <c r="G45" s="283" t="s">
        <v>94</v>
      </c>
      <c r="H45" s="283" t="s">
        <v>95</v>
      </c>
      <c r="I45" s="286" t="s">
        <v>121</v>
      </c>
      <c r="J45" s="287" t="s">
        <v>105</v>
      </c>
      <c r="K45" s="284">
        <v>6000</v>
      </c>
      <c r="L45" s="285">
        <f t="shared" si="0"/>
        <v>17.608217168011738</v>
      </c>
      <c r="M45" s="369">
        <f>M33+3*L45*29</f>
        <v>3313.6023477622894</v>
      </c>
      <c r="N45" s="283" t="s">
        <v>125</v>
      </c>
      <c r="O45" s="286" t="s">
        <v>121</v>
      </c>
      <c r="P45" s="285"/>
      <c r="Q45" s="322" t="s">
        <v>127</v>
      </c>
      <c r="R45" s="286" t="s">
        <v>121</v>
      </c>
      <c r="S45" s="285"/>
      <c r="T45" s="286" t="s">
        <v>100</v>
      </c>
      <c r="U45" s="286" t="s">
        <v>100</v>
      </c>
      <c r="V45" s="285"/>
      <c r="W45" s="283" t="s">
        <v>101</v>
      </c>
      <c r="X45" s="286" t="s">
        <v>100</v>
      </c>
      <c r="Y45" s="283"/>
    </row>
    <row r="46" spans="1:25">
      <c r="A46" s="290">
        <v>35584</v>
      </c>
      <c r="B46" s="290">
        <v>35675</v>
      </c>
      <c r="C46" s="576" t="s">
        <v>575</v>
      </c>
      <c r="D46" s="365" t="s">
        <v>554</v>
      </c>
      <c r="E46" s="365">
        <v>32480</v>
      </c>
      <c r="F46" s="368">
        <v>25</v>
      </c>
      <c r="G46" s="283" t="s">
        <v>555</v>
      </c>
      <c r="H46" s="283" t="s">
        <v>95</v>
      </c>
      <c r="I46" s="286" t="s">
        <v>121</v>
      </c>
      <c r="J46" s="287" t="s">
        <v>105</v>
      </c>
      <c r="K46" s="284">
        <v>6000</v>
      </c>
      <c r="L46" s="285">
        <f t="shared" si="0"/>
        <v>17.608217168011738</v>
      </c>
      <c r="M46" s="369">
        <f>M38+3*L46*20.28</f>
        <v>3124.5781364636832</v>
      </c>
      <c r="N46" s="283"/>
      <c r="O46" s="283"/>
      <c r="P46" s="283"/>
      <c r="Q46" s="283"/>
      <c r="R46" s="283"/>
      <c r="S46" s="285"/>
      <c r="T46" s="283"/>
      <c r="U46" s="283"/>
      <c r="V46" s="283"/>
      <c r="W46" s="283"/>
      <c r="X46" s="283"/>
      <c r="Y46" s="283"/>
    </row>
    <row r="47" spans="1:25">
      <c r="A47" s="277" t="s">
        <v>151</v>
      </c>
      <c r="B47" s="292">
        <v>35588</v>
      </c>
      <c r="C47" s="277" t="s">
        <v>151</v>
      </c>
      <c r="D47" s="284" t="s">
        <v>231</v>
      </c>
      <c r="E47" s="290">
        <v>32394</v>
      </c>
      <c r="F47" s="283">
        <v>16</v>
      </c>
      <c r="G47" s="283" t="s">
        <v>94</v>
      </c>
      <c r="H47" s="286" t="s">
        <v>100</v>
      </c>
      <c r="I47" s="286" t="s">
        <v>100</v>
      </c>
      <c r="J47" s="285"/>
      <c r="K47" s="284">
        <v>6000</v>
      </c>
      <c r="L47" s="285">
        <f t="shared" ref="L47:L49" si="16">K47/340.75</f>
        <v>17.608217168011738</v>
      </c>
      <c r="M47" s="369">
        <f>M45+3*L47*29</f>
        <v>4845.5172413793107</v>
      </c>
      <c r="N47" s="283" t="s">
        <v>101</v>
      </c>
      <c r="O47" s="286" t="s">
        <v>100</v>
      </c>
      <c r="P47" s="285"/>
      <c r="Q47" s="322" t="s">
        <v>127</v>
      </c>
      <c r="R47" s="286" t="s">
        <v>121</v>
      </c>
      <c r="S47" s="285"/>
      <c r="T47" s="286" t="s">
        <v>100</v>
      </c>
      <c r="U47" s="286" t="s">
        <v>100</v>
      </c>
      <c r="V47" s="283"/>
      <c r="W47" s="283"/>
      <c r="X47" s="283"/>
      <c r="Y47" s="283"/>
    </row>
    <row r="48" spans="1:25">
      <c r="A48" s="290">
        <v>35612</v>
      </c>
      <c r="B48" s="290">
        <v>35703</v>
      </c>
      <c r="C48" s="576" t="s">
        <v>430</v>
      </c>
      <c r="D48" s="284" t="s">
        <v>346</v>
      </c>
      <c r="E48" s="290">
        <v>32508</v>
      </c>
      <c r="F48" s="283">
        <v>21</v>
      </c>
      <c r="G48" s="283" t="s">
        <v>349</v>
      </c>
      <c r="H48" s="283" t="s">
        <v>95</v>
      </c>
      <c r="I48" s="286" t="s">
        <v>121</v>
      </c>
      <c r="J48" s="285"/>
      <c r="K48" s="284">
        <v>6000</v>
      </c>
      <c r="L48" s="285">
        <f t="shared" si="16"/>
        <v>17.608217168011738</v>
      </c>
      <c r="M48" s="369">
        <f>M37+L48*3*28.37</f>
        <v>4745.6786500366843</v>
      </c>
      <c r="N48" s="283" t="s">
        <v>357</v>
      </c>
      <c r="O48" s="286" t="s">
        <v>121</v>
      </c>
      <c r="P48" s="283"/>
      <c r="Q48" s="283"/>
      <c r="R48" s="283"/>
      <c r="S48" s="285">
        <f t="shared" ref="S48" si="17">R48/340.75</f>
        <v>0</v>
      </c>
      <c r="T48" s="283"/>
      <c r="U48" s="283"/>
      <c r="V48" s="283"/>
      <c r="W48" s="283"/>
      <c r="X48" s="283"/>
      <c r="Y48" s="283"/>
    </row>
    <row r="49" spans="1:25">
      <c r="A49" s="292">
        <v>35933</v>
      </c>
      <c r="B49" s="290">
        <v>35948</v>
      </c>
      <c r="C49" s="576" t="s">
        <v>456</v>
      </c>
      <c r="D49" s="284" t="s">
        <v>427</v>
      </c>
      <c r="E49" s="328">
        <v>32754</v>
      </c>
      <c r="F49" s="283">
        <v>29</v>
      </c>
      <c r="G49" s="283" t="s">
        <v>425</v>
      </c>
      <c r="H49" s="283" t="s">
        <v>95</v>
      </c>
      <c r="I49" s="287" t="s">
        <v>105</v>
      </c>
      <c r="J49" s="287" t="s">
        <v>105</v>
      </c>
      <c r="K49" s="284">
        <v>18000</v>
      </c>
      <c r="L49" s="285">
        <f t="shared" si="16"/>
        <v>52.824651504035216</v>
      </c>
      <c r="M49" s="336">
        <f>M39+3*L49*24.567</f>
        <v>11082.228906823184</v>
      </c>
      <c r="N49" s="283"/>
      <c r="O49" s="283"/>
      <c r="P49" s="286" t="s">
        <v>100</v>
      </c>
      <c r="Q49" s="283"/>
      <c r="R49" s="286" t="s">
        <v>100</v>
      </c>
      <c r="S49" s="283"/>
      <c r="T49" s="283"/>
      <c r="U49" s="283"/>
      <c r="V49" s="283"/>
      <c r="W49" s="283"/>
      <c r="X49" s="283"/>
      <c r="Y49" s="283"/>
    </row>
    <row r="50" spans="1:25">
      <c r="A50" s="348">
        <v>36136</v>
      </c>
      <c r="B50" s="290">
        <v>35965</v>
      </c>
      <c r="C50" s="284">
        <v>24</v>
      </c>
      <c r="D50" s="284" t="s">
        <v>198</v>
      </c>
      <c r="E50" s="328">
        <v>34962</v>
      </c>
      <c r="F50" s="283">
        <v>16</v>
      </c>
      <c r="G50" s="283" t="s">
        <v>253</v>
      </c>
      <c r="H50" s="283" t="s">
        <v>167</v>
      </c>
      <c r="I50" s="286" t="s">
        <v>100</v>
      </c>
      <c r="J50" s="285"/>
      <c r="K50" s="284">
        <v>6000</v>
      </c>
      <c r="L50" s="285">
        <f t="shared" si="0"/>
        <v>17.608217168011738</v>
      </c>
      <c r="M50" s="369">
        <f>M41+L50*3</f>
        <v>268.7542186353632</v>
      </c>
      <c r="N50" s="283" t="s">
        <v>162</v>
      </c>
      <c r="O50" s="286" t="s">
        <v>121</v>
      </c>
      <c r="P50" s="283"/>
      <c r="Q50" s="283" t="s">
        <v>163</v>
      </c>
      <c r="R50" s="286" t="s">
        <v>100</v>
      </c>
      <c r="S50" s="285"/>
      <c r="T50" s="283" t="s">
        <v>160</v>
      </c>
      <c r="U50" s="286" t="s">
        <v>100</v>
      </c>
      <c r="V50" s="283"/>
      <c r="W50" s="283" t="s">
        <v>123</v>
      </c>
      <c r="X50" s="286" t="s">
        <v>100</v>
      </c>
      <c r="Y50" s="283"/>
    </row>
    <row r="51" spans="1:25">
      <c r="A51" s="290">
        <v>36236</v>
      </c>
      <c r="B51" s="290">
        <v>36511</v>
      </c>
      <c r="C51" s="284">
        <v>18939</v>
      </c>
      <c r="D51" s="284" t="s">
        <v>199</v>
      </c>
      <c r="E51" s="328">
        <v>27106</v>
      </c>
      <c r="F51" s="283">
        <v>60</v>
      </c>
      <c r="G51" s="283" t="s">
        <v>192</v>
      </c>
      <c r="H51" s="283" t="s">
        <v>193</v>
      </c>
      <c r="I51" s="286" t="s">
        <v>100</v>
      </c>
      <c r="J51" s="285"/>
      <c r="K51" s="284">
        <v>18000</v>
      </c>
      <c r="L51" s="285">
        <f t="shared" si="0"/>
        <v>52.824651504035216</v>
      </c>
      <c r="M51" s="369" t="e">
        <f>#REF!+L51*5*28.646</f>
        <v>#REF!</v>
      </c>
      <c r="N51" s="286" t="s">
        <v>100</v>
      </c>
      <c r="O51" s="283"/>
      <c r="P51" s="283"/>
      <c r="Q51" s="286" t="s">
        <v>100</v>
      </c>
      <c r="R51" s="283"/>
      <c r="S51" s="285">
        <f t="shared" si="15"/>
        <v>0</v>
      </c>
      <c r="T51" s="286" t="s">
        <v>100</v>
      </c>
      <c r="U51" s="283"/>
      <c r="V51" s="283"/>
      <c r="W51" s="286" t="s">
        <v>100</v>
      </c>
      <c r="X51" s="283"/>
      <c r="Y51" s="283"/>
    </row>
    <row r="52" spans="1:25">
      <c r="A52" s="290">
        <v>32754</v>
      </c>
      <c r="B52" s="842"/>
      <c r="C52" s="576" t="s">
        <v>427</v>
      </c>
      <c r="D52" s="391"/>
      <c r="E52" s="290">
        <v>32754</v>
      </c>
      <c r="F52" s="283">
        <v>29</v>
      </c>
      <c r="G52" s="283" t="s">
        <v>425</v>
      </c>
      <c r="H52" s="283" t="s">
        <v>95</v>
      </c>
      <c r="I52" s="286" t="s">
        <v>121</v>
      </c>
      <c r="J52" s="285"/>
      <c r="K52" s="369"/>
      <c r="L52" s="368"/>
      <c r="M52" s="419"/>
      <c r="N52" s="283" t="s">
        <v>426</v>
      </c>
      <c r="O52" s="286" t="s">
        <v>100</v>
      </c>
      <c r="P52" s="283"/>
      <c r="Q52" s="283"/>
      <c r="R52" s="286"/>
      <c r="S52" s="285"/>
      <c r="T52" s="286" t="s">
        <v>100</v>
      </c>
      <c r="U52" s="285"/>
      <c r="V52" s="286"/>
      <c r="W52" s="286" t="s">
        <v>100</v>
      </c>
      <c r="X52" s="283"/>
      <c r="Y52" s="283"/>
    </row>
    <row r="53" spans="1:25" s="104" customFormat="1">
      <c r="A53" s="303">
        <v>36290</v>
      </c>
      <c r="B53" s="290">
        <v>36236</v>
      </c>
      <c r="C53" s="575">
        <v>392</v>
      </c>
      <c r="D53" s="284" t="s">
        <v>471</v>
      </c>
      <c r="E53" s="290">
        <v>33042</v>
      </c>
      <c r="F53" s="283">
        <v>23</v>
      </c>
      <c r="G53" s="283" t="s">
        <v>472</v>
      </c>
      <c r="H53" s="283" t="s">
        <v>124</v>
      </c>
      <c r="I53" s="286" t="s">
        <v>121</v>
      </c>
      <c r="J53" s="287" t="s">
        <v>105</v>
      </c>
      <c r="K53" s="284">
        <v>18000</v>
      </c>
      <c r="L53" s="285">
        <f t="shared" ref="L53" si="18">K53/340.75</f>
        <v>52.824651504035216</v>
      </c>
      <c r="M53" s="672">
        <f>M44+3*L53*47.92</f>
        <v>12273.719735876744</v>
      </c>
      <c r="N53" s="368"/>
      <c r="O53" s="419"/>
      <c r="P53" s="368"/>
      <c r="Q53" s="368"/>
      <c r="R53" s="419"/>
      <c r="S53" s="369"/>
      <c r="T53" s="419"/>
      <c r="U53" s="369"/>
      <c r="V53" s="419"/>
      <c r="W53" s="419"/>
      <c r="X53" s="368"/>
      <c r="Y53" s="368"/>
    </row>
    <row r="54" spans="1:25">
      <c r="A54" s="277" t="s">
        <v>151</v>
      </c>
      <c r="B54" s="292">
        <v>36684</v>
      </c>
      <c r="C54" s="277" t="s">
        <v>151</v>
      </c>
      <c r="D54" s="284" t="s">
        <v>231</v>
      </c>
      <c r="E54" s="290">
        <v>32394</v>
      </c>
      <c r="F54" s="283">
        <v>16</v>
      </c>
      <c r="G54" s="283" t="s">
        <v>94</v>
      </c>
      <c r="H54" s="286" t="s">
        <v>100</v>
      </c>
      <c r="I54" s="286" t="s">
        <v>100</v>
      </c>
      <c r="J54" s="285"/>
      <c r="K54" s="539">
        <v>18000</v>
      </c>
      <c r="L54" s="492">
        <f t="shared" si="0"/>
        <v>52.824651504035216</v>
      </c>
      <c r="M54" s="492">
        <f>M47+3*L54*29</f>
        <v>9441.2619222303747</v>
      </c>
      <c r="N54" s="283" t="s">
        <v>101</v>
      </c>
      <c r="O54" s="286" t="s">
        <v>100</v>
      </c>
      <c r="P54" s="285"/>
      <c r="Q54" s="322" t="s">
        <v>127</v>
      </c>
      <c r="R54" s="286" t="s">
        <v>121</v>
      </c>
      <c r="S54" s="285"/>
      <c r="T54" s="286" t="s">
        <v>100</v>
      </c>
      <c r="U54" s="286" t="s">
        <v>100</v>
      </c>
      <c r="V54" s="286"/>
      <c r="W54" s="283"/>
      <c r="X54" s="283"/>
      <c r="Y54" s="283"/>
    </row>
    <row r="55" spans="1:25">
      <c r="A55" s="290">
        <v>36707</v>
      </c>
      <c r="B55" s="290">
        <v>36799</v>
      </c>
      <c r="C55" s="575">
        <v>1041</v>
      </c>
      <c r="D55" s="284" t="s">
        <v>346</v>
      </c>
      <c r="E55" s="290">
        <v>32508</v>
      </c>
      <c r="F55" s="283">
        <v>21</v>
      </c>
      <c r="G55" s="283" t="s">
        <v>349</v>
      </c>
      <c r="H55" s="283" t="s">
        <v>124</v>
      </c>
      <c r="I55" s="286"/>
      <c r="J55" s="285"/>
      <c r="K55" s="418">
        <v>18000</v>
      </c>
      <c r="L55" s="369">
        <f t="shared" si="0"/>
        <v>52.824651504035216</v>
      </c>
      <c r="M55" s="369">
        <f>M48+L55*15*28.37</f>
        <v>27225.209097578871</v>
      </c>
      <c r="N55" s="283" t="s">
        <v>357</v>
      </c>
      <c r="O55" s="286" t="s">
        <v>121</v>
      </c>
      <c r="P55" s="285"/>
      <c r="Q55" s="322"/>
      <c r="R55" s="286"/>
      <c r="S55" s="285"/>
      <c r="T55" s="286"/>
      <c r="U55" s="286"/>
      <c r="V55" s="286"/>
      <c r="W55" s="283"/>
      <c r="X55" s="283"/>
      <c r="Y55" s="283"/>
    </row>
    <row r="56" spans="1:25" s="583" customFormat="1">
      <c r="A56" s="292">
        <v>36788</v>
      </c>
      <c r="B56" s="816"/>
      <c r="C56" s="649">
        <v>27556</v>
      </c>
      <c r="D56" s="814"/>
      <c r="E56" s="814"/>
      <c r="F56" s="809">
        <v>24</v>
      </c>
      <c r="G56" s="809" t="s">
        <v>655</v>
      </c>
      <c r="H56" s="809" t="s">
        <v>656</v>
      </c>
      <c r="I56" s="286" t="s">
        <v>121</v>
      </c>
      <c r="J56" s="369"/>
      <c r="K56" s="418">
        <v>1000</v>
      </c>
      <c r="L56" s="369">
        <f t="shared" ref="L56" si="19">K56/340.75</f>
        <v>2.9347028613352899</v>
      </c>
      <c r="M56" s="369">
        <f>L56*3*34.31</f>
        <v>302.06896551724145</v>
      </c>
      <c r="N56" s="286" t="s">
        <v>100</v>
      </c>
      <c r="O56" s="286" t="s">
        <v>100</v>
      </c>
      <c r="P56" s="286" t="s">
        <v>100</v>
      </c>
      <c r="Q56" s="354"/>
      <c r="R56" s="354"/>
      <c r="S56" s="354"/>
      <c r="T56" s="809" t="s">
        <v>657</v>
      </c>
      <c r="U56" s="286" t="s">
        <v>100</v>
      </c>
      <c r="V56" s="286" t="s">
        <v>100</v>
      </c>
      <c r="W56" s="809" t="s">
        <v>658</v>
      </c>
      <c r="X56" s="286" t="s">
        <v>100</v>
      </c>
      <c r="Y56" s="286" t="s">
        <v>100</v>
      </c>
    </row>
    <row r="57" spans="1:25" s="104" customFormat="1">
      <c r="A57" s="577">
        <v>36809</v>
      </c>
      <c r="B57" s="365">
        <v>36771</v>
      </c>
      <c r="C57" s="575">
        <v>1240</v>
      </c>
      <c r="D57" s="365" t="s">
        <v>554</v>
      </c>
      <c r="E57" s="365">
        <v>32480</v>
      </c>
      <c r="F57" s="368">
        <v>25</v>
      </c>
      <c r="G57" s="283" t="s">
        <v>555</v>
      </c>
      <c r="H57" s="368" t="s">
        <v>124</v>
      </c>
      <c r="I57" s="286" t="s">
        <v>121</v>
      </c>
      <c r="J57" s="287" t="s">
        <v>105</v>
      </c>
      <c r="K57" s="418">
        <v>18000</v>
      </c>
      <c r="L57" s="369">
        <f t="shared" ref="L57" si="20">K57/340.75</f>
        <v>52.824651504035216</v>
      </c>
      <c r="M57" s="369">
        <f>M46+L57*3*20.28</f>
        <v>6338.4299339691861</v>
      </c>
      <c r="N57" s="368"/>
      <c r="O57" s="419"/>
      <c r="P57" s="369"/>
      <c r="Q57" s="519"/>
      <c r="R57" s="419"/>
      <c r="S57" s="369"/>
      <c r="T57" s="419"/>
      <c r="U57" s="419"/>
      <c r="V57" s="419"/>
      <c r="W57" s="368"/>
      <c r="X57" s="368"/>
      <c r="Y57" s="106"/>
    </row>
    <row r="58" spans="1:25" s="104" customFormat="1">
      <c r="A58" s="365">
        <v>37035</v>
      </c>
      <c r="B58" s="365">
        <v>37044</v>
      </c>
      <c r="C58" s="418">
        <v>1581</v>
      </c>
      <c r="D58" s="284" t="s">
        <v>427</v>
      </c>
      <c r="E58" s="328">
        <v>32754</v>
      </c>
      <c r="F58" s="283">
        <v>29</v>
      </c>
      <c r="G58" s="283" t="s">
        <v>425</v>
      </c>
      <c r="H58" s="283" t="s">
        <v>95</v>
      </c>
      <c r="I58" s="286" t="s">
        <v>121</v>
      </c>
      <c r="J58" s="287" t="s">
        <v>105</v>
      </c>
      <c r="K58" s="418">
        <v>18000</v>
      </c>
      <c r="L58" s="369">
        <f t="shared" si="0"/>
        <v>52.824651504035216</v>
      </c>
      <c r="M58" s="672">
        <f>M49+L58*3*24.567</f>
        <v>14975.458547322083</v>
      </c>
      <c r="N58" s="368"/>
      <c r="O58" s="419"/>
      <c r="P58" s="368"/>
      <c r="Q58" s="368"/>
      <c r="R58" s="368"/>
      <c r="S58" s="368"/>
      <c r="T58" s="368"/>
      <c r="U58" s="368"/>
      <c r="V58" s="368"/>
      <c r="W58" s="368"/>
      <c r="X58" s="368"/>
    </row>
    <row r="59" spans="1:25">
      <c r="A59" s="348">
        <v>37222</v>
      </c>
      <c r="B59" s="290">
        <v>37061</v>
      </c>
      <c r="C59" s="284">
        <v>532</v>
      </c>
      <c r="D59" s="284" t="s">
        <v>198</v>
      </c>
      <c r="E59" s="328">
        <v>34962</v>
      </c>
      <c r="F59" s="283">
        <v>16</v>
      </c>
      <c r="G59" s="283" t="s">
        <v>253</v>
      </c>
      <c r="H59" s="283" t="s">
        <v>167</v>
      </c>
      <c r="I59" s="286" t="s">
        <v>100</v>
      </c>
      <c r="J59" s="285"/>
      <c r="K59" s="284">
        <v>6000</v>
      </c>
      <c r="L59" s="285">
        <f t="shared" si="0"/>
        <v>17.608217168011738</v>
      </c>
      <c r="M59" s="369">
        <f>M50+L59*3*24.526</f>
        <v>1564.3316214233309</v>
      </c>
      <c r="N59" s="283" t="s">
        <v>162</v>
      </c>
      <c r="O59" s="286" t="s">
        <v>121</v>
      </c>
      <c r="P59" s="283"/>
      <c r="Q59" s="283" t="s">
        <v>163</v>
      </c>
      <c r="R59" s="286" t="s">
        <v>100</v>
      </c>
      <c r="S59" s="285"/>
      <c r="T59" s="283" t="s">
        <v>160</v>
      </c>
      <c r="U59" s="286" t="s">
        <v>100</v>
      </c>
      <c r="V59" s="286"/>
      <c r="W59" s="283" t="s">
        <v>123</v>
      </c>
      <c r="X59" s="286" t="s">
        <v>100</v>
      </c>
      <c r="Y59" s="286" t="s">
        <v>100</v>
      </c>
    </row>
    <row r="60" spans="1:25">
      <c r="A60" s="303">
        <v>37335</v>
      </c>
      <c r="B60" s="290">
        <v>37332</v>
      </c>
      <c r="C60" s="284">
        <v>2056</v>
      </c>
      <c r="D60" s="284" t="s">
        <v>471</v>
      </c>
      <c r="E60" s="290">
        <v>33042</v>
      </c>
      <c r="F60" s="283">
        <v>23</v>
      </c>
      <c r="G60" s="283" t="s">
        <v>472</v>
      </c>
      <c r="H60" s="283" t="s">
        <v>124</v>
      </c>
      <c r="I60" s="286" t="s">
        <v>121</v>
      </c>
      <c r="J60" s="287" t="s">
        <v>105</v>
      </c>
      <c r="K60" s="354"/>
      <c r="L60" s="285">
        <v>72</v>
      </c>
      <c r="M60" s="369">
        <f>M53+3*L60*47.92</f>
        <v>22624.439735876746</v>
      </c>
      <c r="N60" s="283"/>
      <c r="O60" s="283"/>
      <c r="P60" s="283"/>
      <c r="Q60" s="283"/>
      <c r="R60" s="283"/>
      <c r="S60" s="285">
        <f t="shared" si="15"/>
        <v>0</v>
      </c>
      <c r="T60" s="283"/>
      <c r="U60" s="354"/>
      <c r="V60" s="283"/>
      <c r="W60" s="283"/>
      <c r="X60" s="283"/>
      <c r="Y60" s="283"/>
    </row>
    <row r="61" spans="1:25">
      <c r="A61" s="277" t="s">
        <v>151</v>
      </c>
      <c r="B61" s="292">
        <v>37779</v>
      </c>
      <c r="C61" s="277" t="s">
        <v>151</v>
      </c>
      <c r="D61" s="284" t="s">
        <v>231</v>
      </c>
      <c r="E61" s="290">
        <v>32394</v>
      </c>
      <c r="F61" s="283">
        <v>16</v>
      </c>
      <c r="G61" s="283" t="s">
        <v>236</v>
      </c>
      <c r="H61" s="286" t="s">
        <v>100</v>
      </c>
      <c r="I61" s="354"/>
      <c r="J61" s="286" t="s">
        <v>100</v>
      </c>
      <c r="K61" s="354"/>
      <c r="L61" s="285">
        <v>72</v>
      </c>
      <c r="M61" s="369">
        <f>M54+10*L61*29</f>
        <v>30321.261922230377</v>
      </c>
      <c r="N61" s="283" t="s">
        <v>101</v>
      </c>
      <c r="O61" s="354"/>
      <c r="P61" s="286" t="s">
        <v>100</v>
      </c>
      <c r="Q61" s="322" t="s">
        <v>127</v>
      </c>
      <c r="R61" s="354"/>
      <c r="S61" s="286" t="s">
        <v>121</v>
      </c>
      <c r="T61" s="286" t="s">
        <v>100</v>
      </c>
      <c r="U61" s="354"/>
      <c r="V61" s="286" t="s">
        <v>100</v>
      </c>
      <c r="W61" s="283"/>
      <c r="X61" s="354"/>
      <c r="Y61" s="283"/>
    </row>
    <row r="62" spans="1:25" s="104" customFormat="1">
      <c r="A62" s="290">
        <v>37796</v>
      </c>
      <c r="B62" s="290">
        <v>37894</v>
      </c>
      <c r="C62" s="575">
        <v>2944</v>
      </c>
      <c r="D62" s="284" t="s">
        <v>346</v>
      </c>
      <c r="E62" s="290">
        <v>32508</v>
      </c>
      <c r="F62" s="283">
        <v>21</v>
      </c>
      <c r="G62" s="283" t="s">
        <v>350</v>
      </c>
      <c r="H62" s="283" t="s">
        <v>124</v>
      </c>
      <c r="I62" s="354"/>
      <c r="J62" s="286" t="s">
        <v>121</v>
      </c>
      <c r="K62" s="354"/>
      <c r="L62" s="285">
        <v>72</v>
      </c>
      <c r="M62" s="369">
        <f>M55+15*L62*28.37</f>
        <v>57864.809097578873</v>
      </c>
      <c r="N62" s="286" t="s">
        <v>100</v>
      </c>
      <c r="O62" s="354"/>
      <c r="P62" s="286" t="s">
        <v>100</v>
      </c>
      <c r="Q62" s="519"/>
      <c r="R62" s="354"/>
      <c r="S62" s="419"/>
      <c r="T62" s="286" t="s">
        <v>100</v>
      </c>
      <c r="U62" s="354"/>
      <c r="V62" s="419"/>
      <c r="W62" s="368"/>
      <c r="X62" s="354"/>
      <c r="Y62" s="368"/>
    </row>
    <row r="63" spans="1:25" s="583" customFormat="1">
      <c r="A63" s="577">
        <v>37825</v>
      </c>
      <c r="B63" s="682">
        <v>37773</v>
      </c>
      <c r="C63" s="826">
        <v>3025</v>
      </c>
      <c r="D63" s="649" t="s">
        <v>654</v>
      </c>
      <c r="E63" s="682">
        <v>36788</v>
      </c>
      <c r="F63" s="809">
        <v>24</v>
      </c>
      <c r="G63" s="809" t="s">
        <v>655</v>
      </c>
      <c r="H63" s="150" t="s">
        <v>124</v>
      </c>
      <c r="I63" s="286" t="s">
        <v>121</v>
      </c>
      <c r="J63" s="287" t="s">
        <v>105</v>
      </c>
      <c r="K63" s="354"/>
      <c r="L63" s="582">
        <v>72</v>
      </c>
      <c r="M63" s="582">
        <f>M56+L63*3*34.31</f>
        <v>7713.0289655172428</v>
      </c>
      <c r="N63" s="286" t="s">
        <v>100</v>
      </c>
      <c r="O63" s="286" t="s">
        <v>100</v>
      </c>
      <c r="P63" s="286" t="s">
        <v>100</v>
      </c>
      <c r="Q63" s="354"/>
      <c r="R63" s="354"/>
      <c r="S63" s="354"/>
      <c r="T63" s="809" t="s">
        <v>657</v>
      </c>
      <c r="U63" s="286" t="s">
        <v>100</v>
      </c>
      <c r="V63" s="286" t="s">
        <v>100</v>
      </c>
      <c r="W63" s="809" t="s">
        <v>658</v>
      </c>
      <c r="X63" s="286" t="s">
        <v>100</v>
      </c>
      <c r="Y63" s="286" t="s">
        <v>100</v>
      </c>
    </row>
    <row r="64" spans="1:25" s="104" customFormat="1">
      <c r="A64" s="303">
        <v>37938</v>
      </c>
      <c r="B64" s="290">
        <v>37866</v>
      </c>
      <c r="C64" s="575">
        <v>3457</v>
      </c>
      <c r="D64" s="365" t="s">
        <v>554</v>
      </c>
      <c r="E64" s="365">
        <v>32480</v>
      </c>
      <c r="F64" s="368">
        <v>25</v>
      </c>
      <c r="G64" s="283" t="s">
        <v>555</v>
      </c>
      <c r="H64" s="283" t="s">
        <v>124</v>
      </c>
      <c r="I64" s="286" t="s">
        <v>121</v>
      </c>
      <c r="J64" s="287" t="s">
        <v>105</v>
      </c>
      <c r="K64" s="354"/>
      <c r="L64" s="369">
        <v>72</v>
      </c>
      <c r="M64" s="369">
        <f>M57+3*L64*20.28</f>
        <v>10718.909933969186</v>
      </c>
      <c r="N64" s="286" t="s">
        <v>100</v>
      </c>
      <c r="O64" s="286" t="s">
        <v>100</v>
      </c>
      <c r="P64" s="355"/>
      <c r="Q64" s="355"/>
      <c r="R64" s="809" t="s">
        <v>657</v>
      </c>
      <c r="S64" s="286" t="s">
        <v>100</v>
      </c>
      <c r="T64" s="809" t="s">
        <v>658</v>
      </c>
      <c r="U64" s="286" t="s">
        <v>100</v>
      </c>
      <c r="V64" s="419"/>
      <c r="W64" s="368"/>
      <c r="X64" s="418"/>
      <c r="Y64" s="368"/>
    </row>
    <row r="65" spans="1:25" s="583" customFormat="1">
      <c r="A65" s="682">
        <v>38191</v>
      </c>
      <c r="B65" s="812"/>
      <c r="C65" s="826">
        <v>4059</v>
      </c>
      <c r="D65" s="812"/>
      <c r="E65" s="682">
        <v>38191</v>
      </c>
      <c r="F65" s="150">
        <v>30</v>
      </c>
      <c r="G65" s="150" t="s">
        <v>703</v>
      </c>
      <c r="H65" s="150" t="s">
        <v>124</v>
      </c>
      <c r="I65" s="354"/>
      <c r="J65" s="586">
        <v>10</v>
      </c>
      <c r="K65" s="354"/>
      <c r="L65" s="582">
        <v>10</v>
      </c>
      <c r="M65" s="582">
        <f>3*L65*20.4305</f>
        <v>612.91499999999996</v>
      </c>
      <c r="N65" s="808" t="s">
        <v>702</v>
      </c>
      <c r="O65" s="354"/>
      <c r="P65" s="285">
        <v>72</v>
      </c>
      <c r="Q65" s="355"/>
      <c r="R65" s="355"/>
      <c r="S65" s="355"/>
      <c r="T65" s="286" t="s">
        <v>100</v>
      </c>
      <c r="U65" s="354"/>
      <c r="V65" s="286" t="s">
        <v>100</v>
      </c>
      <c r="W65" s="808" t="s">
        <v>701</v>
      </c>
      <c r="X65" s="354"/>
      <c r="Y65" s="582">
        <v>72</v>
      </c>
    </row>
    <row r="66" spans="1:25" s="583" customFormat="1">
      <c r="A66" s="682">
        <v>38198</v>
      </c>
      <c r="B66" s="391"/>
      <c r="C66" s="575">
        <v>4070</v>
      </c>
      <c r="D66" s="391"/>
      <c r="E66" s="682">
        <v>38198</v>
      </c>
      <c r="F66" s="150">
        <v>30</v>
      </c>
      <c r="G66" s="150" t="s">
        <v>669</v>
      </c>
      <c r="H66" s="150" t="s">
        <v>124</v>
      </c>
      <c r="I66" s="354"/>
      <c r="J66" s="586">
        <v>74</v>
      </c>
      <c r="K66" s="354"/>
      <c r="L66" s="586">
        <v>74</v>
      </c>
      <c r="M66" s="582">
        <f>3*L66*21.753</f>
        <v>4829.1660000000002</v>
      </c>
      <c r="N66" s="519" t="s">
        <v>709</v>
      </c>
      <c r="O66" s="354"/>
      <c r="P66" s="286" t="s">
        <v>121</v>
      </c>
      <c r="Q66" s="150" t="s">
        <v>708</v>
      </c>
      <c r="R66" s="354"/>
      <c r="S66" s="586">
        <v>74</v>
      </c>
      <c r="T66" s="150" t="s">
        <v>710</v>
      </c>
      <c r="U66" s="354"/>
      <c r="V66" s="586">
        <v>74</v>
      </c>
      <c r="W66" s="150"/>
      <c r="X66" s="354"/>
      <c r="Y66" s="150"/>
    </row>
    <row r="67" spans="1:25" s="583" customFormat="1">
      <c r="A67" s="682">
        <v>38198</v>
      </c>
      <c r="B67" s="391"/>
      <c r="C67" s="575">
        <v>4070</v>
      </c>
      <c r="D67" s="391"/>
      <c r="E67" s="682"/>
      <c r="F67" s="150">
        <v>30</v>
      </c>
      <c r="G67" s="150" t="s">
        <v>713</v>
      </c>
      <c r="H67" s="150" t="s">
        <v>124</v>
      </c>
      <c r="I67" s="816"/>
      <c r="J67" s="856"/>
      <c r="K67" s="816"/>
      <c r="L67" s="856"/>
      <c r="M67" s="815"/>
      <c r="N67" s="286" t="s">
        <v>100</v>
      </c>
      <c r="O67" s="286" t="s">
        <v>100</v>
      </c>
      <c r="P67" s="286" t="s">
        <v>100</v>
      </c>
      <c r="Q67" s="354"/>
      <c r="R67" s="354"/>
      <c r="S67" s="354"/>
      <c r="T67" s="286" t="s">
        <v>100</v>
      </c>
      <c r="U67" s="286" t="s">
        <v>100</v>
      </c>
      <c r="V67" s="286" t="s">
        <v>100</v>
      </c>
      <c r="W67" s="286" t="s">
        <v>100</v>
      </c>
      <c r="X67" s="286" t="s">
        <v>100</v>
      </c>
      <c r="Y67" s="286" t="s">
        <v>100</v>
      </c>
    </row>
    <row r="68" spans="1:25">
      <c r="A68" s="303">
        <v>38247</v>
      </c>
      <c r="B68" s="290">
        <v>38157</v>
      </c>
      <c r="C68" s="284">
        <v>2401</v>
      </c>
      <c r="D68" s="284" t="s">
        <v>198</v>
      </c>
      <c r="E68" s="328">
        <v>34962</v>
      </c>
      <c r="F68" s="283">
        <v>16</v>
      </c>
      <c r="G68" s="283" t="s">
        <v>253</v>
      </c>
      <c r="H68" s="283" t="s">
        <v>167</v>
      </c>
      <c r="I68" s="354"/>
      <c r="J68" s="286" t="s">
        <v>100</v>
      </c>
      <c r="K68" s="354"/>
      <c r="L68" s="285">
        <v>72</v>
      </c>
      <c r="M68" s="369">
        <f>M59+L61*3*24.526</f>
        <v>6861.9476214233309</v>
      </c>
      <c r="N68" s="283" t="s">
        <v>162</v>
      </c>
      <c r="O68" s="354"/>
      <c r="P68" s="286" t="s">
        <v>121</v>
      </c>
      <c r="Q68" s="283" t="s">
        <v>163</v>
      </c>
      <c r="R68" s="354"/>
      <c r="S68" s="286" t="s">
        <v>100</v>
      </c>
      <c r="T68" s="283" t="s">
        <v>160</v>
      </c>
      <c r="U68" s="354"/>
      <c r="V68" s="286" t="s">
        <v>100</v>
      </c>
      <c r="W68" s="283" t="s">
        <v>123</v>
      </c>
      <c r="X68" s="354"/>
      <c r="Y68" s="286" t="s">
        <v>100</v>
      </c>
    </row>
    <row r="69" spans="1:25">
      <c r="A69" s="277" t="s">
        <v>151</v>
      </c>
      <c r="B69" s="290">
        <v>38338</v>
      </c>
      <c r="C69" s="277" t="s">
        <v>151</v>
      </c>
      <c r="D69" s="284" t="s">
        <v>199</v>
      </c>
      <c r="E69" s="328">
        <v>27106</v>
      </c>
      <c r="F69" s="283">
        <v>60</v>
      </c>
      <c r="G69" s="283" t="s">
        <v>189</v>
      </c>
      <c r="H69" s="286" t="s">
        <v>100</v>
      </c>
      <c r="I69" s="354"/>
      <c r="J69" s="283"/>
      <c r="K69" s="354"/>
      <c r="L69" s="285">
        <v>72</v>
      </c>
      <c r="M69" s="369" t="e">
        <f>M51+3*L69*28.646</f>
        <v>#REF!</v>
      </c>
      <c r="N69" s="286" t="s">
        <v>100</v>
      </c>
      <c r="O69" s="354"/>
      <c r="P69" s="283"/>
      <c r="Q69" s="286" t="s">
        <v>100</v>
      </c>
      <c r="R69" s="354"/>
      <c r="S69" s="283"/>
      <c r="T69" s="286" t="s">
        <v>100</v>
      </c>
      <c r="U69" s="354"/>
      <c r="V69" s="283"/>
      <c r="W69" s="286" t="s">
        <v>100</v>
      </c>
      <c r="X69" s="354"/>
      <c r="Y69" s="283"/>
    </row>
    <row r="70" spans="1:25">
      <c r="A70" s="290">
        <v>38671</v>
      </c>
      <c r="B70" s="290">
        <v>38962</v>
      </c>
      <c r="C70" s="575">
        <v>5435</v>
      </c>
      <c r="D70" s="365" t="s">
        <v>554</v>
      </c>
      <c r="E70" s="365">
        <v>32480</v>
      </c>
      <c r="F70" s="368">
        <v>25</v>
      </c>
      <c r="G70" s="283" t="s">
        <v>589</v>
      </c>
      <c r="H70" s="283" t="s">
        <v>124</v>
      </c>
      <c r="I70" s="354"/>
      <c r="J70" s="287" t="s">
        <v>105</v>
      </c>
      <c r="K70" s="354"/>
      <c r="L70" s="285">
        <v>72</v>
      </c>
      <c r="M70" s="369">
        <f>M64+L70*10*20.28</f>
        <v>25320.509933969188</v>
      </c>
      <c r="N70" s="283"/>
      <c r="O70" s="354"/>
      <c r="P70" s="286"/>
      <c r="Q70" s="283"/>
      <c r="R70" s="354"/>
      <c r="S70" s="283"/>
      <c r="T70" s="283" t="s">
        <v>588</v>
      </c>
      <c r="U70" s="354"/>
      <c r="V70" s="286" t="s">
        <v>100</v>
      </c>
      <c r="W70" s="283" t="s">
        <v>587</v>
      </c>
      <c r="X70" s="354"/>
      <c r="Y70" s="286" t="s">
        <v>121</v>
      </c>
    </row>
    <row r="71" spans="1:25" s="104" customFormat="1">
      <c r="A71" s="290">
        <v>38707</v>
      </c>
      <c r="B71" s="391"/>
      <c r="C71" s="284" t="s">
        <v>591</v>
      </c>
      <c r="D71" s="391"/>
      <c r="E71" s="290">
        <v>38707</v>
      </c>
      <c r="F71" s="283">
        <v>25</v>
      </c>
      <c r="G71" s="368" t="s">
        <v>592</v>
      </c>
      <c r="H71" s="283" t="s">
        <v>593</v>
      </c>
      <c r="I71" s="354"/>
      <c r="J71" s="286" t="s">
        <v>121</v>
      </c>
      <c r="K71" s="354"/>
      <c r="L71" s="285">
        <v>10</v>
      </c>
      <c r="M71" s="553">
        <f>3*L71*37.94</f>
        <v>1138.1999999999998</v>
      </c>
      <c r="N71" s="283" t="s">
        <v>594</v>
      </c>
      <c r="O71" s="286" t="s">
        <v>121</v>
      </c>
      <c r="P71" s="419"/>
      <c r="Q71" s="368"/>
      <c r="R71" s="418"/>
      <c r="S71" s="368"/>
      <c r="T71" s="368"/>
      <c r="U71" s="418"/>
      <c r="V71" s="419"/>
      <c r="W71" s="368"/>
      <c r="X71" s="418"/>
      <c r="Y71" s="419"/>
    </row>
    <row r="72" spans="1:25">
      <c r="A72" s="742">
        <v>38733</v>
      </c>
      <c r="B72" s="290">
        <v>38428</v>
      </c>
      <c r="C72" s="284">
        <v>5639</v>
      </c>
      <c r="D72" s="284" t="s">
        <v>471</v>
      </c>
      <c r="E72" s="290">
        <v>33042</v>
      </c>
      <c r="F72" s="283">
        <v>23</v>
      </c>
      <c r="G72" s="283" t="s">
        <v>472</v>
      </c>
      <c r="H72" s="283" t="s">
        <v>124</v>
      </c>
      <c r="I72" s="354"/>
      <c r="J72" s="287" t="s">
        <v>105</v>
      </c>
      <c r="K72" s="354"/>
      <c r="L72" s="285">
        <v>72</v>
      </c>
      <c r="M72" s="369">
        <f>M60+L72*3*47.92</f>
        <v>32975.159735876747</v>
      </c>
      <c r="N72" s="283"/>
      <c r="O72" s="354"/>
      <c r="P72" s="283"/>
      <c r="Q72" s="283"/>
      <c r="R72" s="354"/>
      <c r="S72" s="283"/>
      <c r="T72" s="283"/>
      <c r="U72" s="354"/>
      <c r="V72" s="283"/>
      <c r="W72" s="283"/>
      <c r="X72" s="354"/>
      <c r="Y72" s="283"/>
    </row>
    <row r="73" spans="1:25" s="583" customFormat="1">
      <c r="A73" s="577">
        <v>38971</v>
      </c>
      <c r="B73" s="682">
        <v>38869</v>
      </c>
      <c r="C73" s="826">
        <v>6292</v>
      </c>
      <c r="D73" s="649" t="s">
        <v>654</v>
      </c>
      <c r="E73" s="682">
        <v>36788</v>
      </c>
      <c r="F73" s="809">
        <v>24</v>
      </c>
      <c r="G73" s="809" t="s">
        <v>655</v>
      </c>
      <c r="H73" s="150" t="s">
        <v>124</v>
      </c>
      <c r="I73" s="354"/>
      <c r="J73" s="287" t="s">
        <v>105</v>
      </c>
      <c r="K73" s="354"/>
      <c r="L73" s="582">
        <v>72</v>
      </c>
      <c r="M73" s="582">
        <f>M63+3*L73*34.31</f>
        <v>15123.988965517245</v>
      </c>
      <c r="N73" s="286" t="s">
        <v>100</v>
      </c>
      <c r="O73" s="286" t="s">
        <v>100</v>
      </c>
      <c r="P73" s="355"/>
      <c r="Q73" s="355"/>
      <c r="R73" s="809" t="s">
        <v>657</v>
      </c>
      <c r="S73" s="286" t="s">
        <v>100</v>
      </c>
      <c r="T73" s="809" t="s">
        <v>658</v>
      </c>
      <c r="U73" s="286" t="s">
        <v>100</v>
      </c>
      <c r="V73" s="150"/>
      <c r="W73" s="150"/>
      <c r="X73" s="581"/>
      <c r="Y73" s="150"/>
    </row>
    <row r="74" spans="1:25">
      <c r="A74" s="290">
        <v>39073</v>
      </c>
      <c r="B74" s="354"/>
      <c r="C74" s="284">
        <v>5125</v>
      </c>
      <c r="D74" s="354"/>
      <c r="E74" s="354"/>
      <c r="F74" s="283">
        <v>16</v>
      </c>
      <c r="G74" s="283" t="s">
        <v>259</v>
      </c>
      <c r="H74" s="283" t="s">
        <v>187</v>
      </c>
      <c r="I74" s="354"/>
      <c r="J74" s="286" t="s">
        <v>100</v>
      </c>
      <c r="K74" s="354"/>
      <c r="L74" s="285">
        <v>10</v>
      </c>
      <c r="M74" s="369">
        <f>L74*3*59.13075</f>
        <v>1773.9224999999999</v>
      </c>
      <c r="N74" s="283"/>
      <c r="O74" s="354"/>
      <c r="P74" s="283"/>
      <c r="Q74" s="283"/>
      <c r="R74" s="354"/>
      <c r="S74" s="283"/>
      <c r="T74" s="283"/>
      <c r="U74" s="354"/>
      <c r="V74" s="283"/>
      <c r="W74" s="283"/>
      <c r="X74" s="354"/>
      <c r="Y74" s="283"/>
    </row>
    <row r="75" spans="1:25" s="583" customFormat="1">
      <c r="A75" s="577">
        <v>39330</v>
      </c>
      <c r="B75" s="682">
        <v>39202</v>
      </c>
      <c r="C75" s="826">
        <v>7283</v>
      </c>
      <c r="D75" s="581">
        <v>4070</v>
      </c>
      <c r="E75" s="682">
        <v>38198</v>
      </c>
      <c r="F75" s="150">
        <v>30</v>
      </c>
      <c r="G75" s="150" t="s">
        <v>670</v>
      </c>
      <c r="H75" s="150" t="s">
        <v>124</v>
      </c>
      <c r="I75" s="286" t="s">
        <v>121</v>
      </c>
      <c r="J75" s="287" t="s">
        <v>105</v>
      </c>
      <c r="K75" s="354"/>
      <c r="L75" s="582">
        <v>74</v>
      </c>
      <c r="M75" s="582">
        <f>M66+3*L75*21.753</f>
        <v>9658.3320000000003</v>
      </c>
      <c r="N75" s="519" t="s">
        <v>709</v>
      </c>
      <c r="O75" s="354"/>
      <c r="P75" s="286" t="s">
        <v>121</v>
      </c>
      <c r="Q75" s="150" t="s">
        <v>708</v>
      </c>
      <c r="R75" s="354"/>
      <c r="S75" s="586">
        <v>74</v>
      </c>
      <c r="T75" s="150" t="s">
        <v>710</v>
      </c>
      <c r="U75" s="354"/>
      <c r="V75" s="586">
        <v>74</v>
      </c>
      <c r="W75" s="286" t="s">
        <v>100</v>
      </c>
      <c r="X75" s="286" t="s">
        <v>100</v>
      </c>
      <c r="Y75" s="286" t="s">
        <v>100</v>
      </c>
    </row>
    <row r="76" spans="1:25" s="583" customFormat="1">
      <c r="A76" s="577">
        <v>39330</v>
      </c>
      <c r="B76" s="682">
        <v>39194</v>
      </c>
      <c r="C76" s="826">
        <v>7284</v>
      </c>
      <c r="D76" s="581">
        <v>4059</v>
      </c>
      <c r="E76" s="682">
        <v>38191</v>
      </c>
      <c r="F76" s="150">
        <v>30</v>
      </c>
      <c r="G76" s="150" t="s">
        <v>703</v>
      </c>
      <c r="H76" s="150" t="s">
        <v>124</v>
      </c>
      <c r="I76" s="286" t="s">
        <v>121</v>
      </c>
      <c r="J76" s="287" t="s">
        <v>105</v>
      </c>
      <c r="K76" s="354"/>
      <c r="L76" s="582">
        <v>72</v>
      </c>
      <c r="M76" s="582">
        <f>M65+3*L76*20.4305</f>
        <v>5025.9029999999993</v>
      </c>
      <c r="N76" s="808" t="s">
        <v>702</v>
      </c>
      <c r="O76" s="354"/>
      <c r="P76" s="285">
        <v>72</v>
      </c>
      <c r="Q76" s="355"/>
      <c r="R76" s="355"/>
      <c r="S76" s="355"/>
      <c r="T76" s="286" t="s">
        <v>100</v>
      </c>
      <c r="U76" s="354"/>
      <c r="V76" s="286" t="s">
        <v>100</v>
      </c>
      <c r="W76" s="808" t="s">
        <v>701</v>
      </c>
      <c r="X76" s="354"/>
      <c r="Y76" s="582">
        <v>72</v>
      </c>
    </row>
    <row r="77" spans="1:25">
      <c r="A77" s="303">
        <v>39334</v>
      </c>
      <c r="B77" s="290">
        <v>39252</v>
      </c>
      <c r="C77" s="575">
        <v>8138</v>
      </c>
      <c r="D77" s="284" t="s">
        <v>198</v>
      </c>
      <c r="E77" s="290">
        <v>34962</v>
      </c>
      <c r="F77" s="283">
        <v>16</v>
      </c>
      <c r="G77" s="283" t="s">
        <v>253</v>
      </c>
      <c r="H77" s="283" t="s">
        <v>124</v>
      </c>
      <c r="I77" s="354"/>
      <c r="J77" s="287" t="s">
        <v>105</v>
      </c>
      <c r="K77" s="354"/>
      <c r="L77" s="285">
        <v>72</v>
      </c>
      <c r="M77" s="369">
        <f>M68+L77*3*24.526</f>
        <v>12159.563621423331</v>
      </c>
      <c r="N77" s="283" t="s">
        <v>162</v>
      </c>
      <c r="O77" s="354"/>
      <c r="P77" s="286" t="s">
        <v>121</v>
      </c>
      <c r="Q77" s="283" t="s">
        <v>163</v>
      </c>
      <c r="R77" s="354"/>
      <c r="S77" s="286" t="s">
        <v>100</v>
      </c>
      <c r="T77" s="283" t="s">
        <v>163</v>
      </c>
      <c r="U77" s="354"/>
      <c r="V77" s="286" t="s">
        <v>100</v>
      </c>
      <c r="W77" s="283" t="s">
        <v>163</v>
      </c>
      <c r="X77" s="354"/>
      <c r="Y77" s="286" t="s">
        <v>100</v>
      </c>
    </row>
    <row r="78" spans="1:25">
      <c r="A78" s="303">
        <v>39430</v>
      </c>
      <c r="B78" s="292">
        <v>39433</v>
      </c>
      <c r="C78" s="284">
        <v>6330</v>
      </c>
      <c r="D78" s="284" t="s">
        <v>199</v>
      </c>
      <c r="E78" s="328">
        <v>27106</v>
      </c>
      <c r="F78" s="283">
        <v>60</v>
      </c>
      <c r="G78" s="283" t="s">
        <v>190</v>
      </c>
      <c r="H78" s="283" t="s">
        <v>194</v>
      </c>
      <c r="I78" s="354"/>
      <c r="J78" s="286" t="s">
        <v>100</v>
      </c>
      <c r="K78" s="354"/>
      <c r="L78" s="285">
        <v>72</v>
      </c>
      <c r="M78" s="369" t="e">
        <f>M69+10*L78*28.646</f>
        <v>#REF!</v>
      </c>
      <c r="N78" s="286" t="s">
        <v>100</v>
      </c>
      <c r="O78" s="354"/>
      <c r="P78" s="283"/>
      <c r="Q78" s="286" t="s">
        <v>100</v>
      </c>
      <c r="R78" s="354"/>
      <c r="S78" s="283"/>
      <c r="T78" s="286" t="s">
        <v>100</v>
      </c>
      <c r="U78" s="354"/>
      <c r="V78" s="283"/>
      <c r="W78" s="286" t="s">
        <v>100</v>
      </c>
      <c r="X78" s="354"/>
      <c r="Y78" s="283"/>
    </row>
    <row r="79" spans="1:25">
      <c r="A79" s="290">
        <v>39639</v>
      </c>
      <c r="B79" s="354"/>
      <c r="C79" s="575">
        <v>7952</v>
      </c>
      <c r="D79" s="354"/>
      <c r="E79" s="290">
        <v>39639</v>
      </c>
      <c r="F79" s="283">
        <v>26</v>
      </c>
      <c r="G79" s="283" t="s">
        <v>530</v>
      </c>
      <c r="H79" s="283" t="s">
        <v>124</v>
      </c>
      <c r="I79" s="354"/>
      <c r="J79" s="286" t="s">
        <v>121</v>
      </c>
      <c r="K79" s="354"/>
      <c r="L79" s="285">
        <v>74</v>
      </c>
      <c r="M79" s="553">
        <f>3*L79*28.036</f>
        <v>6223.9920000000002</v>
      </c>
      <c r="N79" s="283" t="s">
        <v>531</v>
      </c>
      <c r="O79" s="354"/>
      <c r="P79" s="286" t="s">
        <v>121</v>
      </c>
      <c r="Q79" s="283" t="s">
        <v>525</v>
      </c>
      <c r="R79" s="355"/>
      <c r="S79" s="355"/>
      <c r="T79" s="283" t="s">
        <v>532</v>
      </c>
      <c r="U79" s="354"/>
      <c r="V79" s="286" t="s">
        <v>121</v>
      </c>
      <c r="W79" s="286" t="s">
        <v>151</v>
      </c>
      <c r="X79" s="354"/>
      <c r="Y79" s="286" t="s">
        <v>121</v>
      </c>
    </row>
    <row r="80" spans="1:25">
      <c r="A80" s="678">
        <v>39750</v>
      </c>
      <c r="B80" s="304" t="s">
        <v>458</v>
      </c>
      <c r="C80" s="679">
        <v>8261</v>
      </c>
      <c r="D80" s="284" t="s">
        <v>427</v>
      </c>
      <c r="E80" s="328">
        <v>32754</v>
      </c>
      <c r="F80" s="283">
        <v>29</v>
      </c>
      <c r="G80" s="283" t="s">
        <v>459</v>
      </c>
      <c r="H80" s="283" t="s">
        <v>124</v>
      </c>
      <c r="I80" s="354"/>
      <c r="J80" s="287" t="s">
        <v>105</v>
      </c>
      <c r="K80" s="354"/>
      <c r="L80" s="285">
        <v>72</v>
      </c>
      <c r="M80" s="336">
        <f>M58+15*L80*24.567</f>
        <v>41507.81854732208</v>
      </c>
      <c r="N80" s="283"/>
      <c r="O80" s="354"/>
      <c r="P80" s="283"/>
      <c r="Q80" s="283"/>
      <c r="R80" s="355"/>
      <c r="S80" s="283"/>
      <c r="T80" s="283"/>
      <c r="U80" s="354"/>
      <c r="V80" s="283"/>
      <c r="W80" s="283"/>
      <c r="X80" s="354"/>
    </row>
    <row r="81" spans="1:25" s="104" customFormat="1">
      <c r="A81" s="290">
        <v>39801</v>
      </c>
      <c r="B81" s="354"/>
      <c r="C81" s="575">
        <v>8389</v>
      </c>
      <c r="D81" s="365" t="s">
        <v>554</v>
      </c>
      <c r="E81" s="365">
        <v>32480</v>
      </c>
      <c r="F81" s="368">
        <v>25</v>
      </c>
      <c r="G81" s="283" t="s">
        <v>590</v>
      </c>
      <c r="H81" s="283" t="s">
        <v>124</v>
      </c>
      <c r="I81" s="354"/>
      <c r="J81" s="287" t="s">
        <v>105</v>
      </c>
      <c r="K81" s="354"/>
      <c r="L81" s="285">
        <v>72</v>
      </c>
      <c r="M81" s="585">
        <f>M70+5*L81*20.28</f>
        <v>32621.309933969187</v>
      </c>
      <c r="N81" s="368"/>
      <c r="O81" s="418"/>
      <c r="P81" s="368"/>
      <c r="Q81" s="368"/>
      <c r="R81" s="368"/>
      <c r="S81" s="368"/>
      <c r="T81" s="283" t="s">
        <v>588</v>
      </c>
      <c r="U81" s="354"/>
      <c r="V81" s="286" t="s">
        <v>100</v>
      </c>
      <c r="W81" s="283" t="s">
        <v>587</v>
      </c>
      <c r="X81" s="354"/>
      <c r="Y81" s="286" t="s">
        <v>121</v>
      </c>
    </row>
    <row r="82" spans="1:25" s="104" customFormat="1">
      <c r="A82" s="365">
        <v>39802</v>
      </c>
      <c r="B82" s="292">
        <v>39802</v>
      </c>
      <c r="C82" s="575">
        <v>8390</v>
      </c>
      <c r="D82" s="284" t="s">
        <v>591</v>
      </c>
      <c r="E82" s="365">
        <v>38707</v>
      </c>
      <c r="F82" s="283">
        <v>25</v>
      </c>
      <c r="G82" s="368" t="s">
        <v>592</v>
      </c>
      <c r="H82" s="283" t="s">
        <v>124</v>
      </c>
      <c r="I82" s="354"/>
      <c r="J82" s="287" t="s">
        <v>105</v>
      </c>
      <c r="K82" s="354"/>
      <c r="L82" s="285">
        <v>72</v>
      </c>
      <c r="M82" s="585">
        <f>M71+3*L82*37.94</f>
        <v>9333.239999999998</v>
      </c>
      <c r="N82" s="368"/>
      <c r="O82" s="418"/>
      <c r="P82" s="368"/>
      <c r="Q82" s="368"/>
      <c r="R82" s="368"/>
      <c r="S82" s="368"/>
      <c r="T82" s="368"/>
      <c r="U82" s="418"/>
      <c r="V82" s="419"/>
      <c r="W82" s="368"/>
      <c r="X82" s="418"/>
      <c r="Y82" s="419"/>
    </row>
    <row r="83" spans="1:25">
      <c r="A83" s="290">
        <v>39902</v>
      </c>
      <c r="B83" s="354"/>
      <c r="C83" s="575">
        <v>8546</v>
      </c>
      <c r="D83" s="354"/>
      <c r="E83" s="290">
        <v>39902</v>
      </c>
      <c r="F83" s="283">
        <v>27</v>
      </c>
      <c r="G83" s="283" t="s">
        <v>405</v>
      </c>
      <c r="H83" s="283" t="s">
        <v>124</v>
      </c>
      <c r="I83" s="354"/>
      <c r="J83" s="285">
        <v>74</v>
      </c>
      <c r="K83" s="354"/>
      <c r="L83" s="369">
        <v>74</v>
      </c>
      <c r="M83" s="285">
        <f>L83*3*66.612</f>
        <v>14787.864</v>
      </c>
      <c r="N83" s="368" t="s">
        <v>408</v>
      </c>
      <c r="O83" s="354"/>
      <c r="P83" s="285">
        <v>74</v>
      </c>
      <c r="Q83" s="286" t="s">
        <v>100</v>
      </c>
      <c r="R83" s="355"/>
      <c r="S83" s="286" t="s">
        <v>100</v>
      </c>
      <c r="T83" s="286" t="s">
        <v>100</v>
      </c>
      <c r="U83" s="354"/>
      <c r="V83" s="286" t="s">
        <v>100</v>
      </c>
      <c r="W83" s="286" t="s">
        <v>100</v>
      </c>
      <c r="X83" s="354"/>
      <c r="Y83" s="286" t="s">
        <v>100</v>
      </c>
    </row>
    <row r="84" spans="1:25" s="104" customFormat="1">
      <c r="A84" s="678">
        <v>39968</v>
      </c>
      <c r="B84" s="290">
        <v>39524</v>
      </c>
      <c r="C84" s="418">
        <v>8687</v>
      </c>
      <c r="D84" s="284" t="s">
        <v>471</v>
      </c>
      <c r="E84" s="290">
        <v>33042</v>
      </c>
      <c r="F84" s="283">
        <v>23</v>
      </c>
      <c r="G84" s="283" t="s">
        <v>472</v>
      </c>
      <c r="H84" s="283" t="s">
        <v>124</v>
      </c>
      <c r="I84" s="354"/>
      <c r="J84" s="287" t="s">
        <v>105</v>
      </c>
      <c r="K84" s="354"/>
      <c r="L84" s="369">
        <v>72</v>
      </c>
      <c r="M84" s="369">
        <f>M72+3*74*47.92</f>
        <v>43613.399735876745</v>
      </c>
      <c r="N84" s="368"/>
      <c r="O84" s="354"/>
      <c r="P84" s="369"/>
      <c r="Q84" s="419"/>
      <c r="R84" s="355"/>
      <c r="S84" s="419"/>
      <c r="T84" s="419"/>
      <c r="U84" s="354"/>
      <c r="V84" s="419"/>
      <c r="W84" s="419"/>
      <c r="X84" s="354"/>
      <c r="Y84" s="419"/>
    </row>
    <row r="85" spans="1:25" s="583" customFormat="1">
      <c r="A85" s="682">
        <v>39974</v>
      </c>
      <c r="B85" s="682">
        <v>39965</v>
      </c>
      <c r="C85" s="826">
        <v>8695</v>
      </c>
      <c r="D85" s="649" t="s">
        <v>654</v>
      </c>
      <c r="E85" s="682">
        <v>36788</v>
      </c>
      <c r="F85" s="809">
        <v>24</v>
      </c>
      <c r="G85" s="809" t="s">
        <v>655</v>
      </c>
      <c r="H85" s="150" t="s">
        <v>124</v>
      </c>
      <c r="I85" s="354"/>
      <c r="J85" s="287" t="s">
        <v>105</v>
      </c>
      <c r="K85" s="354"/>
      <c r="L85" s="582">
        <v>72</v>
      </c>
      <c r="M85" s="582">
        <f>M73+3*L85*34.31</f>
        <v>22534.948965517244</v>
      </c>
      <c r="N85" s="286" t="s">
        <v>100</v>
      </c>
      <c r="O85" s="286" t="s">
        <v>100</v>
      </c>
      <c r="P85" s="355"/>
      <c r="Q85" s="355"/>
      <c r="R85" s="355"/>
      <c r="S85" s="286" t="s">
        <v>100</v>
      </c>
      <c r="T85" s="809" t="s">
        <v>657</v>
      </c>
      <c r="U85" s="286" t="s">
        <v>100</v>
      </c>
      <c r="V85" s="809" t="s">
        <v>658</v>
      </c>
      <c r="W85" s="286" t="s">
        <v>100</v>
      </c>
      <c r="X85" s="286" t="s">
        <v>100</v>
      </c>
      <c r="Y85" s="286" t="s">
        <v>100</v>
      </c>
    </row>
    <row r="86" spans="1:25" s="104" customFormat="1">
      <c r="A86" s="365">
        <v>40024</v>
      </c>
      <c r="B86" s="354"/>
      <c r="C86" s="575">
        <v>8808</v>
      </c>
      <c r="D86" s="418">
        <v>8546</v>
      </c>
      <c r="E86" s="365">
        <v>39902</v>
      </c>
      <c r="F86" s="283">
        <v>27</v>
      </c>
      <c r="G86" s="283" t="s">
        <v>412</v>
      </c>
      <c r="H86" s="283" t="s">
        <v>124</v>
      </c>
      <c r="I86" s="354"/>
      <c r="J86" s="369"/>
      <c r="K86" s="354"/>
      <c r="L86" s="369"/>
      <c r="M86" s="369"/>
      <c r="N86" s="368"/>
      <c r="O86" s="354"/>
      <c r="P86" s="369"/>
      <c r="Q86" s="419"/>
      <c r="R86" s="355"/>
      <c r="S86" s="419"/>
      <c r="T86" s="419"/>
      <c r="U86" s="354"/>
      <c r="V86" s="419"/>
      <c r="W86" s="419"/>
      <c r="X86" s="354"/>
      <c r="Y86" s="419"/>
    </row>
    <row r="87" spans="1:25" s="583" customFormat="1">
      <c r="A87" s="682">
        <v>40063</v>
      </c>
      <c r="B87" s="354"/>
      <c r="C87" s="575">
        <v>8922</v>
      </c>
      <c r="D87" s="354"/>
      <c r="E87" s="682">
        <v>40063</v>
      </c>
      <c r="F87" s="150">
        <v>30</v>
      </c>
      <c r="G87" s="150" t="s">
        <v>717</v>
      </c>
      <c r="H87" s="283" t="s">
        <v>124</v>
      </c>
      <c r="I87" s="354"/>
      <c r="J87" s="582">
        <v>48</v>
      </c>
      <c r="K87" s="354"/>
      <c r="L87" s="582">
        <v>48</v>
      </c>
      <c r="M87" s="582">
        <f>3*L87*20.43</f>
        <v>2941.92</v>
      </c>
      <c r="N87" s="286" t="s">
        <v>100</v>
      </c>
      <c r="O87" s="286" t="s">
        <v>100</v>
      </c>
      <c r="P87" s="582"/>
      <c r="Q87" s="150" t="s">
        <v>722</v>
      </c>
      <c r="R87" s="150" t="s">
        <v>723</v>
      </c>
      <c r="S87" s="586">
        <v>72</v>
      </c>
      <c r="T87" s="286" t="s">
        <v>100</v>
      </c>
      <c r="U87" s="286" t="s">
        <v>100</v>
      </c>
      <c r="V87" s="519"/>
      <c r="W87" s="150" t="s">
        <v>721</v>
      </c>
      <c r="X87" s="581" t="s">
        <v>725</v>
      </c>
      <c r="Y87" s="586">
        <v>72</v>
      </c>
    </row>
    <row r="88" spans="1:25">
      <c r="A88" s="303">
        <v>40169</v>
      </c>
      <c r="B88" s="290">
        <v>40077</v>
      </c>
      <c r="C88" s="284">
        <v>8127</v>
      </c>
      <c r="D88" s="284" t="s">
        <v>200</v>
      </c>
      <c r="E88" s="290">
        <v>39073</v>
      </c>
      <c r="F88" s="283">
        <v>16</v>
      </c>
      <c r="G88" s="283" t="s">
        <v>259</v>
      </c>
      <c r="H88" s="283" t="s">
        <v>167</v>
      </c>
      <c r="I88" s="354"/>
      <c r="J88" s="286" t="s">
        <v>100</v>
      </c>
      <c r="K88" s="354"/>
      <c r="L88" s="285">
        <v>74</v>
      </c>
      <c r="M88" s="369">
        <f>M74+L88*3*59.13075</f>
        <v>14900.949000000001</v>
      </c>
      <c r="N88" s="322" t="s">
        <v>237</v>
      </c>
      <c r="O88" s="354"/>
      <c r="P88" s="286" t="s">
        <v>100</v>
      </c>
      <c r="Q88" s="286" t="s">
        <v>100</v>
      </c>
      <c r="R88" s="355"/>
      <c r="S88" s="283"/>
      <c r="T88" s="286" t="s">
        <v>100</v>
      </c>
      <c r="U88" s="354"/>
      <c r="V88" s="283"/>
      <c r="W88" s="283"/>
      <c r="X88" s="354"/>
      <c r="Y88" s="283"/>
    </row>
    <row r="89" spans="1:25" s="583" customFormat="1">
      <c r="A89" s="577">
        <v>40338</v>
      </c>
      <c r="B89" s="682">
        <v>40298</v>
      </c>
      <c r="C89" s="826">
        <v>9511</v>
      </c>
      <c r="D89" s="581">
        <v>4070</v>
      </c>
      <c r="E89" s="682">
        <v>38198</v>
      </c>
      <c r="F89" s="150">
        <v>30</v>
      </c>
      <c r="G89" s="150" t="s">
        <v>670</v>
      </c>
      <c r="H89" s="150" t="s">
        <v>124</v>
      </c>
      <c r="I89" s="286" t="s">
        <v>121</v>
      </c>
      <c r="J89" s="287" t="s">
        <v>105</v>
      </c>
      <c r="K89" s="354"/>
      <c r="L89" s="582">
        <v>74</v>
      </c>
      <c r="M89" s="582">
        <f>M75+3*L89*21.573</f>
        <v>14447.538</v>
      </c>
      <c r="N89" s="519" t="s">
        <v>709</v>
      </c>
      <c r="O89" s="354"/>
      <c r="P89" s="286" t="s">
        <v>121</v>
      </c>
      <c r="Q89" s="150" t="s">
        <v>708</v>
      </c>
      <c r="R89" s="354"/>
      <c r="S89" s="586">
        <v>74</v>
      </c>
      <c r="T89" s="150" t="s">
        <v>710</v>
      </c>
      <c r="U89" s="354"/>
      <c r="V89" s="586">
        <v>74</v>
      </c>
      <c r="W89" s="286" t="s">
        <v>100</v>
      </c>
      <c r="X89" s="286" t="s">
        <v>100</v>
      </c>
      <c r="Y89" s="286" t="s">
        <v>100</v>
      </c>
    </row>
    <row r="90" spans="1:25">
      <c r="A90" s="303">
        <v>40423</v>
      </c>
      <c r="B90" s="290">
        <v>40348</v>
      </c>
      <c r="C90" s="575">
        <v>9681</v>
      </c>
      <c r="D90" s="284">
        <v>12428</v>
      </c>
      <c r="E90" s="328">
        <v>34962</v>
      </c>
      <c r="F90" s="283">
        <v>16</v>
      </c>
      <c r="G90" s="283" t="s">
        <v>228</v>
      </c>
      <c r="H90" s="283" t="s">
        <v>124</v>
      </c>
      <c r="I90" s="354"/>
      <c r="J90" s="287" t="s">
        <v>105</v>
      </c>
      <c r="K90" s="355"/>
      <c r="L90" s="285">
        <v>72</v>
      </c>
      <c r="M90" s="369">
        <f>M77+10*L90*24.526</f>
        <v>29818.283621423332</v>
      </c>
      <c r="N90" s="283" t="s">
        <v>162</v>
      </c>
      <c r="O90" s="354"/>
      <c r="P90" s="286" t="s">
        <v>121</v>
      </c>
      <c r="Q90" s="283" t="s">
        <v>163</v>
      </c>
      <c r="R90" s="354"/>
      <c r="S90" s="286" t="s">
        <v>100</v>
      </c>
      <c r="T90" s="283" t="s">
        <v>163</v>
      </c>
      <c r="U90" s="354"/>
      <c r="V90" s="286" t="s">
        <v>100</v>
      </c>
      <c r="W90" s="283" t="s">
        <v>163</v>
      </c>
      <c r="X90" s="354"/>
      <c r="Y90" s="286" t="s">
        <v>100</v>
      </c>
    </row>
    <row r="91" spans="1:25" s="104" customFormat="1">
      <c r="A91" s="290">
        <v>40605</v>
      </c>
      <c r="B91" s="290">
        <v>40642</v>
      </c>
      <c r="C91" s="575">
        <v>9995</v>
      </c>
      <c r="D91" s="284">
        <v>7952</v>
      </c>
      <c r="E91" s="290">
        <v>39639</v>
      </c>
      <c r="F91" s="283">
        <v>26</v>
      </c>
      <c r="G91" s="283" t="s">
        <v>530</v>
      </c>
      <c r="H91" s="283" t="s">
        <v>124</v>
      </c>
      <c r="I91" s="354"/>
      <c r="J91" s="287" t="s">
        <v>105</v>
      </c>
      <c r="K91" s="354"/>
      <c r="L91" s="285">
        <v>74</v>
      </c>
      <c r="M91" s="553">
        <f>M79+3*L91*28.036</f>
        <v>12447.984</v>
      </c>
      <c r="N91" s="283" t="s">
        <v>531</v>
      </c>
      <c r="O91" s="354"/>
      <c r="P91" s="286" t="s">
        <v>121</v>
      </c>
      <c r="Q91" s="283" t="s">
        <v>525</v>
      </c>
      <c r="R91" s="355"/>
      <c r="S91" s="355"/>
      <c r="T91" s="283" t="s">
        <v>532</v>
      </c>
      <c r="U91" s="354"/>
      <c r="V91" s="286" t="s">
        <v>121</v>
      </c>
      <c r="W91" s="286" t="s">
        <v>151</v>
      </c>
      <c r="X91" s="354"/>
      <c r="Y91" s="286" t="s">
        <v>121</v>
      </c>
    </row>
    <row r="92" spans="1:25">
      <c r="A92" s="392">
        <v>40877</v>
      </c>
      <c r="B92" s="290">
        <v>40906</v>
      </c>
      <c r="C92" s="651">
        <v>10449</v>
      </c>
      <c r="D92" s="418">
        <v>8546</v>
      </c>
      <c r="E92" s="365">
        <v>39902</v>
      </c>
      <c r="F92" s="283">
        <v>27</v>
      </c>
      <c r="G92" s="283" t="s">
        <v>413</v>
      </c>
      <c r="H92" s="283" t="s">
        <v>124</v>
      </c>
      <c r="I92" s="354"/>
      <c r="J92" s="285">
        <v>74</v>
      </c>
      <c r="K92" s="354"/>
      <c r="L92" s="285">
        <v>150</v>
      </c>
      <c r="M92" s="369">
        <f>M83+12*150*66.612</f>
        <v>134689.46399999998</v>
      </c>
      <c r="N92" s="283"/>
      <c r="O92" s="354"/>
      <c r="P92" s="283"/>
      <c r="Q92" s="283"/>
      <c r="R92" s="354"/>
      <c r="S92" s="283"/>
      <c r="T92" s="283"/>
      <c r="U92" s="354"/>
      <c r="V92" s="283"/>
      <c r="W92" s="283"/>
      <c r="X92" s="354"/>
      <c r="Y92" s="283"/>
    </row>
    <row r="93" spans="1:25" s="583" customFormat="1">
      <c r="A93" s="807">
        <v>41059</v>
      </c>
      <c r="B93" s="354"/>
      <c r="C93" s="829" t="s">
        <v>671</v>
      </c>
      <c r="D93" s="581">
        <v>4070</v>
      </c>
      <c r="E93" s="682">
        <v>38198</v>
      </c>
      <c r="F93" s="150">
        <v>24</v>
      </c>
      <c r="G93" s="150" t="s">
        <v>672</v>
      </c>
      <c r="H93" s="150" t="s">
        <v>673</v>
      </c>
      <c r="I93" s="354"/>
      <c r="J93" s="582"/>
      <c r="K93" s="354"/>
      <c r="L93" s="582"/>
      <c r="M93" s="582"/>
      <c r="N93" s="150"/>
      <c r="O93" s="581"/>
      <c r="P93" s="150"/>
      <c r="Q93" s="150"/>
      <c r="R93" s="581"/>
      <c r="S93" s="150"/>
      <c r="T93" s="150"/>
      <c r="U93" s="581"/>
      <c r="V93" s="150"/>
      <c r="W93" s="150"/>
      <c r="X93" s="581"/>
      <c r="Y93" s="150"/>
    </row>
    <row r="94" spans="1:25" s="583" customFormat="1">
      <c r="A94" s="580">
        <v>41092</v>
      </c>
      <c r="B94" s="682">
        <v>41061</v>
      </c>
      <c r="C94" s="651">
        <v>10641</v>
      </c>
      <c r="D94" s="649" t="s">
        <v>654</v>
      </c>
      <c r="E94" s="682">
        <v>36788</v>
      </c>
      <c r="F94" s="809">
        <v>24</v>
      </c>
      <c r="G94" s="809" t="s">
        <v>655</v>
      </c>
      <c r="H94" s="150" t="s">
        <v>124</v>
      </c>
      <c r="I94" s="354"/>
      <c r="J94" s="287" t="s">
        <v>105</v>
      </c>
      <c r="K94" s="354"/>
      <c r="L94" s="285">
        <v>150</v>
      </c>
      <c r="M94" s="369">
        <f>M85+3*150*34.31</f>
        <v>37974.448965517244</v>
      </c>
      <c r="N94" s="286" t="s">
        <v>100</v>
      </c>
      <c r="O94" s="286" t="s">
        <v>100</v>
      </c>
      <c r="P94" s="355"/>
      <c r="Q94" s="355"/>
      <c r="R94" s="355"/>
      <c r="S94" s="286" t="s">
        <v>100</v>
      </c>
      <c r="T94" s="809" t="s">
        <v>657</v>
      </c>
      <c r="U94" s="286" t="s">
        <v>100</v>
      </c>
      <c r="V94" s="809" t="s">
        <v>658</v>
      </c>
      <c r="W94" s="286" t="s">
        <v>100</v>
      </c>
      <c r="X94" s="286" t="s">
        <v>100</v>
      </c>
      <c r="Y94" s="286" t="s">
        <v>100</v>
      </c>
    </row>
    <row r="95" spans="1:25" s="583" customFormat="1">
      <c r="A95" s="580">
        <v>41157</v>
      </c>
      <c r="B95" s="682">
        <v>40700</v>
      </c>
      <c r="C95" s="651">
        <v>10751</v>
      </c>
      <c r="D95" s="418">
        <v>8922</v>
      </c>
      <c r="E95" s="682">
        <v>40063</v>
      </c>
      <c r="F95" s="150">
        <v>30</v>
      </c>
      <c r="G95" s="150" t="s">
        <v>752</v>
      </c>
      <c r="H95" s="150" t="s">
        <v>124</v>
      </c>
      <c r="I95" s="286" t="s">
        <v>121</v>
      </c>
      <c r="J95" s="287" t="s">
        <v>105</v>
      </c>
      <c r="K95" s="354"/>
      <c r="L95" s="582">
        <v>72</v>
      </c>
      <c r="M95" s="582">
        <f>M87+3*L95*20.43</f>
        <v>7354.8</v>
      </c>
      <c r="N95" s="286" t="s">
        <v>100</v>
      </c>
      <c r="O95" s="286" t="s">
        <v>100</v>
      </c>
      <c r="P95" s="582"/>
      <c r="Q95" s="150" t="s">
        <v>722</v>
      </c>
      <c r="R95" s="150" t="s">
        <v>723</v>
      </c>
      <c r="S95" s="586">
        <v>72</v>
      </c>
      <c r="T95" s="286" t="s">
        <v>100</v>
      </c>
      <c r="U95" s="286" t="s">
        <v>100</v>
      </c>
      <c r="V95" s="519"/>
      <c r="W95" s="150" t="s">
        <v>721</v>
      </c>
      <c r="X95" s="581" t="s">
        <v>725</v>
      </c>
      <c r="Y95" s="586">
        <v>72</v>
      </c>
    </row>
    <row r="96" spans="1:25">
      <c r="A96" s="290">
        <v>41260</v>
      </c>
      <c r="B96" s="290">
        <v>42268</v>
      </c>
      <c r="C96" s="284">
        <v>9886</v>
      </c>
      <c r="D96" s="284" t="s">
        <v>200</v>
      </c>
      <c r="E96" s="290">
        <v>39073</v>
      </c>
      <c r="F96" s="283">
        <v>16</v>
      </c>
      <c r="G96" s="283" t="s">
        <v>260</v>
      </c>
      <c r="H96" s="283" t="s">
        <v>167</v>
      </c>
      <c r="I96" s="354"/>
      <c r="J96" s="286" t="s">
        <v>100</v>
      </c>
      <c r="K96" s="354"/>
      <c r="L96" s="285">
        <v>72</v>
      </c>
      <c r="M96" s="369">
        <f>M88+L96*3*59.13075</f>
        <v>27673.190999999999</v>
      </c>
      <c r="N96" s="322" t="s">
        <v>237</v>
      </c>
      <c r="O96" s="354"/>
      <c r="P96" s="286" t="s">
        <v>100</v>
      </c>
      <c r="Q96" s="286" t="s">
        <v>100</v>
      </c>
      <c r="R96" s="354"/>
      <c r="S96" s="283"/>
      <c r="T96" s="286" t="s">
        <v>100</v>
      </c>
      <c r="U96" s="354"/>
      <c r="V96" s="283"/>
      <c r="W96" s="286" t="s">
        <v>100</v>
      </c>
      <c r="X96" s="354"/>
      <c r="Y96" s="283"/>
    </row>
    <row r="97" spans="1:25" s="583" customFormat="1">
      <c r="A97" s="682">
        <v>41390</v>
      </c>
      <c r="B97" s="682">
        <v>41394</v>
      </c>
      <c r="C97" s="826">
        <v>11114</v>
      </c>
      <c r="D97" s="581">
        <v>4070</v>
      </c>
      <c r="E97" s="682">
        <v>38198</v>
      </c>
      <c r="F97" s="150">
        <v>24</v>
      </c>
      <c r="G97" s="150" t="s">
        <v>670</v>
      </c>
      <c r="H97" s="150" t="s">
        <v>124</v>
      </c>
      <c r="I97" s="354"/>
      <c r="J97" s="287" t="s">
        <v>105</v>
      </c>
      <c r="K97" s="354"/>
      <c r="L97" s="582">
        <v>150</v>
      </c>
      <c r="M97" s="582">
        <f>M89+150*3*21.753</f>
        <v>24236.387999999999</v>
      </c>
      <c r="N97" s="519" t="s">
        <v>709</v>
      </c>
      <c r="O97" s="354"/>
      <c r="P97" s="286" t="s">
        <v>121</v>
      </c>
      <c r="Q97" s="150" t="s">
        <v>708</v>
      </c>
      <c r="R97" s="354"/>
      <c r="S97" s="586">
        <v>74</v>
      </c>
      <c r="T97" s="150" t="s">
        <v>710</v>
      </c>
      <c r="U97" s="354"/>
      <c r="V97" s="586">
        <v>74</v>
      </c>
      <c r="W97" s="286" t="s">
        <v>100</v>
      </c>
      <c r="X97" s="286" t="s">
        <v>100</v>
      </c>
      <c r="Y97" s="286" t="s">
        <v>100</v>
      </c>
    </row>
    <row r="98" spans="1:25">
      <c r="A98" s="277" t="s">
        <v>151</v>
      </c>
      <c r="B98" s="292">
        <v>41432</v>
      </c>
      <c r="C98" s="277" t="s">
        <v>151</v>
      </c>
      <c r="D98" s="284" t="s">
        <v>231</v>
      </c>
      <c r="E98" s="290">
        <v>32394</v>
      </c>
      <c r="F98" s="283">
        <v>16</v>
      </c>
      <c r="G98" s="283" t="s">
        <v>236</v>
      </c>
      <c r="H98" s="286" t="s">
        <v>100</v>
      </c>
      <c r="I98" s="354"/>
      <c r="J98" s="286" t="s">
        <v>100</v>
      </c>
      <c r="K98" s="354"/>
      <c r="L98" s="285">
        <v>150</v>
      </c>
      <c r="M98" s="369">
        <f>M63+10*L98*29</f>
        <v>51213.028965517246</v>
      </c>
      <c r="N98" s="283" t="s">
        <v>101</v>
      </c>
      <c r="O98" s="354"/>
      <c r="P98" s="286" t="s">
        <v>100</v>
      </c>
      <c r="Q98" s="322" t="s">
        <v>127</v>
      </c>
      <c r="R98" s="354"/>
      <c r="S98" s="286" t="s">
        <v>121</v>
      </c>
      <c r="T98" s="286" t="s">
        <v>100</v>
      </c>
      <c r="U98" s="354"/>
      <c r="V98" s="286" t="s">
        <v>100</v>
      </c>
      <c r="W98" s="283"/>
      <c r="X98" s="354"/>
      <c r="Y98" s="283"/>
    </row>
    <row r="99" spans="1:25" s="104" customFormat="1">
      <c r="A99" s="681">
        <v>41816</v>
      </c>
      <c r="B99" s="682">
        <v>43618</v>
      </c>
      <c r="C99" s="683">
        <v>11775</v>
      </c>
      <c r="D99" s="284" t="s">
        <v>427</v>
      </c>
      <c r="E99" s="328">
        <v>32754</v>
      </c>
      <c r="F99" s="283">
        <v>29</v>
      </c>
      <c r="G99" s="283" t="s">
        <v>463</v>
      </c>
      <c r="H99" s="283" t="s">
        <v>124</v>
      </c>
      <c r="I99" s="354"/>
      <c r="J99" s="287" t="s">
        <v>105</v>
      </c>
      <c r="K99" s="354"/>
      <c r="L99" s="285">
        <v>150</v>
      </c>
      <c r="M99" s="369">
        <f>M80+L99*10*24.567</f>
        <v>78358.31854732208</v>
      </c>
      <c r="N99" s="368" t="s">
        <v>465</v>
      </c>
      <c r="O99" s="354"/>
      <c r="P99" s="286" t="s">
        <v>121</v>
      </c>
      <c r="Q99" s="419"/>
      <c r="R99" s="354"/>
      <c r="S99" s="419"/>
      <c r="T99" s="286" t="s">
        <v>100</v>
      </c>
      <c r="U99" s="354"/>
      <c r="V99" s="368"/>
      <c r="W99" s="286" t="s">
        <v>100</v>
      </c>
      <c r="X99" s="354"/>
    </row>
    <row r="100" spans="1:25" s="104" customFormat="1">
      <c r="A100" s="681">
        <v>41969</v>
      </c>
      <c r="B100" s="354"/>
      <c r="C100" s="575">
        <v>12098</v>
      </c>
      <c r="D100" s="355"/>
      <c r="E100" s="355"/>
      <c r="F100" s="368">
        <v>25</v>
      </c>
      <c r="G100" s="283" t="s">
        <v>604</v>
      </c>
      <c r="H100" s="283" t="s">
        <v>124</v>
      </c>
      <c r="I100" s="354"/>
      <c r="J100" s="286" t="s">
        <v>121</v>
      </c>
      <c r="K100" s="354"/>
      <c r="L100" s="369">
        <v>48</v>
      </c>
      <c r="M100" s="369">
        <f>3*L100*48.629</f>
        <v>7002.576</v>
      </c>
      <c r="N100" s="283" t="s">
        <v>606</v>
      </c>
      <c r="O100" s="354"/>
      <c r="P100" s="286" t="s">
        <v>121</v>
      </c>
      <c r="Q100" s="519" t="s">
        <v>609</v>
      </c>
      <c r="R100" s="418"/>
      <c r="S100" s="419"/>
      <c r="T100" s="519" t="s">
        <v>611</v>
      </c>
      <c r="U100" s="418"/>
      <c r="V100" s="286" t="s">
        <v>121</v>
      </c>
      <c r="W100" s="519" t="s">
        <v>610</v>
      </c>
      <c r="X100" s="418"/>
    </row>
    <row r="101" spans="1:25">
      <c r="A101" s="290">
        <v>41988</v>
      </c>
      <c r="B101" s="354"/>
      <c r="C101" s="284">
        <v>9307</v>
      </c>
      <c r="D101" s="355"/>
      <c r="E101" s="355"/>
      <c r="F101" s="283">
        <v>16</v>
      </c>
      <c r="G101" s="283" t="s">
        <v>249</v>
      </c>
      <c r="H101" s="283" t="s">
        <v>164</v>
      </c>
      <c r="I101" s="354"/>
      <c r="J101" s="369">
        <v>80</v>
      </c>
      <c r="K101" s="354"/>
      <c r="L101" s="369">
        <v>80</v>
      </c>
      <c r="M101" s="369">
        <f>14*78.66035*3</f>
        <v>3303.7347</v>
      </c>
      <c r="N101" s="286" t="s">
        <v>100</v>
      </c>
      <c r="O101" s="354"/>
      <c r="P101" s="283"/>
      <c r="Q101" s="286" t="s">
        <v>100</v>
      </c>
      <c r="R101" s="354"/>
      <c r="S101" s="283"/>
      <c r="T101" s="286" t="s">
        <v>100</v>
      </c>
      <c r="U101" s="354"/>
      <c r="V101" s="283"/>
      <c r="W101" s="283"/>
      <c r="X101" s="354"/>
      <c r="Y101" s="283"/>
    </row>
    <row r="102" spans="1:25">
      <c r="A102" s="290">
        <v>42054</v>
      </c>
      <c r="B102" s="354"/>
      <c r="C102" s="575">
        <v>12227</v>
      </c>
      <c r="D102" s="355"/>
      <c r="E102" s="355"/>
      <c r="F102" s="283">
        <v>22</v>
      </c>
      <c r="G102" s="283" t="s">
        <v>369</v>
      </c>
      <c r="H102" s="283" t="s">
        <v>124</v>
      </c>
      <c r="I102" s="354"/>
      <c r="J102" s="286" t="s">
        <v>121</v>
      </c>
      <c r="K102" s="354"/>
      <c r="L102" s="285">
        <v>48</v>
      </c>
      <c r="M102" s="369">
        <f>3*L102*41.039</f>
        <v>5909.616</v>
      </c>
      <c r="N102" s="283" t="s">
        <v>366</v>
      </c>
      <c r="O102" s="354"/>
      <c r="P102" s="286" t="s">
        <v>121</v>
      </c>
      <c r="Q102" s="283" t="s">
        <v>364</v>
      </c>
      <c r="R102" s="354"/>
      <c r="S102" s="286"/>
      <c r="T102" s="286" t="s">
        <v>100</v>
      </c>
      <c r="U102" s="354"/>
      <c r="V102" s="286"/>
      <c r="W102" s="286"/>
      <c r="X102" s="354"/>
      <c r="Y102" s="283"/>
    </row>
    <row r="103" spans="1:25" s="583" customFormat="1">
      <c r="A103" s="682">
        <v>42165</v>
      </c>
      <c r="B103" s="682">
        <v>42156</v>
      </c>
      <c r="C103" s="651">
        <v>12424</v>
      </c>
      <c r="D103" s="649" t="s">
        <v>654</v>
      </c>
      <c r="E103" s="682">
        <v>36788</v>
      </c>
      <c r="F103" s="809">
        <v>24</v>
      </c>
      <c r="G103" s="809" t="s">
        <v>655</v>
      </c>
      <c r="H103" s="150" t="s">
        <v>124</v>
      </c>
      <c r="I103" s="354"/>
      <c r="J103" s="287" t="s">
        <v>105</v>
      </c>
      <c r="K103" s="354"/>
      <c r="L103" s="285">
        <v>150</v>
      </c>
      <c r="M103" s="369">
        <f>M94+3*150*34.31</f>
        <v>53413.948965517244</v>
      </c>
      <c r="N103" s="286" t="s">
        <v>100</v>
      </c>
      <c r="O103" s="286" t="s">
        <v>100</v>
      </c>
      <c r="P103" s="355"/>
      <c r="Q103" s="355"/>
      <c r="R103" s="355"/>
      <c r="S103" s="286" t="s">
        <v>100</v>
      </c>
      <c r="T103" s="809" t="s">
        <v>657</v>
      </c>
      <c r="U103" s="286" t="s">
        <v>100</v>
      </c>
      <c r="V103" s="809" t="s">
        <v>658</v>
      </c>
      <c r="W103" s="286" t="s">
        <v>100</v>
      </c>
      <c r="X103" s="286" t="s">
        <v>100</v>
      </c>
      <c r="Y103" s="286" t="s">
        <v>100</v>
      </c>
    </row>
    <row r="104" spans="1:25">
      <c r="A104" s="303">
        <v>42349</v>
      </c>
      <c r="B104" s="290">
        <v>42268</v>
      </c>
      <c r="C104" s="575">
        <v>12823</v>
      </c>
      <c r="D104" s="284" t="s">
        <v>200</v>
      </c>
      <c r="E104" s="290">
        <v>39073</v>
      </c>
      <c r="F104" s="283">
        <v>16</v>
      </c>
      <c r="G104" s="283" t="s">
        <v>259</v>
      </c>
      <c r="H104" s="283" t="s">
        <v>124</v>
      </c>
      <c r="I104" s="354"/>
      <c r="J104" s="287" t="s">
        <v>105</v>
      </c>
      <c r="K104" s="354"/>
      <c r="L104" s="285">
        <v>150</v>
      </c>
      <c r="M104" s="369">
        <f>M96+L104*3*59.13075</f>
        <v>54282.0285</v>
      </c>
      <c r="N104" s="322" t="s">
        <v>237</v>
      </c>
      <c r="O104" s="354"/>
      <c r="P104" s="286" t="s">
        <v>100</v>
      </c>
      <c r="Q104" s="286" t="s">
        <v>100</v>
      </c>
      <c r="R104" s="354"/>
      <c r="S104" s="283"/>
      <c r="T104" s="286" t="s">
        <v>100</v>
      </c>
      <c r="U104" s="354"/>
      <c r="V104" s="283"/>
      <c r="W104" s="286" t="s">
        <v>100</v>
      </c>
      <c r="X104" s="354"/>
      <c r="Y104" s="283"/>
    </row>
    <row r="105" spans="1:25" s="104" customFormat="1">
      <c r="A105" s="365">
        <v>42369</v>
      </c>
      <c r="B105" s="354"/>
      <c r="C105" s="575">
        <v>12875</v>
      </c>
      <c r="D105" s="354"/>
      <c r="E105" s="354"/>
      <c r="F105" s="368">
        <v>23</v>
      </c>
      <c r="G105" s="283" t="s">
        <v>521</v>
      </c>
      <c r="H105" s="283" t="s">
        <v>124</v>
      </c>
      <c r="I105" s="354"/>
      <c r="J105" s="287" t="s">
        <v>105</v>
      </c>
      <c r="K105" s="354"/>
      <c r="L105" s="285">
        <v>48</v>
      </c>
      <c r="M105" s="369">
        <f>L105*3*49.5985</f>
        <v>7142.1840000000002</v>
      </c>
      <c r="N105" s="283" t="s">
        <v>522</v>
      </c>
      <c r="O105" s="354"/>
      <c r="P105" s="286" t="s">
        <v>121</v>
      </c>
      <c r="Q105" s="283" t="s">
        <v>525</v>
      </c>
      <c r="R105" s="355"/>
      <c r="S105" s="283"/>
      <c r="T105" s="283" t="s">
        <v>524</v>
      </c>
      <c r="U105" s="354"/>
      <c r="V105" s="286" t="s">
        <v>121</v>
      </c>
      <c r="W105" s="283" t="s">
        <v>523</v>
      </c>
      <c r="X105" s="354"/>
      <c r="Y105" s="286" t="s">
        <v>121</v>
      </c>
    </row>
    <row r="106" spans="1:25" s="104" customFormat="1">
      <c r="A106" s="365">
        <v>42718</v>
      </c>
      <c r="B106" s="418"/>
      <c r="C106" s="575">
        <v>13532</v>
      </c>
      <c r="D106" s="284">
        <v>7952</v>
      </c>
      <c r="E106" s="290">
        <v>39639</v>
      </c>
      <c r="F106" s="283">
        <v>26</v>
      </c>
      <c r="G106" s="283" t="s">
        <v>533</v>
      </c>
      <c r="H106" s="283" t="s">
        <v>124</v>
      </c>
      <c r="I106" s="354"/>
      <c r="J106" s="750"/>
      <c r="K106" s="354"/>
      <c r="L106" s="369"/>
      <c r="M106" s="369"/>
      <c r="N106" s="368"/>
      <c r="O106" s="418"/>
      <c r="P106" s="419"/>
      <c r="Q106" s="368"/>
      <c r="R106" s="368"/>
      <c r="S106" s="368"/>
      <c r="T106" s="368"/>
      <c r="U106" s="418"/>
      <c r="V106" s="419"/>
      <c r="W106" s="368"/>
      <c r="X106" s="418"/>
      <c r="Y106" s="419"/>
    </row>
    <row r="107" spans="1:25" s="104" customFormat="1">
      <c r="A107" s="365">
        <v>42734</v>
      </c>
      <c r="B107" s="303">
        <v>42615</v>
      </c>
      <c r="C107" s="575">
        <v>13577</v>
      </c>
      <c r="D107" s="365" t="s">
        <v>554</v>
      </c>
      <c r="E107" s="365">
        <v>32480</v>
      </c>
      <c r="F107" s="368">
        <v>25</v>
      </c>
      <c r="G107" s="283" t="s">
        <v>612</v>
      </c>
      <c r="H107" s="283" t="s">
        <v>124</v>
      </c>
      <c r="I107" s="354"/>
      <c r="J107" s="287" t="s">
        <v>105</v>
      </c>
      <c r="K107" s="354"/>
      <c r="L107" s="369">
        <v>150</v>
      </c>
      <c r="M107" s="369">
        <f>M81+10*L107*20.28</f>
        <v>63041.309933969183</v>
      </c>
      <c r="N107" s="368"/>
      <c r="O107" s="418"/>
      <c r="P107" s="419"/>
      <c r="Q107" s="368"/>
      <c r="R107" s="368"/>
      <c r="S107" s="368"/>
      <c r="T107" s="368"/>
      <c r="U107" s="418"/>
      <c r="V107" s="419"/>
      <c r="W107" s="368"/>
      <c r="X107" s="418"/>
      <c r="Y107" s="419"/>
    </row>
    <row r="108" spans="1:25">
      <c r="A108" s="290">
        <v>42963</v>
      </c>
      <c r="B108" s="290">
        <v>42992</v>
      </c>
      <c r="C108" s="575">
        <v>13997</v>
      </c>
      <c r="D108" s="284" t="s">
        <v>224</v>
      </c>
      <c r="E108" s="290">
        <v>41988</v>
      </c>
      <c r="F108" s="283">
        <v>16</v>
      </c>
      <c r="G108" s="283" t="s">
        <v>248</v>
      </c>
      <c r="H108" s="283" t="s">
        <v>124</v>
      </c>
      <c r="I108" s="354"/>
      <c r="J108" s="369">
        <v>14</v>
      </c>
      <c r="K108" s="354"/>
      <c r="L108" s="369">
        <v>80</v>
      </c>
      <c r="M108" s="369">
        <f>M101+78.66035*L108</f>
        <v>9596.5626999999986</v>
      </c>
      <c r="N108" s="286" t="s">
        <v>100</v>
      </c>
      <c r="O108" s="354"/>
      <c r="P108" s="283"/>
      <c r="Q108" s="286" t="s">
        <v>100</v>
      </c>
      <c r="R108" s="354"/>
      <c r="S108" s="283"/>
      <c r="T108" s="286" t="s">
        <v>100</v>
      </c>
      <c r="U108" s="354"/>
      <c r="V108" s="283"/>
      <c r="W108" s="283"/>
      <c r="X108" s="354"/>
      <c r="Y108" s="283"/>
    </row>
    <row r="109" spans="1:25" s="104" customFormat="1">
      <c r="A109" s="290">
        <v>43040</v>
      </c>
      <c r="B109" s="290">
        <v>43057</v>
      </c>
      <c r="C109" s="575">
        <v>14186</v>
      </c>
      <c r="D109" s="284">
        <v>12227</v>
      </c>
      <c r="E109" s="290">
        <v>42054</v>
      </c>
      <c r="F109" s="283">
        <v>22</v>
      </c>
      <c r="G109" s="283" t="s">
        <v>369</v>
      </c>
      <c r="H109" s="283" t="s">
        <v>124</v>
      </c>
      <c r="I109" s="354"/>
      <c r="J109" s="285">
        <v>48</v>
      </c>
      <c r="K109" s="354"/>
      <c r="L109" s="285">
        <v>150</v>
      </c>
      <c r="M109" s="553">
        <f>M102+3*L109*41.039</f>
        <v>24377.165999999997</v>
      </c>
      <c r="N109" s="283" t="s">
        <v>366</v>
      </c>
      <c r="O109" s="354"/>
      <c r="P109" s="286" t="s">
        <v>121</v>
      </c>
      <c r="Q109" s="283" t="s">
        <v>364</v>
      </c>
      <c r="R109" s="354"/>
      <c r="S109" s="286" t="s">
        <v>100</v>
      </c>
      <c r="T109" s="286" t="s">
        <v>100</v>
      </c>
      <c r="U109" s="354"/>
      <c r="V109" s="286" t="s">
        <v>100</v>
      </c>
      <c r="W109" s="286" t="s">
        <v>100</v>
      </c>
      <c r="X109" s="354"/>
      <c r="Y109" s="286" t="s">
        <v>100</v>
      </c>
    </row>
    <row r="110" spans="1:25">
      <c r="A110" s="289" t="s">
        <v>151</v>
      </c>
      <c r="B110" s="290">
        <v>43086</v>
      </c>
      <c r="C110" s="277" t="s">
        <v>151</v>
      </c>
      <c r="D110" s="284" t="s">
        <v>199</v>
      </c>
      <c r="E110" s="328">
        <v>27106</v>
      </c>
      <c r="F110" s="283">
        <v>60</v>
      </c>
      <c r="G110" s="283" t="s">
        <v>273</v>
      </c>
      <c r="H110" s="286" t="s">
        <v>100</v>
      </c>
      <c r="I110" s="354"/>
      <c r="J110" s="285">
        <f t="shared" ref="J110" si="21">I110/340.75</f>
        <v>0</v>
      </c>
      <c r="K110" s="355"/>
      <c r="L110" s="369">
        <v>72</v>
      </c>
      <c r="M110" s="369" t="e">
        <f>M78+2*L110*28.646</f>
        <v>#REF!</v>
      </c>
      <c r="N110" s="286" t="s">
        <v>100</v>
      </c>
      <c r="O110" s="354"/>
      <c r="P110" s="283"/>
      <c r="Q110" s="286" t="s">
        <v>100</v>
      </c>
      <c r="R110" s="354"/>
      <c r="S110" s="283"/>
      <c r="T110" s="286" t="s">
        <v>100</v>
      </c>
      <c r="U110" s="354"/>
      <c r="V110" s="283"/>
      <c r="W110" s="286" t="s">
        <v>100</v>
      </c>
      <c r="X110" s="354"/>
      <c r="Y110" s="283"/>
    </row>
    <row r="111" spans="1:25">
      <c r="A111" s="290">
        <v>43188</v>
      </c>
      <c r="B111" s="354"/>
      <c r="C111" s="575">
        <v>14426</v>
      </c>
      <c r="D111" s="284" t="s">
        <v>224</v>
      </c>
      <c r="E111" s="290">
        <v>41988</v>
      </c>
      <c r="F111" s="283">
        <v>16</v>
      </c>
      <c r="G111" s="283" t="s">
        <v>262</v>
      </c>
      <c r="H111" s="283" t="s">
        <v>124</v>
      </c>
      <c r="I111" s="354"/>
      <c r="J111" s="287" t="s">
        <v>105</v>
      </c>
      <c r="K111" s="354"/>
      <c r="L111" s="369">
        <v>80</v>
      </c>
      <c r="M111" s="369">
        <f>M108+2*L111*78.66035</f>
        <v>22182.218699999998</v>
      </c>
      <c r="N111" s="283"/>
      <c r="O111" s="354"/>
      <c r="P111" s="283"/>
      <c r="Q111" s="283"/>
      <c r="R111" s="354"/>
      <c r="S111" s="283"/>
      <c r="T111" s="283"/>
      <c r="U111" s="354"/>
      <c r="V111" s="283"/>
      <c r="W111" s="283"/>
      <c r="X111" s="354"/>
      <c r="Y111" s="283"/>
    </row>
    <row r="112" spans="1:25" s="104" customFormat="1">
      <c r="A112" s="290">
        <v>43241</v>
      </c>
      <c r="B112" s="290">
        <v>43373</v>
      </c>
      <c r="C112" s="575">
        <v>14533</v>
      </c>
      <c r="D112" s="284" t="s">
        <v>346</v>
      </c>
      <c r="E112" s="290">
        <v>32508</v>
      </c>
      <c r="F112" s="283">
        <v>21</v>
      </c>
      <c r="G112" s="283" t="s">
        <v>351</v>
      </c>
      <c r="H112" s="283" t="s">
        <v>124</v>
      </c>
      <c r="I112" s="354"/>
      <c r="J112" s="287" t="s">
        <v>105</v>
      </c>
      <c r="K112" s="354"/>
      <c r="L112" s="369">
        <v>72</v>
      </c>
      <c r="M112" s="369">
        <f>M62+L112*10*28.37</f>
        <v>78291.209097578874</v>
      </c>
      <c r="N112" s="368"/>
      <c r="O112" s="354"/>
      <c r="P112" s="368"/>
      <c r="Q112" s="368"/>
      <c r="R112" s="354"/>
      <c r="S112" s="368"/>
      <c r="T112" s="368"/>
      <c r="U112" s="354"/>
      <c r="V112" s="368"/>
      <c r="W112" s="368"/>
      <c r="X112" s="354"/>
      <c r="Y112" s="368"/>
    </row>
    <row r="113" spans="1:25" s="104" customFormat="1">
      <c r="A113" s="290">
        <v>43269</v>
      </c>
      <c r="B113" s="290">
        <v>43373</v>
      </c>
      <c r="C113" s="575">
        <v>14566</v>
      </c>
      <c r="D113" s="284" t="s">
        <v>346</v>
      </c>
      <c r="E113" s="290">
        <v>32508</v>
      </c>
      <c r="F113" s="283">
        <v>21</v>
      </c>
      <c r="G113" s="283" t="s">
        <v>352</v>
      </c>
      <c r="H113" s="283" t="s">
        <v>124</v>
      </c>
      <c r="I113" s="354"/>
      <c r="J113" s="369">
        <v>82</v>
      </c>
      <c r="K113" s="354"/>
      <c r="L113" s="369">
        <v>72</v>
      </c>
      <c r="M113" s="369">
        <f>M112+L113*30*28.37</f>
        <v>139570.40909757887</v>
      </c>
      <c r="N113" s="368"/>
      <c r="O113" s="354"/>
      <c r="P113" s="368"/>
      <c r="Q113" s="368"/>
      <c r="R113" s="354"/>
      <c r="S113" s="368"/>
      <c r="T113" s="368"/>
      <c r="U113" s="354"/>
      <c r="V113" s="368"/>
      <c r="W113" s="368"/>
      <c r="X113" s="354"/>
      <c r="Y113" s="368"/>
    </row>
    <row r="114" spans="1:25">
      <c r="A114" s="277" t="s">
        <v>151</v>
      </c>
      <c r="B114" s="290">
        <v>43364</v>
      </c>
      <c r="C114" s="277" t="s">
        <v>151</v>
      </c>
      <c r="D114" s="284" t="s">
        <v>200</v>
      </c>
      <c r="E114" s="290">
        <v>39073</v>
      </c>
      <c r="F114" s="283">
        <v>16</v>
      </c>
      <c r="G114" s="283" t="s">
        <v>259</v>
      </c>
      <c r="H114" s="283"/>
      <c r="I114" s="354"/>
      <c r="J114" s="285"/>
      <c r="K114" s="354"/>
      <c r="L114" s="369">
        <v>150</v>
      </c>
      <c r="M114" s="369">
        <f>M104+L114*3*59.13075</f>
        <v>80890.865999999995</v>
      </c>
      <c r="N114" s="322" t="s">
        <v>237</v>
      </c>
      <c r="O114" s="354"/>
      <c r="P114" s="286" t="s">
        <v>100</v>
      </c>
      <c r="Q114" s="283"/>
      <c r="R114" s="354"/>
      <c r="S114" s="283"/>
      <c r="T114" s="283"/>
      <c r="U114" s="354"/>
      <c r="V114" s="283"/>
      <c r="W114" s="283"/>
      <c r="X114" s="354"/>
      <c r="Y114" s="283"/>
    </row>
    <row r="115" spans="1:25">
      <c r="A115" s="290">
        <v>43521</v>
      </c>
      <c r="B115" s="391"/>
      <c r="C115" s="575">
        <v>14945</v>
      </c>
      <c r="D115" s="284" t="s">
        <v>199</v>
      </c>
      <c r="E115" s="328">
        <v>27106</v>
      </c>
      <c r="F115" s="283">
        <v>60</v>
      </c>
      <c r="G115" s="283" t="s">
        <v>250</v>
      </c>
      <c r="H115" s="283" t="s">
        <v>124</v>
      </c>
      <c r="I115" s="354"/>
      <c r="J115" s="287" t="s">
        <v>105</v>
      </c>
      <c r="K115" s="354"/>
      <c r="L115" s="369">
        <v>72</v>
      </c>
      <c r="M115" s="369" t="e">
        <f>M110+8*L115</f>
        <v>#REF!</v>
      </c>
      <c r="N115" s="283"/>
      <c r="O115" s="354"/>
      <c r="P115" s="283"/>
      <c r="Q115" s="283"/>
      <c r="R115" s="354"/>
      <c r="S115" s="283"/>
      <c r="T115" s="283"/>
      <c r="U115" s="354"/>
      <c r="V115" s="283"/>
      <c r="W115" s="283"/>
      <c r="X115" s="354"/>
      <c r="Y115" s="283"/>
    </row>
    <row r="116" spans="1:25">
      <c r="A116" s="290">
        <v>43521</v>
      </c>
      <c r="B116" s="354"/>
      <c r="C116" s="575">
        <v>14949</v>
      </c>
      <c r="D116" s="284" t="s">
        <v>224</v>
      </c>
      <c r="E116" s="290">
        <v>41988</v>
      </c>
      <c r="F116" s="283">
        <v>16</v>
      </c>
      <c r="G116" s="283" t="s">
        <v>263</v>
      </c>
      <c r="H116" s="283" t="s">
        <v>124</v>
      </c>
      <c r="I116" s="354"/>
      <c r="J116" s="287" t="s">
        <v>105</v>
      </c>
      <c r="K116" s="354"/>
      <c r="L116" s="369">
        <v>80</v>
      </c>
      <c r="M116" s="369">
        <f>M111+L116</f>
        <v>22262.218699999998</v>
      </c>
      <c r="N116" s="283"/>
      <c r="O116" s="354"/>
      <c r="P116" s="283"/>
      <c r="Q116" s="283"/>
      <c r="R116" s="354"/>
      <c r="S116" s="283"/>
      <c r="T116" s="283"/>
      <c r="U116" s="354"/>
      <c r="V116" s="283"/>
      <c r="W116" s="283"/>
      <c r="X116" s="354"/>
      <c r="Y116" s="283"/>
    </row>
    <row r="117" spans="1:25">
      <c r="A117" s="290">
        <v>43521</v>
      </c>
      <c r="B117" s="354"/>
      <c r="C117" s="575">
        <v>14950</v>
      </c>
      <c r="D117" s="284" t="s">
        <v>224</v>
      </c>
      <c r="E117" s="290">
        <v>41988</v>
      </c>
      <c r="F117" s="283">
        <v>16</v>
      </c>
      <c r="G117" s="283" t="s">
        <v>266</v>
      </c>
      <c r="H117" s="283" t="s">
        <v>124</v>
      </c>
      <c r="I117" s="354"/>
      <c r="J117" s="287" t="s">
        <v>105</v>
      </c>
      <c r="K117" s="354"/>
      <c r="L117" s="369">
        <v>80</v>
      </c>
      <c r="M117" s="369">
        <f>M116</f>
        <v>22262.218699999998</v>
      </c>
      <c r="N117" s="283"/>
      <c r="O117" s="354"/>
      <c r="P117" s="283"/>
      <c r="Q117" s="283"/>
      <c r="R117" s="354"/>
      <c r="S117" s="283"/>
      <c r="T117" s="283"/>
      <c r="U117" s="354"/>
      <c r="V117" s="283"/>
      <c r="W117" s="283"/>
      <c r="X117" s="354"/>
      <c r="Y117" s="283"/>
    </row>
    <row r="118" spans="1:25">
      <c r="A118" s="289">
        <v>44061</v>
      </c>
      <c r="B118" s="354"/>
      <c r="C118" s="651">
        <v>15884</v>
      </c>
      <c r="D118" s="284">
        <v>12428</v>
      </c>
      <c r="E118" s="328">
        <v>34962</v>
      </c>
      <c r="F118" s="283">
        <v>16</v>
      </c>
      <c r="G118" s="283" t="s">
        <v>268</v>
      </c>
      <c r="H118" s="652" t="s">
        <v>124</v>
      </c>
      <c r="I118" s="354"/>
      <c r="J118" s="286" t="s">
        <v>100</v>
      </c>
      <c r="K118" s="354"/>
      <c r="L118" s="285">
        <v>72</v>
      </c>
      <c r="M118" s="369">
        <f>M90+L118*5*24.526</f>
        <v>38647.643621423333</v>
      </c>
      <c r="N118" s="283"/>
      <c r="O118" s="354"/>
      <c r="P118" s="283"/>
      <c r="Q118" s="283"/>
      <c r="R118" s="354"/>
      <c r="S118" s="283"/>
      <c r="T118" s="283"/>
      <c r="U118" s="354"/>
      <c r="V118" s="283"/>
      <c r="W118" s="283"/>
      <c r="X118" s="354"/>
      <c r="Y118" s="283"/>
    </row>
    <row r="119" spans="1:25">
      <c r="A119" s="289" t="s">
        <v>151</v>
      </c>
      <c r="B119" s="290">
        <v>44088</v>
      </c>
      <c r="C119" s="289" t="s">
        <v>151</v>
      </c>
      <c r="D119" s="284" t="s">
        <v>224</v>
      </c>
      <c r="E119" s="290">
        <v>41988</v>
      </c>
      <c r="F119" s="283">
        <v>16</v>
      </c>
      <c r="G119" s="283" t="s">
        <v>249</v>
      </c>
      <c r="H119" s="283"/>
      <c r="I119" s="354"/>
      <c r="J119" s="369"/>
      <c r="K119" s="354"/>
      <c r="L119" s="369">
        <v>80</v>
      </c>
      <c r="M119" s="369">
        <f>M111+L119*3*78.66035</f>
        <v>41060.702699999994</v>
      </c>
      <c r="N119" s="286" t="s">
        <v>100</v>
      </c>
      <c r="O119" s="354"/>
      <c r="P119" s="283"/>
      <c r="Q119" s="286" t="s">
        <v>100</v>
      </c>
      <c r="R119" s="354"/>
      <c r="S119" s="283"/>
      <c r="T119" s="286" t="s">
        <v>100</v>
      </c>
      <c r="U119" s="354"/>
      <c r="V119" s="283"/>
      <c r="W119" s="283"/>
      <c r="X119" s="354"/>
      <c r="Y119" s="283"/>
    </row>
    <row r="120" spans="1:25" s="104" customFormat="1">
      <c r="A120" s="303">
        <v>44216</v>
      </c>
      <c r="B120" s="290">
        <v>44153</v>
      </c>
      <c r="C120" s="575">
        <v>16079</v>
      </c>
      <c r="D120" s="284">
        <v>12227</v>
      </c>
      <c r="E120" s="290">
        <v>42054</v>
      </c>
      <c r="F120" s="283">
        <v>22</v>
      </c>
      <c r="G120" s="283" t="s">
        <v>370</v>
      </c>
      <c r="H120" s="283" t="s">
        <v>124</v>
      </c>
      <c r="I120" s="354"/>
      <c r="J120" s="285">
        <v>82</v>
      </c>
      <c r="K120" s="354"/>
      <c r="L120" s="285">
        <v>150</v>
      </c>
      <c r="M120" s="553">
        <f>M109+L120*14*41.39</f>
        <v>111296.166</v>
      </c>
      <c r="N120" s="283" t="s">
        <v>366</v>
      </c>
      <c r="O120" s="354"/>
      <c r="P120" s="286" t="s">
        <v>121</v>
      </c>
      <c r="Q120" s="283" t="s">
        <v>364</v>
      </c>
      <c r="R120" s="354"/>
      <c r="S120" s="286" t="s">
        <v>100</v>
      </c>
      <c r="T120" s="286" t="s">
        <v>100</v>
      </c>
      <c r="U120" s="354"/>
      <c r="V120" s="286" t="s">
        <v>100</v>
      </c>
      <c r="W120" s="286" t="s">
        <v>100</v>
      </c>
      <c r="X120" s="354"/>
      <c r="Y120" s="286" t="s">
        <v>100</v>
      </c>
    </row>
    <row r="121" spans="1:25">
      <c r="A121" s="277" t="s">
        <v>151</v>
      </c>
      <c r="B121" s="290">
        <v>44460</v>
      </c>
      <c r="C121" s="277" t="s">
        <v>151</v>
      </c>
      <c r="D121" s="284" t="s">
        <v>200</v>
      </c>
      <c r="E121" s="290">
        <v>39073</v>
      </c>
      <c r="F121" s="283">
        <v>16</v>
      </c>
      <c r="G121" s="283" t="s">
        <v>258</v>
      </c>
      <c r="H121" s="283"/>
      <c r="I121" s="354"/>
      <c r="J121" s="285"/>
      <c r="K121" s="354"/>
      <c r="L121" s="285">
        <v>150</v>
      </c>
      <c r="M121" s="369">
        <f>M114+10*L121*59.13075</f>
        <v>169586.99099999998</v>
      </c>
      <c r="N121" s="322" t="s">
        <v>237</v>
      </c>
      <c r="O121" s="354"/>
      <c r="P121" s="286" t="s">
        <v>100</v>
      </c>
      <c r="Q121" s="283"/>
      <c r="R121" s="354"/>
      <c r="S121" s="283"/>
      <c r="T121" s="283"/>
      <c r="U121" s="354"/>
      <c r="V121" s="283"/>
      <c r="W121" s="283"/>
      <c r="X121" s="354"/>
      <c r="Y121" s="283"/>
    </row>
    <row r="122" spans="1:25">
      <c r="A122" s="277" t="s">
        <v>151</v>
      </c>
      <c r="B122" s="292">
        <v>45084</v>
      </c>
      <c r="C122" s="277" t="s">
        <v>151</v>
      </c>
      <c r="D122" s="284" t="s">
        <v>231</v>
      </c>
      <c r="E122" s="290">
        <v>32394</v>
      </c>
      <c r="F122" s="283">
        <v>16</v>
      </c>
      <c r="G122" s="283" t="s">
        <v>257</v>
      </c>
      <c r="H122" s="286" t="s">
        <v>100</v>
      </c>
      <c r="I122" s="354"/>
      <c r="J122" s="286" t="s">
        <v>100</v>
      </c>
      <c r="K122" s="354"/>
      <c r="L122" s="285">
        <v>150</v>
      </c>
      <c r="M122" s="369">
        <f>M96+40*L122*29</f>
        <v>201673.19099999999</v>
      </c>
      <c r="N122" s="283" t="s">
        <v>101</v>
      </c>
      <c r="O122" s="354"/>
      <c r="P122" s="286" t="s">
        <v>100</v>
      </c>
      <c r="Q122" s="322" t="s">
        <v>127</v>
      </c>
      <c r="R122" s="354"/>
      <c r="S122" s="286" t="s">
        <v>121</v>
      </c>
      <c r="T122" s="286" t="s">
        <v>100</v>
      </c>
      <c r="U122" s="354"/>
      <c r="V122" s="286" t="s">
        <v>100</v>
      </c>
      <c r="W122" s="283"/>
      <c r="X122" s="354"/>
      <c r="Y122" s="283"/>
    </row>
    <row r="123" spans="1:25">
      <c r="A123" s="303">
        <v>45174</v>
      </c>
      <c r="B123" s="290">
        <v>44924</v>
      </c>
      <c r="C123" s="575">
        <v>17246</v>
      </c>
      <c r="D123" s="418">
        <v>8546</v>
      </c>
      <c r="E123" s="365">
        <v>39902</v>
      </c>
      <c r="F123" s="283">
        <v>27</v>
      </c>
      <c r="G123" s="283" t="s">
        <v>422</v>
      </c>
      <c r="H123" s="283" t="s">
        <v>124</v>
      </c>
      <c r="I123" s="354"/>
      <c r="J123" s="285">
        <v>65.510000000000005</v>
      </c>
      <c r="K123" s="354"/>
      <c r="L123" s="285">
        <v>65.52</v>
      </c>
      <c r="M123" s="336">
        <f>M92+L123*3*66.612</f>
        <v>147782.71871999998</v>
      </c>
      <c r="N123" s="286" t="s">
        <v>100</v>
      </c>
      <c r="O123" s="354"/>
      <c r="P123" s="283"/>
      <c r="Q123" s="286" t="s">
        <v>100</v>
      </c>
      <c r="R123" s="354"/>
      <c r="S123" s="283"/>
      <c r="T123" s="286" t="s">
        <v>100</v>
      </c>
      <c r="U123" s="354"/>
      <c r="V123" s="283"/>
      <c r="W123" s="286" t="s">
        <v>100</v>
      </c>
      <c r="X123" s="354"/>
    </row>
    <row r="124" spans="1:25">
      <c r="A124" s="289" t="s">
        <v>151</v>
      </c>
      <c r="B124" s="290">
        <v>45183</v>
      </c>
      <c r="C124" s="289" t="s">
        <v>151</v>
      </c>
      <c r="D124" s="284" t="s">
        <v>224</v>
      </c>
      <c r="E124" s="290">
        <v>41988</v>
      </c>
      <c r="F124" s="283">
        <v>16</v>
      </c>
      <c r="G124" s="283" t="s">
        <v>133</v>
      </c>
      <c r="H124" s="283"/>
      <c r="I124" s="354"/>
      <c r="J124" s="369"/>
      <c r="K124" s="354"/>
      <c r="L124" s="369">
        <v>80</v>
      </c>
      <c r="M124" s="369">
        <f>M119+L124*3*78.66</f>
        <v>59939.102699999989</v>
      </c>
      <c r="N124" s="286" t="s">
        <v>100</v>
      </c>
      <c r="O124" s="354"/>
      <c r="P124" s="283"/>
      <c r="Q124" s="286" t="s">
        <v>100</v>
      </c>
      <c r="R124" s="354"/>
      <c r="S124" s="283"/>
      <c r="T124" s="286" t="s">
        <v>100</v>
      </c>
      <c r="U124" s="354"/>
      <c r="V124" s="283"/>
      <c r="W124" s="283"/>
      <c r="X124" s="354"/>
      <c r="Y124" s="283"/>
    </row>
    <row r="125" spans="1:25">
      <c r="A125" s="289" t="s">
        <v>151</v>
      </c>
      <c r="B125" s="290">
        <v>45827</v>
      </c>
      <c r="C125" s="289" t="s">
        <v>151</v>
      </c>
      <c r="D125" s="284">
        <v>12428</v>
      </c>
      <c r="E125" s="328">
        <v>34962</v>
      </c>
      <c r="F125" s="283">
        <v>16</v>
      </c>
      <c r="G125" s="283" t="s">
        <v>230</v>
      </c>
      <c r="H125" s="289" t="s">
        <v>151</v>
      </c>
      <c r="I125" s="354"/>
      <c r="J125" s="286" t="s">
        <v>100</v>
      </c>
      <c r="K125" s="354"/>
      <c r="L125" s="285">
        <v>72</v>
      </c>
      <c r="M125" s="369">
        <f>M118+40*L125*24.526</f>
        <v>109282.52362142334</v>
      </c>
      <c r="N125" s="283"/>
      <c r="O125" s="354"/>
      <c r="P125" s="283"/>
      <c r="Q125" s="283"/>
      <c r="R125" s="354"/>
      <c r="S125" s="283"/>
      <c r="T125" s="283"/>
      <c r="U125" s="354"/>
      <c r="V125" s="283"/>
      <c r="W125" s="283"/>
      <c r="X125" s="354"/>
      <c r="Y125" s="283"/>
    </row>
    <row r="126" spans="1:25">
      <c r="A126" s="289" t="s">
        <v>151</v>
      </c>
      <c r="B126" s="290">
        <v>46279</v>
      </c>
      <c r="C126" s="289" t="s">
        <v>151</v>
      </c>
      <c r="D126" s="284" t="s">
        <v>224</v>
      </c>
      <c r="E126" s="290">
        <v>41988</v>
      </c>
      <c r="F126" s="283">
        <v>16</v>
      </c>
      <c r="G126" s="283" t="s">
        <v>133</v>
      </c>
      <c r="H126" s="283"/>
      <c r="I126" s="354"/>
      <c r="J126" s="369">
        <v>80</v>
      </c>
      <c r="K126" s="354"/>
      <c r="L126" s="369">
        <v>80</v>
      </c>
      <c r="M126" s="369">
        <f>M124+L126*3*78.66</f>
        <v>78817.502699999983</v>
      </c>
      <c r="N126" s="286" t="s">
        <v>100</v>
      </c>
      <c r="O126" s="354"/>
      <c r="P126" s="283"/>
      <c r="Q126" s="286" t="s">
        <v>100</v>
      </c>
      <c r="R126" s="354"/>
      <c r="S126" s="283"/>
      <c r="T126" s="286" t="s">
        <v>100</v>
      </c>
      <c r="U126" s="354"/>
      <c r="V126" s="283"/>
      <c r="W126" s="283"/>
      <c r="X126" s="354"/>
      <c r="Y126" s="283"/>
    </row>
    <row r="127" spans="1:25">
      <c r="A127" s="289" t="s">
        <v>151</v>
      </c>
      <c r="B127" s="290">
        <v>46738</v>
      </c>
      <c r="C127" s="277" t="s">
        <v>151</v>
      </c>
      <c r="D127" s="284" t="s">
        <v>199</v>
      </c>
      <c r="E127" s="328">
        <v>27106</v>
      </c>
      <c r="F127" s="283">
        <v>60</v>
      </c>
      <c r="G127" s="283" t="s">
        <v>273</v>
      </c>
      <c r="H127" s="286" t="s">
        <v>100</v>
      </c>
      <c r="I127" s="354"/>
      <c r="J127" s="285">
        <f t="shared" ref="J127" si="22">I127/340.75</f>
        <v>0</v>
      </c>
      <c r="K127" s="354"/>
      <c r="L127" s="369">
        <v>72</v>
      </c>
      <c r="M127" s="369" t="e">
        <f>M115+2*L127*28.646</f>
        <v>#REF!</v>
      </c>
      <c r="N127" s="286" t="s">
        <v>100</v>
      </c>
      <c r="O127" s="354"/>
      <c r="P127" s="283"/>
      <c r="Q127" s="286" t="s">
        <v>100</v>
      </c>
      <c r="R127" s="354"/>
      <c r="S127" s="283"/>
      <c r="T127" s="286" t="s">
        <v>100</v>
      </c>
      <c r="U127" s="354"/>
      <c r="V127" s="283"/>
      <c r="W127" s="286" t="s">
        <v>100</v>
      </c>
      <c r="X127" s="354"/>
      <c r="Y127" s="283"/>
    </row>
    <row r="128" spans="1:25">
      <c r="A128" s="289" t="s">
        <v>151</v>
      </c>
      <c r="B128" s="290">
        <v>47375</v>
      </c>
      <c r="C128" s="289" t="s">
        <v>151</v>
      </c>
      <c r="D128" s="284" t="s">
        <v>224</v>
      </c>
      <c r="E128" s="290">
        <v>41988</v>
      </c>
      <c r="F128" s="283">
        <v>16</v>
      </c>
      <c r="G128" s="283" t="s">
        <v>238</v>
      </c>
      <c r="H128" s="283"/>
      <c r="I128" s="354"/>
      <c r="J128" s="369"/>
      <c r="K128" s="354"/>
      <c r="L128" s="369">
        <v>80</v>
      </c>
      <c r="M128" s="369">
        <f>M126+L128*10*78.66</f>
        <v>141745.50269999998</v>
      </c>
      <c r="N128" s="286"/>
      <c r="O128" s="354"/>
      <c r="P128" s="283"/>
      <c r="Q128" s="286"/>
      <c r="R128" s="354"/>
      <c r="S128" s="283"/>
      <c r="T128" s="286"/>
      <c r="U128" s="354"/>
      <c r="V128" s="283"/>
      <c r="W128" s="283"/>
      <c r="X128" s="354"/>
      <c r="Y128" s="283"/>
    </row>
    <row r="129" spans="1:25">
      <c r="A129" s="289"/>
      <c r="B129" s="365"/>
      <c r="C129" s="289"/>
      <c r="D129" s="284"/>
      <c r="E129" s="290"/>
      <c r="F129" s="283"/>
      <c r="G129" s="283"/>
      <c r="H129" s="283"/>
      <c r="I129" s="354"/>
      <c r="J129" s="369"/>
      <c r="K129" s="354"/>
      <c r="L129" s="369"/>
      <c r="M129" s="369"/>
      <c r="N129" s="286"/>
      <c r="O129" s="354"/>
      <c r="P129" s="283"/>
      <c r="Q129" s="286"/>
      <c r="R129" s="354"/>
      <c r="S129" s="283"/>
      <c r="T129" s="286"/>
      <c r="U129" s="354"/>
      <c r="V129" s="283"/>
      <c r="W129" s="283"/>
      <c r="X129" s="354"/>
      <c r="Y129" s="283"/>
    </row>
    <row r="130" spans="1:25">
      <c r="A130" s="277" t="s">
        <v>151</v>
      </c>
      <c r="B130" s="290">
        <v>48112</v>
      </c>
      <c r="C130" s="277" t="s">
        <v>151</v>
      </c>
      <c r="D130" s="284" t="s">
        <v>200</v>
      </c>
      <c r="E130" s="290">
        <v>39073</v>
      </c>
      <c r="F130" s="283">
        <v>16</v>
      </c>
      <c r="G130" s="283" t="s">
        <v>235</v>
      </c>
      <c r="H130" s="283"/>
      <c r="I130" s="354"/>
      <c r="J130" s="369"/>
      <c r="K130" s="354"/>
      <c r="L130" s="350"/>
      <c r="M130" s="350"/>
      <c r="N130" s="286"/>
      <c r="O130" s="354"/>
      <c r="P130" s="283"/>
      <c r="Q130" s="286"/>
      <c r="R130" s="354"/>
      <c r="S130" s="283"/>
      <c r="T130" s="286"/>
      <c r="U130" s="354"/>
      <c r="V130" s="283"/>
      <c r="W130" s="283"/>
      <c r="X130" s="354"/>
      <c r="Y130" s="283"/>
    </row>
    <row r="131" spans="1:25">
      <c r="A131" s="289"/>
      <c r="B131" s="290"/>
      <c r="C131" s="289"/>
      <c r="D131" s="284"/>
      <c r="E131" s="290"/>
      <c r="F131" s="283"/>
      <c r="G131" s="283"/>
      <c r="H131" s="283"/>
      <c r="I131" s="354"/>
      <c r="J131" s="369"/>
      <c r="K131" s="354"/>
      <c r="L131" s="369"/>
      <c r="M131" s="369"/>
      <c r="N131" s="286"/>
      <c r="O131" s="354"/>
      <c r="P131" s="283"/>
      <c r="Q131" s="286"/>
      <c r="R131" s="354"/>
      <c r="S131" s="283"/>
      <c r="T131" s="286"/>
      <c r="U131" s="354"/>
      <c r="V131" s="283"/>
      <c r="W131" s="283"/>
      <c r="X131" s="354"/>
      <c r="Y131" s="283"/>
    </row>
    <row r="132" spans="1:25">
      <c r="A132" s="277" t="s">
        <v>151</v>
      </c>
      <c r="B132" s="292">
        <v>56042</v>
      </c>
      <c r="C132" s="277" t="s">
        <v>151</v>
      </c>
      <c r="D132" s="284" t="s">
        <v>231</v>
      </c>
      <c r="E132" s="290">
        <v>32394</v>
      </c>
      <c r="F132" s="283">
        <v>16</v>
      </c>
      <c r="G132" s="283" t="s">
        <v>94</v>
      </c>
      <c r="H132" s="286" t="s">
        <v>100</v>
      </c>
      <c r="I132" s="354"/>
      <c r="J132" s="285"/>
      <c r="K132" s="354"/>
      <c r="L132" s="350">
        <f t="shared" ref="L132" si="23">K132/340.75</f>
        <v>0</v>
      </c>
      <c r="M132" s="350"/>
      <c r="N132" s="283" t="s">
        <v>101</v>
      </c>
      <c r="O132" s="354"/>
      <c r="P132" s="285"/>
      <c r="Q132" s="322" t="s">
        <v>127</v>
      </c>
      <c r="R132" s="354"/>
      <c r="S132" s="286" t="s">
        <v>121</v>
      </c>
      <c r="T132" s="286" t="s">
        <v>100</v>
      </c>
      <c r="U132" s="354"/>
      <c r="V132" s="283"/>
      <c r="W132" s="283"/>
      <c r="X132" s="354"/>
      <c r="Y132" s="283"/>
    </row>
    <row r="133" spans="1:25">
      <c r="A133" s="290"/>
      <c r="B133" s="290"/>
      <c r="C133" s="284"/>
      <c r="D133" s="284"/>
      <c r="E133" s="328"/>
      <c r="F133" s="283"/>
      <c r="G133" s="283"/>
      <c r="H133" s="283"/>
      <c r="I133" s="354"/>
      <c r="J133" s="285"/>
      <c r="K133" s="354"/>
      <c r="L133" s="285"/>
      <c r="M133" s="285"/>
      <c r="N133" s="283"/>
      <c r="O133" s="354"/>
      <c r="P133" s="283"/>
      <c r="Q133" s="283"/>
      <c r="R133" s="354"/>
      <c r="S133" s="285">
        <f t="shared" ref="S133" si="24">R133/340.75</f>
        <v>0</v>
      </c>
      <c r="T133" s="283"/>
      <c r="U133" s="354"/>
      <c r="V133" s="283"/>
      <c r="W133" s="283"/>
      <c r="X133" s="354"/>
      <c r="Y133" s="283"/>
    </row>
    <row r="135" spans="1:25">
      <c r="M135" s="406" t="s">
        <v>255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136"/>
  <sheetViews>
    <sheetView workbookViewId="0">
      <pane ySplit="1" topLeftCell="A20" activePane="bottomLeft" state="frozen"/>
      <selection pane="bottomLeft" activeCell="A23" sqref="A23:XFD23"/>
    </sheetView>
  </sheetViews>
  <sheetFormatPr defaultRowHeight="11.25"/>
  <cols>
    <col min="1" max="1" width="6.88671875" style="291" bestFit="1" customWidth="1"/>
    <col min="2" max="2" width="6.88671875" style="291" customWidth="1"/>
    <col min="3" max="3" width="6.33203125" style="41" bestFit="1" customWidth="1"/>
    <col min="4" max="4" width="9.6640625" style="41" bestFit="1" customWidth="1"/>
    <col min="5" max="5" width="6.77734375" style="393" bestFit="1" customWidth="1"/>
    <col min="6" max="6" width="4.33203125" style="1" customWidth="1"/>
    <col min="7" max="7" width="50.6640625" style="1" bestFit="1" customWidth="1"/>
    <col min="8" max="8" width="12.21875" style="1" bestFit="1" customWidth="1"/>
    <col min="9" max="9" width="22.77734375" style="1" bestFit="1" customWidth="1"/>
    <col min="10" max="10" width="5.6640625" style="1" bestFit="1" customWidth="1"/>
    <col min="11" max="11" width="8" style="1" bestFit="1" customWidth="1"/>
    <col min="12" max="12" width="8.6640625" style="42" bestFit="1" customWidth="1"/>
    <col min="13" max="13" width="8.6640625" style="42" customWidth="1"/>
    <col min="14" max="14" width="29.88671875" style="1" bestFit="1" customWidth="1"/>
    <col min="15" max="15" width="12.44140625" style="1" bestFit="1" customWidth="1"/>
    <col min="16" max="16" width="18.88671875" style="1" bestFit="1" customWidth="1"/>
    <col min="17" max="17" width="18.109375" style="1" bestFit="1" customWidth="1"/>
    <col min="18" max="18" width="12.109375" style="1" bestFit="1" customWidth="1"/>
    <col min="19" max="19" width="14.5546875" style="1" bestFit="1" customWidth="1"/>
    <col min="20" max="20" width="24.109375" style="1" bestFit="1" customWidth="1"/>
    <col min="21" max="21" width="12.44140625" style="1" bestFit="1" customWidth="1"/>
    <col min="22" max="22" width="8.88671875" style="1"/>
    <col min="23" max="23" width="35.5546875" style="1" bestFit="1" customWidth="1"/>
    <col min="24" max="24" width="12.44140625" style="1" bestFit="1" customWidth="1"/>
    <col min="25" max="25" width="14.5546875" style="1" bestFit="1" customWidth="1"/>
    <col min="26" max="16384" width="8.88671875" style="1"/>
  </cols>
  <sheetData>
    <row r="1" spans="1:25">
      <c r="A1" s="289" t="s">
        <v>107</v>
      </c>
      <c r="B1" s="289" t="s">
        <v>196</v>
      </c>
      <c r="C1" s="277" t="s">
        <v>90</v>
      </c>
      <c r="D1" s="277" t="s">
        <v>104</v>
      </c>
      <c r="E1" s="392" t="s">
        <v>197</v>
      </c>
      <c r="F1" s="276">
        <v>219</v>
      </c>
      <c r="G1" s="276" t="s">
        <v>93</v>
      </c>
      <c r="H1" s="278" t="s">
        <v>91</v>
      </c>
      <c r="I1" s="278" t="s">
        <v>92</v>
      </c>
      <c r="J1" s="278" t="s">
        <v>98</v>
      </c>
      <c r="K1" s="288" t="s">
        <v>106</v>
      </c>
      <c r="L1" s="356" t="s">
        <v>98</v>
      </c>
      <c r="M1" s="405" t="s">
        <v>217</v>
      </c>
      <c r="N1" s="281" t="s">
        <v>96</v>
      </c>
      <c r="O1" s="282" t="s">
        <v>92</v>
      </c>
      <c r="P1" s="282" t="s">
        <v>98</v>
      </c>
      <c r="Q1" s="279" t="s">
        <v>99</v>
      </c>
      <c r="R1" s="280" t="s">
        <v>92</v>
      </c>
      <c r="S1" s="280" t="s">
        <v>98</v>
      </c>
      <c r="T1" s="281" t="s">
        <v>102</v>
      </c>
      <c r="U1" s="282" t="s">
        <v>92</v>
      </c>
      <c r="V1" s="282" t="s">
        <v>98</v>
      </c>
      <c r="W1" s="279" t="s">
        <v>103</v>
      </c>
      <c r="X1" s="280" t="s">
        <v>92</v>
      </c>
      <c r="Y1" s="280" t="s">
        <v>98</v>
      </c>
    </row>
    <row r="2" spans="1:25">
      <c r="A2" s="290"/>
      <c r="B2" s="290"/>
      <c r="C2" s="284"/>
      <c r="D2" s="284"/>
      <c r="E2" s="328"/>
      <c r="F2" s="283"/>
      <c r="G2" s="283"/>
      <c r="H2" s="283"/>
      <c r="I2" s="283"/>
      <c r="J2" s="285">
        <f>I2/340.75</f>
        <v>0</v>
      </c>
      <c r="K2" s="284"/>
      <c r="L2" s="285">
        <f t="shared" ref="J2:L59" si="0">K2/340.75</f>
        <v>0</v>
      </c>
      <c r="M2" s="285"/>
      <c r="N2" s="283"/>
      <c r="O2" s="283"/>
      <c r="P2" s="283"/>
      <c r="Q2" s="283"/>
      <c r="R2" s="283"/>
      <c r="S2" s="285">
        <f>R2/340.75</f>
        <v>0</v>
      </c>
      <c r="T2" s="283"/>
      <c r="U2" s="283"/>
      <c r="V2" s="283"/>
      <c r="W2" s="283"/>
      <c r="X2" s="283"/>
      <c r="Y2" s="283"/>
    </row>
    <row r="3" spans="1:25">
      <c r="A3" s="290">
        <v>26158</v>
      </c>
      <c r="B3" s="391"/>
      <c r="C3" s="284" t="s">
        <v>626</v>
      </c>
      <c r="D3" s="391"/>
      <c r="E3" s="391"/>
      <c r="F3" s="283">
        <v>24</v>
      </c>
      <c r="G3" s="283" t="s">
        <v>634</v>
      </c>
      <c r="H3" s="283" t="s">
        <v>625</v>
      </c>
      <c r="I3" s="806">
        <v>0.05</v>
      </c>
      <c r="J3" s="285"/>
      <c r="K3" s="310">
        <v>11111</v>
      </c>
      <c r="L3" s="350">
        <f t="shared" si="0"/>
        <v>32.607483492296403</v>
      </c>
      <c r="M3" s="350">
        <f>L3+3</f>
        <v>35.607483492296403</v>
      </c>
      <c r="N3" s="286" t="s">
        <v>100</v>
      </c>
      <c r="O3" s="283"/>
      <c r="P3" s="283"/>
      <c r="Q3" s="283"/>
      <c r="R3" s="283"/>
      <c r="S3" s="285">
        <f t="shared" ref="S3:S74" si="1">R3/340.75</f>
        <v>0</v>
      </c>
      <c r="T3" s="283"/>
      <c r="U3" s="283"/>
      <c r="V3" s="283"/>
      <c r="W3" s="809" t="s">
        <v>632</v>
      </c>
      <c r="X3" s="283"/>
      <c r="Y3" s="283"/>
    </row>
    <row r="4" spans="1:25">
      <c r="A4" s="290">
        <v>26597</v>
      </c>
      <c r="B4" s="391"/>
      <c r="C4" s="284" t="s">
        <v>396</v>
      </c>
      <c r="D4" s="391"/>
      <c r="E4" s="391"/>
      <c r="F4" s="283">
        <v>27</v>
      </c>
      <c r="G4" s="283" t="s">
        <v>385</v>
      </c>
      <c r="H4" s="283" t="s">
        <v>186</v>
      </c>
      <c r="I4" s="322" t="s">
        <v>386</v>
      </c>
      <c r="J4" s="285"/>
      <c r="K4" s="310">
        <v>111111</v>
      </c>
      <c r="L4" s="350">
        <f t="shared" si="0"/>
        <v>326.0777696258254</v>
      </c>
      <c r="M4" s="350">
        <f>L4*3</f>
        <v>978.23330887747625</v>
      </c>
      <c r="N4" s="286" t="s">
        <v>100</v>
      </c>
      <c r="O4" s="283"/>
      <c r="P4" s="283"/>
      <c r="Q4" s="286" t="s">
        <v>100</v>
      </c>
      <c r="R4" s="283"/>
      <c r="S4" s="285"/>
      <c r="T4" s="286" t="s">
        <v>100</v>
      </c>
      <c r="U4" s="283"/>
      <c r="V4" s="283"/>
      <c r="W4" s="286" t="s">
        <v>100</v>
      </c>
      <c r="X4" s="283"/>
      <c r="Y4" s="283"/>
    </row>
    <row r="5" spans="1:25">
      <c r="A5" s="328">
        <v>27106</v>
      </c>
      <c r="B5" s="354"/>
      <c r="C5" s="284" t="s">
        <v>399</v>
      </c>
      <c r="D5" s="355"/>
      <c r="E5" s="355"/>
      <c r="F5" s="283">
        <v>60</v>
      </c>
      <c r="G5" s="283" t="s">
        <v>185</v>
      </c>
      <c r="H5" s="283" t="s">
        <v>186</v>
      </c>
      <c r="I5" s="286" t="s">
        <v>100</v>
      </c>
      <c r="J5" s="285"/>
      <c r="K5" s="310">
        <v>75000</v>
      </c>
      <c r="L5" s="350">
        <f t="shared" si="0"/>
        <v>220.10271460014673</v>
      </c>
      <c r="M5" s="350">
        <f>L5*3</f>
        <v>660.30814380044012</v>
      </c>
      <c r="N5" s="286" t="s">
        <v>100</v>
      </c>
      <c r="O5" s="283"/>
      <c r="P5" s="283"/>
      <c r="Q5" s="286" t="s">
        <v>100</v>
      </c>
      <c r="R5" s="283"/>
      <c r="S5" s="285"/>
      <c r="T5" s="286" t="s">
        <v>100</v>
      </c>
      <c r="U5" s="283"/>
      <c r="V5" s="283"/>
      <c r="W5" s="286" t="s">
        <v>100</v>
      </c>
      <c r="X5" s="283"/>
      <c r="Y5" s="283"/>
    </row>
    <row r="6" spans="1:25" s="104" customFormat="1">
      <c r="A6" s="277" t="s">
        <v>151</v>
      </c>
      <c r="B6" s="365">
        <v>27161</v>
      </c>
      <c r="C6" s="277" t="s">
        <v>151</v>
      </c>
      <c r="D6" s="284" t="s">
        <v>626</v>
      </c>
      <c r="E6" s="290">
        <v>26158</v>
      </c>
      <c r="F6" s="283">
        <v>24</v>
      </c>
      <c r="G6" s="283" t="s">
        <v>634</v>
      </c>
      <c r="H6" s="277" t="s">
        <v>151</v>
      </c>
      <c r="I6" s="286" t="s">
        <v>100</v>
      </c>
      <c r="J6" s="369"/>
      <c r="K6" s="310">
        <v>11111</v>
      </c>
      <c r="L6" s="350">
        <f t="shared" ref="L6" si="2">K6/340.75</f>
        <v>32.607483492296403</v>
      </c>
      <c r="M6" s="350">
        <f>M3+3*L6</f>
        <v>133.42993396918561</v>
      </c>
      <c r="N6" s="286" t="s">
        <v>100</v>
      </c>
      <c r="O6" s="368"/>
      <c r="P6" s="368"/>
      <c r="Q6" s="419"/>
      <c r="R6" s="368"/>
      <c r="S6" s="369"/>
      <c r="T6" s="419"/>
      <c r="U6" s="368"/>
      <c r="V6" s="368"/>
      <c r="W6" s="419"/>
      <c r="X6" s="368"/>
      <c r="Y6" s="106"/>
    </row>
    <row r="7" spans="1:25" s="104" customFormat="1">
      <c r="A7" s="577">
        <v>27688</v>
      </c>
      <c r="B7" s="365">
        <v>27599</v>
      </c>
      <c r="C7" s="418">
        <v>2080</v>
      </c>
      <c r="D7" s="284" t="s">
        <v>396</v>
      </c>
      <c r="E7" s="290">
        <v>26597</v>
      </c>
      <c r="F7" s="368">
        <v>27</v>
      </c>
      <c r="G7" s="283" t="s">
        <v>385</v>
      </c>
      <c r="H7" s="368" t="s">
        <v>391</v>
      </c>
      <c r="I7" s="286" t="s">
        <v>100</v>
      </c>
      <c r="J7" s="369"/>
      <c r="K7" s="310">
        <v>111111</v>
      </c>
      <c r="L7" s="350">
        <f t="shared" ref="L7:L8" si="3">K7/340.75</f>
        <v>326.0777696258254</v>
      </c>
      <c r="M7" s="350">
        <f>M4+L7*3</f>
        <v>1956.4666177549525</v>
      </c>
      <c r="N7" s="286" t="s">
        <v>100</v>
      </c>
      <c r="O7" s="419"/>
      <c r="P7" s="286"/>
      <c r="Q7" s="286" t="s">
        <v>100</v>
      </c>
      <c r="R7" s="286"/>
      <c r="S7" s="368"/>
      <c r="T7" s="286" t="s">
        <v>100</v>
      </c>
      <c r="U7" s="368"/>
      <c r="V7" s="368"/>
      <c r="W7" s="286" t="s">
        <v>100</v>
      </c>
      <c r="X7" s="368"/>
    </row>
    <row r="8" spans="1:25" s="104" customFormat="1">
      <c r="A8" s="277" t="s">
        <v>151</v>
      </c>
      <c r="B8" s="365">
        <v>28257</v>
      </c>
      <c r="C8" s="277" t="s">
        <v>151</v>
      </c>
      <c r="D8" s="284" t="s">
        <v>626</v>
      </c>
      <c r="E8" s="290">
        <v>26158</v>
      </c>
      <c r="F8" s="283">
        <v>24</v>
      </c>
      <c r="G8" s="283" t="s">
        <v>634</v>
      </c>
      <c r="H8" s="277" t="s">
        <v>151</v>
      </c>
      <c r="I8" s="286" t="s">
        <v>100</v>
      </c>
      <c r="J8" s="369"/>
      <c r="K8" s="310">
        <v>11111</v>
      </c>
      <c r="L8" s="350">
        <f t="shared" si="3"/>
        <v>32.607483492296403</v>
      </c>
      <c r="M8" s="350">
        <f>M6+3*L8</f>
        <v>231.25238444607481</v>
      </c>
      <c r="N8" s="286" t="s">
        <v>100</v>
      </c>
      <c r="O8" s="419"/>
      <c r="P8" s="419"/>
      <c r="Q8" s="419"/>
      <c r="R8" s="419"/>
      <c r="S8" s="368"/>
      <c r="T8" s="419"/>
      <c r="U8" s="368"/>
      <c r="V8" s="368"/>
      <c r="W8" s="419"/>
      <c r="X8" s="368"/>
    </row>
    <row r="9" spans="1:25">
      <c r="A9" s="277" t="s">
        <v>151</v>
      </c>
      <c r="B9" s="290">
        <v>28476</v>
      </c>
      <c r="C9" s="277" t="s">
        <v>151</v>
      </c>
      <c r="D9" s="284" t="s">
        <v>199</v>
      </c>
      <c r="E9" s="328">
        <v>27106</v>
      </c>
      <c r="F9" s="283">
        <v>60</v>
      </c>
      <c r="G9" s="283" t="s">
        <v>189</v>
      </c>
      <c r="H9" s="286" t="s">
        <v>100</v>
      </c>
      <c r="I9" s="286" t="s">
        <v>100</v>
      </c>
      <c r="J9" s="285"/>
      <c r="K9" s="310">
        <v>75000</v>
      </c>
      <c r="L9" s="350">
        <f t="shared" si="0"/>
        <v>220.10271460014673</v>
      </c>
      <c r="M9" s="350">
        <f>M5+3*L9</f>
        <v>1320.6162876008802</v>
      </c>
      <c r="N9" s="286" t="s">
        <v>100</v>
      </c>
      <c r="O9" s="283"/>
      <c r="P9" s="283"/>
      <c r="Q9" s="286" t="s">
        <v>100</v>
      </c>
      <c r="R9" s="283"/>
      <c r="S9" s="285">
        <f t="shared" ref="S9:S29" si="4">R9/340.75</f>
        <v>0</v>
      </c>
      <c r="T9" s="286" t="s">
        <v>100</v>
      </c>
      <c r="U9" s="283"/>
      <c r="V9" s="283"/>
      <c r="W9" s="286" t="s">
        <v>100</v>
      </c>
      <c r="X9" s="283"/>
      <c r="Y9" s="283"/>
    </row>
    <row r="10" spans="1:25" s="104" customFormat="1">
      <c r="A10" s="580">
        <v>28783</v>
      </c>
      <c r="B10" s="365">
        <v>28695</v>
      </c>
      <c r="C10" s="418">
        <v>14400</v>
      </c>
      <c r="D10" s="284" t="s">
        <v>396</v>
      </c>
      <c r="E10" s="290">
        <v>26597</v>
      </c>
      <c r="F10" s="368">
        <v>27</v>
      </c>
      <c r="G10" s="283" t="s">
        <v>385</v>
      </c>
      <c r="H10" s="519" t="s">
        <v>395</v>
      </c>
      <c r="I10" s="322" t="s">
        <v>400</v>
      </c>
      <c r="J10" s="369"/>
      <c r="K10" s="310">
        <v>166666</v>
      </c>
      <c r="L10" s="350">
        <f t="shared" si="0"/>
        <v>489.11518708730739</v>
      </c>
      <c r="M10" s="350">
        <f>M7+L10*3</f>
        <v>3423.8121790168748</v>
      </c>
      <c r="N10" s="286" t="s">
        <v>100</v>
      </c>
      <c r="O10" s="419"/>
      <c r="P10" s="368"/>
      <c r="Q10" s="286" t="s">
        <v>100</v>
      </c>
      <c r="R10" s="419"/>
      <c r="S10" s="368"/>
      <c r="T10" s="286" t="s">
        <v>100</v>
      </c>
      <c r="U10" s="368"/>
      <c r="V10" s="368"/>
      <c r="W10" s="286" t="s">
        <v>100</v>
      </c>
      <c r="X10" s="368"/>
    </row>
    <row r="11" spans="1:25" s="104" customFormat="1">
      <c r="A11" s="277" t="s">
        <v>151</v>
      </c>
      <c r="B11" s="365">
        <v>29353</v>
      </c>
      <c r="C11" s="277" t="s">
        <v>151</v>
      </c>
      <c r="D11" s="284" t="s">
        <v>626</v>
      </c>
      <c r="E11" s="290">
        <v>26158</v>
      </c>
      <c r="F11" s="283">
        <v>24</v>
      </c>
      <c r="G11" s="283" t="s">
        <v>634</v>
      </c>
      <c r="H11" s="277" t="s">
        <v>151</v>
      </c>
      <c r="I11" s="286" t="s">
        <v>100</v>
      </c>
      <c r="J11" s="369"/>
      <c r="K11" s="310">
        <v>11111</v>
      </c>
      <c r="L11" s="350">
        <f t="shared" si="0"/>
        <v>32.607483492296403</v>
      </c>
      <c r="M11" s="350">
        <f>M8+3*L11</f>
        <v>329.07483492296399</v>
      </c>
      <c r="N11" s="286" t="s">
        <v>100</v>
      </c>
      <c r="O11" s="419"/>
      <c r="P11" s="368"/>
      <c r="Q11" s="419"/>
      <c r="R11" s="419"/>
      <c r="S11" s="368"/>
      <c r="T11" s="419"/>
      <c r="U11" s="368"/>
      <c r="V11" s="368"/>
      <c r="W11" s="419"/>
      <c r="X11" s="368"/>
    </row>
    <row r="12" spans="1:25">
      <c r="A12" s="277" t="s">
        <v>151</v>
      </c>
      <c r="B12" s="290">
        <v>29572</v>
      </c>
      <c r="C12" s="277" t="s">
        <v>151</v>
      </c>
      <c r="D12" s="284" t="s">
        <v>199</v>
      </c>
      <c r="E12" s="328">
        <v>27106</v>
      </c>
      <c r="F12" s="283">
        <v>60</v>
      </c>
      <c r="G12" s="283" t="s">
        <v>189</v>
      </c>
      <c r="H12" s="286" t="s">
        <v>100</v>
      </c>
      <c r="I12" s="286" t="s">
        <v>100</v>
      </c>
      <c r="J12" s="285"/>
      <c r="K12" s="310">
        <v>75000</v>
      </c>
      <c r="L12" s="350">
        <f t="shared" si="0"/>
        <v>220.10271460014673</v>
      </c>
      <c r="M12" s="350">
        <f>M9+3*L12</f>
        <v>1980.9244314013204</v>
      </c>
      <c r="N12" s="286" t="s">
        <v>100</v>
      </c>
      <c r="O12" s="283"/>
      <c r="P12" s="283"/>
      <c r="Q12" s="286" t="s">
        <v>100</v>
      </c>
      <c r="R12" s="283"/>
      <c r="S12" s="285">
        <f t="shared" si="4"/>
        <v>0</v>
      </c>
      <c r="T12" s="286" t="s">
        <v>100</v>
      </c>
      <c r="U12" s="283"/>
      <c r="V12" s="283"/>
      <c r="W12" s="286" t="s">
        <v>100</v>
      </c>
      <c r="X12" s="283"/>
      <c r="Y12" s="283"/>
    </row>
    <row r="13" spans="1:25" s="583" customFormat="1">
      <c r="A13" s="580">
        <v>29874</v>
      </c>
      <c r="B13" s="365">
        <v>29791</v>
      </c>
      <c r="C13" s="418">
        <v>18930</v>
      </c>
      <c r="D13" s="284" t="s">
        <v>396</v>
      </c>
      <c r="E13" s="290">
        <v>26597</v>
      </c>
      <c r="F13" s="368">
        <v>27</v>
      </c>
      <c r="G13" s="283" t="s">
        <v>385</v>
      </c>
      <c r="H13" s="519" t="s">
        <v>395</v>
      </c>
      <c r="I13" s="322" t="s">
        <v>400</v>
      </c>
      <c r="J13" s="369"/>
      <c r="K13" s="310">
        <v>166666</v>
      </c>
      <c r="L13" s="350">
        <f t="shared" ref="L13" si="5">K13/340.75</f>
        <v>489.11518708730739</v>
      </c>
      <c r="M13" s="350">
        <f>M10+3*L13</f>
        <v>4891.1577402787971</v>
      </c>
      <c r="N13" s="286" t="s">
        <v>100</v>
      </c>
      <c r="O13" s="519"/>
      <c r="P13" s="150"/>
      <c r="Q13" s="286" t="s">
        <v>100</v>
      </c>
      <c r="R13" s="519"/>
      <c r="S13" s="150"/>
      <c r="T13" s="286" t="s">
        <v>100</v>
      </c>
      <c r="U13" s="150"/>
      <c r="V13" s="150"/>
      <c r="W13" s="286" t="s">
        <v>100</v>
      </c>
      <c r="X13" s="150"/>
    </row>
    <row r="14" spans="1:25">
      <c r="A14" s="290">
        <v>29952</v>
      </c>
      <c r="B14" s="391"/>
      <c r="C14" s="576" t="s">
        <v>347</v>
      </c>
      <c r="D14" s="284" t="s">
        <v>199</v>
      </c>
      <c r="E14" s="328">
        <v>27106</v>
      </c>
      <c r="F14" s="283">
        <v>60</v>
      </c>
      <c r="G14" s="283" t="s">
        <v>188</v>
      </c>
      <c r="H14" s="283" t="s">
        <v>95</v>
      </c>
      <c r="I14" s="355"/>
      <c r="J14" s="403">
        <f t="shared" ref="J14" si="6">I14/340.75</f>
        <v>0</v>
      </c>
      <c r="K14" s="354"/>
      <c r="L14" s="403">
        <f t="shared" si="0"/>
        <v>0</v>
      </c>
      <c r="M14" s="403"/>
      <c r="N14" s="286" t="s">
        <v>100</v>
      </c>
      <c r="O14" s="283"/>
      <c r="P14" s="283"/>
      <c r="Q14" s="286" t="s">
        <v>100</v>
      </c>
      <c r="R14" s="283"/>
      <c r="S14" s="285">
        <f t="shared" si="4"/>
        <v>0</v>
      </c>
      <c r="T14" s="286" t="s">
        <v>100</v>
      </c>
      <c r="U14" s="283"/>
      <c r="V14" s="283"/>
      <c r="W14" s="286" t="s">
        <v>100</v>
      </c>
      <c r="X14" s="283"/>
      <c r="Y14" s="283"/>
    </row>
    <row r="15" spans="1:25" s="104" customFormat="1">
      <c r="A15" s="290">
        <v>30183</v>
      </c>
      <c r="B15" s="391"/>
      <c r="C15" s="576" t="s">
        <v>435</v>
      </c>
      <c r="D15" s="284" t="s">
        <v>396</v>
      </c>
      <c r="E15" s="290">
        <v>26597</v>
      </c>
      <c r="F15" s="283">
        <v>27</v>
      </c>
      <c r="G15" s="283" t="s">
        <v>380</v>
      </c>
      <c r="H15" s="283" t="s">
        <v>95</v>
      </c>
      <c r="I15" s="355"/>
      <c r="J15" s="579"/>
      <c r="K15" s="349"/>
      <c r="L15" s="349"/>
      <c r="M15" s="349"/>
      <c r="N15" s="584"/>
      <c r="O15" s="584"/>
      <c r="P15" s="584"/>
      <c r="Q15" s="579"/>
      <c r="R15" s="584"/>
      <c r="S15" s="584"/>
      <c r="T15" s="579"/>
      <c r="U15" s="578"/>
      <c r="V15" s="578"/>
      <c r="W15" s="578"/>
      <c r="X15" s="578"/>
      <c r="Y15" s="588"/>
    </row>
    <row r="16" spans="1:25" s="104" customFormat="1">
      <c r="A16" s="277" t="s">
        <v>151</v>
      </c>
      <c r="B16" s="365">
        <v>30448</v>
      </c>
      <c r="C16" s="277" t="s">
        <v>151</v>
      </c>
      <c r="D16" s="284" t="s">
        <v>626</v>
      </c>
      <c r="E16" s="290">
        <v>26158</v>
      </c>
      <c r="F16" s="283">
        <v>24</v>
      </c>
      <c r="G16" s="283" t="s">
        <v>634</v>
      </c>
      <c r="H16" s="277" t="s">
        <v>151</v>
      </c>
      <c r="I16" s="286" t="s">
        <v>100</v>
      </c>
      <c r="J16" s="369"/>
      <c r="K16" s="310">
        <v>11111</v>
      </c>
      <c r="L16" s="350">
        <f t="shared" ref="L16" si="7">K16/340.75</f>
        <v>32.607483492296403</v>
      </c>
      <c r="M16" s="350">
        <f>M11+3*L16</f>
        <v>426.89728539985322</v>
      </c>
      <c r="N16" s="286" t="s">
        <v>100</v>
      </c>
      <c r="O16" s="419"/>
      <c r="P16" s="419"/>
      <c r="Q16" s="369"/>
      <c r="R16" s="419"/>
      <c r="S16" s="419"/>
      <c r="T16" s="369"/>
      <c r="U16" s="368"/>
      <c r="V16" s="368"/>
      <c r="W16" s="368"/>
      <c r="X16" s="368"/>
    </row>
    <row r="17" spans="1:25">
      <c r="A17" s="277" t="s">
        <v>151</v>
      </c>
      <c r="B17" s="290">
        <v>30667</v>
      </c>
      <c r="C17" s="277" t="s">
        <v>151</v>
      </c>
      <c r="D17" s="284" t="s">
        <v>199</v>
      </c>
      <c r="E17" s="328">
        <v>27106</v>
      </c>
      <c r="F17" s="283">
        <v>60</v>
      </c>
      <c r="G17" s="283" t="s">
        <v>189</v>
      </c>
      <c r="H17" s="286" t="s">
        <v>100</v>
      </c>
      <c r="I17" s="286" t="s">
        <v>100</v>
      </c>
      <c r="J17" s="285"/>
      <c r="K17" s="310">
        <v>75000</v>
      </c>
      <c r="L17" s="350">
        <f t="shared" si="0"/>
        <v>220.10271460014673</v>
      </c>
      <c r="M17" s="350">
        <f>M12+3*L17</f>
        <v>2641.2325752017605</v>
      </c>
      <c r="N17" s="286" t="s">
        <v>100</v>
      </c>
      <c r="O17" s="283"/>
      <c r="P17" s="283"/>
      <c r="Q17" s="286" t="s">
        <v>100</v>
      </c>
      <c r="R17" s="283"/>
      <c r="S17" s="285">
        <f t="shared" si="4"/>
        <v>0</v>
      </c>
      <c r="T17" s="286" t="s">
        <v>100</v>
      </c>
      <c r="U17" s="283"/>
      <c r="V17" s="283"/>
      <c r="W17" s="286" t="s">
        <v>100</v>
      </c>
      <c r="X17" s="283"/>
      <c r="Y17" s="283"/>
    </row>
    <row r="18" spans="1:25">
      <c r="A18" s="416" t="s">
        <v>151</v>
      </c>
      <c r="B18" s="365">
        <v>30887</v>
      </c>
      <c r="C18" s="286" t="s">
        <v>100</v>
      </c>
      <c r="D18" s="284" t="s">
        <v>396</v>
      </c>
      <c r="E18" s="290">
        <v>26597</v>
      </c>
      <c r="F18" s="368">
        <v>27</v>
      </c>
      <c r="G18" s="279" t="s">
        <v>398</v>
      </c>
      <c r="H18" s="286" t="s">
        <v>100</v>
      </c>
      <c r="I18" s="283"/>
      <c r="J18" s="285"/>
      <c r="K18" s="310">
        <v>166666</v>
      </c>
      <c r="L18" s="350">
        <f t="shared" si="0"/>
        <v>489.11518708730739</v>
      </c>
      <c r="M18" s="350">
        <f>M13+L18*10</f>
        <v>9782.3096111518716</v>
      </c>
      <c r="N18" s="286" t="s">
        <v>100</v>
      </c>
      <c r="O18" s="286"/>
      <c r="P18" s="283"/>
      <c r="Q18" s="286" t="s">
        <v>100</v>
      </c>
      <c r="R18" s="286"/>
      <c r="S18" s="283"/>
      <c r="T18" s="286" t="s">
        <v>100</v>
      </c>
      <c r="U18" s="283"/>
      <c r="V18" s="283"/>
      <c r="W18" s="283"/>
      <c r="X18" s="283"/>
    </row>
    <row r="19" spans="1:25" s="104" customFormat="1">
      <c r="A19" s="681">
        <v>31324</v>
      </c>
      <c r="B19" s="391"/>
      <c r="C19" s="519" t="s">
        <v>627</v>
      </c>
      <c r="D19" s="284" t="s">
        <v>626</v>
      </c>
      <c r="E19" s="290">
        <v>26158</v>
      </c>
      <c r="F19" s="283">
        <v>24</v>
      </c>
      <c r="G19" s="283" t="s">
        <v>635</v>
      </c>
      <c r="H19" s="808" t="s">
        <v>628</v>
      </c>
      <c r="I19" s="814"/>
      <c r="J19" s="815"/>
      <c r="K19" s="816"/>
      <c r="L19" s="815"/>
      <c r="M19" s="815"/>
      <c r="N19" s="519"/>
      <c r="O19" s="519"/>
      <c r="P19" s="150"/>
      <c r="Q19" s="419"/>
      <c r="R19" s="419"/>
      <c r="S19" s="368"/>
      <c r="T19" s="419" t="s">
        <v>629</v>
      </c>
      <c r="U19" s="368"/>
      <c r="V19" s="368"/>
      <c r="W19" s="519" t="s">
        <v>633</v>
      </c>
      <c r="X19" s="368"/>
    </row>
    <row r="20" spans="1:25" s="583" customFormat="1">
      <c r="A20" s="580">
        <v>31629</v>
      </c>
      <c r="B20" s="365">
        <v>31544</v>
      </c>
      <c r="C20" s="576" t="s">
        <v>630</v>
      </c>
      <c r="D20" s="284" t="s">
        <v>626</v>
      </c>
      <c r="E20" s="290">
        <v>26158</v>
      </c>
      <c r="F20" s="283">
        <v>24</v>
      </c>
      <c r="G20" s="283" t="s">
        <v>636</v>
      </c>
      <c r="H20" s="808" t="s">
        <v>95</v>
      </c>
      <c r="I20" s="286" t="s">
        <v>361</v>
      </c>
      <c r="J20" s="287" t="s">
        <v>105</v>
      </c>
      <c r="K20" s="310">
        <v>11111</v>
      </c>
      <c r="L20" s="350">
        <f t="shared" ref="L20" si="8">K20/340.75</f>
        <v>32.607483492296403</v>
      </c>
      <c r="M20" s="350">
        <f>M16+3*L20</f>
        <v>524.71973587674245</v>
      </c>
      <c r="N20" s="286" t="s">
        <v>100</v>
      </c>
      <c r="O20" s="286" t="s">
        <v>100</v>
      </c>
      <c r="P20" s="286" t="s">
        <v>100</v>
      </c>
      <c r="Q20" s="286" t="s">
        <v>100</v>
      </c>
      <c r="R20" s="286" t="s">
        <v>100</v>
      </c>
      <c r="S20" s="286" t="s">
        <v>100</v>
      </c>
      <c r="T20" s="368" t="s">
        <v>631</v>
      </c>
      <c r="U20" s="286" t="s">
        <v>121</v>
      </c>
      <c r="V20" s="150"/>
      <c r="W20" s="286" t="s">
        <v>100</v>
      </c>
      <c r="X20" s="286" t="s">
        <v>100</v>
      </c>
      <c r="Y20" s="286" t="s">
        <v>100</v>
      </c>
    </row>
    <row r="21" spans="1:25">
      <c r="A21" s="277" t="s">
        <v>151</v>
      </c>
      <c r="B21" s="290">
        <v>31763</v>
      </c>
      <c r="C21" s="277" t="s">
        <v>151</v>
      </c>
      <c r="D21" s="284" t="s">
        <v>199</v>
      </c>
      <c r="E21" s="328">
        <v>27106</v>
      </c>
      <c r="F21" s="283">
        <v>60</v>
      </c>
      <c r="G21" s="283" t="s">
        <v>189</v>
      </c>
      <c r="H21" s="286" t="s">
        <v>100</v>
      </c>
      <c r="I21" s="286" t="s">
        <v>100</v>
      </c>
      <c r="J21" s="285"/>
      <c r="K21" s="310">
        <v>75000</v>
      </c>
      <c r="L21" s="350">
        <f t="shared" si="0"/>
        <v>220.10271460014673</v>
      </c>
      <c r="M21" s="350">
        <f>M17+L21*3</f>
        <v>3301.5407190022006</v>
      </c>
      <c r="N21" s="286" t="s">
        <v>100</v>
      </c>
      <c r="O21" s="283"/>
      <c r="P21" s="283"/>
      <c r="Q21" s="286" t="s">
        <v>100</v>
      </c>
      <c r="R21" s="283"/>
      <c r="S21" s="285">
        <f t="shared" si="4"/>
        <v>0</v>
      </c>
      <c r="T21" s="286" t="s">
        <v>100</v>
      </c>
      <c r="U21" s="283"/>
      <c r="V21" s="283"/>
      <c r="W21" s="286" t="s">
        <v>100</v>
      </c>
      <c r="X21" s="283"/>
      <c r="Y21" s="283"/>
    </row>
    <row r="22" spans="1:25">
      <c r="A22" s="290">
        <v>32394</v>
      </c>
      <c r="B22" s="391"/>
      <c r="C22" s="576" t="s">
        <v>231</v>
      </c>
      <c r="D22" s="355"/>
      <c r="E22" s="391"/>
      <c r="F22" s="283">
        <v>16</v>
      </c>
      <c r="G22" s="283" t="s">
        <v>256</v>
      </c>
      <c r="H22" s="283" t="s">
        <v>95</v>
      </c>
      <c r="I22" s="286" t="s">
        <v>361</v>
      </c>
      <c r="J22" s="287" t="s">
        <v>105</v>
      </c>
      <c r="K22" s="284">
        <f>29000*3</f>
        <v>87000</v>
      </c>
      <c r="L22" s="285">
        <f t="shared" ref="L22:L24" si="9">K22/340.75</f>
        <v>255.31914893617022</v>
      </c>
      <c r="M22" s="285">
        <f>L22</f>
        <v>255.31914893617022</v>
      </c>
      <c r="N22" s="283" t="s">
        <v>125</v>
      </c>
      <c r="O22" s="322" t="s">
        <v>218</v>
      </c>
      <c r="P22" s="322" t="s">
        <v>218</v>
      </c>
      <c r="Q22" s="322" t="s">
        <v>127</v>
      </c>
      <c r="R22" s="322" t="s">
        <v>218</v>
      </c>
      <c r="S22" s="285"/>
      <c r="T22" s="286" t="s">
        <v>100</v>
      </c>
      <c r="U22" s="286" t="s">
        <v>100</v>
      </c>
      <c r="V22" s="285"/>
      <c r="W22" s="286" t="s">
        <v>100</v>
      </c>
      <c r="X22" s="286" t="s">
        <v>100</v>
      </c>
      <c r="Y22" s="283"/>
    </row>
    <row r="23" spans="1:25" s="104" customFormat="1">
      <c r="A23" s="365">
        <v>32480</v>
      </c>
      <c r="B23" s="391"/>
      <c r="C23" s="576" t="s">
        <v>787</v>
      </c>
      <c r="D23" s="355"/>
      <c r="E23" s="391"/>
      <c r="F23" s="368">
        <v>170</v>
      </c>
      <c r="G23" s="283" t="s">
        <v>788</v>
      </c>
      <c r="H23" s="283" t="s">
        <v>95</v>
      </c>
      <c r="I23" s="286" t="s">
        <v>361</v>
      </c>
      <c r="J23" s="287" t="s">
        <v>105</v>
      </c>
      <c r="K23" s="310">
        <v>74074</v>
      </c>
      <c r="L23" s="350">
        <f t="shared" ref="L23" si="10">K23/340.75</f>
        <v>217.38517975055026</v>
      </c>
      <c r="M23" s="350">
        <f>L23*3</f>
        <v>652.15553925165079</v>
      </c>
      <c r="N23" s="368" t="s">
        <v>789</v>
      </c>
      <c r="O23" s="322" t="s">
        <v>218</v>
      </c>
      <c r="P23" s="419"/>
      <c r="Q23" s="519" t="s">
        <v>552</v>
      </c>
      <c r="R23" s="322" t="s">
        <v>218</v>
      </c>
      <c r="S23" s="418"/>
      <c r="T23" s="519" t="s">
        <v>551</v>
      </c>
      <c r="U23" s="322" t="s">
        <v>218</v>
      </c>
      <c r="V23" s="369"/>
      <c r="W23" s="286" t="s">
        <v>100</v>
      </c>
      <c r="X23" s="419"/>
      <c r="Y23" s="368"/>
    </row>
    <row r="24" spans="1:25" s="104" customFormat="1">
      <c r="A24" s="365">
        <v>32480</v>
      </c>
      <c r="B24" s="391"/>
      <c r="C24" s="576" t="s">
        <v>548</v>
      </c>
      <c r="D24" s="355"/>
      <c r="E24" s="391"/>
      <c r="F24" s="368">
        <v>170</v>
      </c>
      <c r="G24" s="283" t="s">
        <v>549</v>
      </c>
      <c r="H24" s="283" t="s">
        <v>95</v>
      </c>
      <c r="I24" s="286" t="s">
        <v>361</v>
      </c>
      <c r="J24" s="287" t="s">
        <v>105</v>
      </c>
      <c r="K24" s="310">
        <v>74074</v>
      </c>
      <c r="L24" s="350">
        <f t="shared" si="9"/>
        <v>217.38517975055026</v>
      </c>
      <c r="M24" s="350">
        <f>L24*3</f>
        <v>652.15553925165079</v>
      </c>
      <c r="N24" s="368" t="s">
        <v>550</v>
      </c>
      <c r="O24" s="322" t="s">
        <v>218</v>
      </c>
      <c r="P24" s="419"/>
      <c r="Q24" s="519" t="s">
        <v>552</v>
      </c>
      <c r="R24" s="322" t="s">
        <v>218</v>
      </c>
      <c r="S24" s="418"/>
      <c r="T24" s="519" t="s">
        <v>551</v>
      </c>
      <c r="U24" s="322" t="s">
        <v>218</v>
      </c>
      <c r="V24" s="369"/>
      <c r="W24" s="286" t="s">
        <v>100</v>
      </c>
      <c r="X24" s="419"/>
      <c r="Y24" s="368"/>
    </row>
    <row r="25" spans="1:25" s="104" customFormat="1">
      <c r="A25" s="290">
        <v>32508</v>
      </c>
      <c r="B25" s="391"/>
      <c r="C25" s="576" t="s">
        <v>346</v>
      </c>
      <c r="D25" s="355"/>
      <c r="E25" s="391"/>
      <c r="F25" s="283">
        <v>21</v>
      </c>
      <c r="G25" s="283" t="s">
        <v>349</v>
      </c>
      <c r="H25" s="283" t="s">
        <v>95</v>
      </c>
      <c r="I25" s="286" t="s">
        <v>361</v>
      </c>
      <c r="J25" s="287" t="s">
        <v>105</v>
      </c>
      <c r="K25" s="310">
        <v>75000</v>
      </c>
      <c r="L25" s="350">
        <f t="shared" si="0"/>
        <v>220.10271460014673</v>
      </c>
      <c r="M25" s="350">
        <f>L25*3</f>
        <v>660.30814380044012</v>
      </c>
      <c r="N25" s="283" t="s">
        <v>357</v>
      </c>
      <c r="O25" s="322" t="s">
        <v>218</v>
      </c>
      <c r="P25" s="322" t="s">
        <v>218</v>
      </c>
      <c r="Q25" s="283" t="s">
        <v>358</v>
      </c>
      <c r="R25" s="286" t="s">
        <v>121</v>
      </c>
      <c r="S25" s="369"/>
      <c r="T25" s="419"/>
      <c r="U25" s="419"/>
      <c r="V25" s="369"/>
      <c r="W25" s="419"/>
      <c r="X25" s="419"/>
      <c r="Y25" s="368"/>
    </row>
    <row r="26" spans="1:25">
      <c r="A26" s="290">
        <v>32583</v>
      </c>
      <c r="B26" s="290">
        <v>32859</v>
      </c>
      <c r="C26" s="284">
        <v>11827</v>
      </c>
      <c r="D26" s="284" t="s">
        <v>199</v>
      </c>
      <c r="E26" s="328">
        <v>27106</v>
      </c>
      <c r="F26" s="283">
        <v>60</v>
      </c>
      <c r="G26" s="283" t="s">
        <v>190</v>
      </c>
      <c r="H26" s="283" t="s">
        <v>191</v>
      </c>
      <c r="I26" s="286" t="s">
        <v>100</v>
      </c>
      <c r="J26" s="285"/>
      <c r="K26" s="310">
        <v>75000</v>
      </c>
      <c r="L26" s="350">
        <f t="shared" ref="L26" si="11">K26/340.75</f>
        <v>220.10271460014673</v>
      </c>
      <c r="M26" s="350">
        <f>M17+10*L26</f>
        <v>4842.2597212032279</v>
      </c>
      <c r="N26" s="286" t="s">
        <v>100</v>
      </c>
      <c r="O26" s="283"/>
      <c r="P26" s="283"/>
      <c r="Q26" s="286" t="s">
        <v>100</v>
      </c>
      <c r="R26" s="283"/>
      <c r="S26" s="285">
        <f t="shared" ref="S26" si="12">R26/340.75</f>
        <v>0</v>
      </c>
      <c r="T26" s="286" t="s">
        <v>100</v>
      </c>
      <c r="U26" s="283"/>
      <c r="V26" s="283"/>
      <c r="W26" s="286" t="s">
        <v>100</v>
      </c>
      <c r="X26" s="283"/>
      <c r="Y26" s="283"/>
    </row>
    <row r="27" spans="1:25" s="583" customFormat="1">
      <c r="A27" s="682">
        <v>32736</v>
      </c>
      <c r="B27" s="391"/>
      <c r="C27" s="576" t="s">
        <v>757</v>
      </c>
      <c r="D27" s="391"/>
      <c r="E27" s="682">
        <v>32736</v>
      </c>
      <c r="F27" s="150">
        <v>173</v>
      </c>
      <c r="G27" s="283" t="s">
        <v>758</v>
      </c>
      <c r="H27" s="283" t="s">
        <v>95</v>
      </c>
      <c r="I27" s="286" t="s">
        <v>761</v>
      </c>
      <c r="J27" s="287" t="s">
        <v>105</v>
      </c>
      <c r="K27" s="310">
        <v>22222</v>
      </c>
      <c r="L27" s="350">
        <f t="shared" ref="L27" si="13">K27/340.75</f>
        <v>65.214966984592806</v>
      </c>
      <c r="M27" s="818">
        <f>3*L27</f>
        <v>195.6449009537784</v>
      </c>
      <c r="N27" s="150" t="s">
        <v>764</v>
      </c>
      <c r="O27" s="286" t="s">
        <v>100</v>
      </c>
      <c r="P27" s="286" t="s">
        <v>100</v>
      </c>
      <c r="Q27" s="150" t="s">
        <v>763</v>
      </c>
      <c r="R27" s="286" t="s">
        <v>121</v>
      </c>
      <c r="S27" s="286" t="s">
        <v>121</v>
      </c>
      <c r="T27" s="519" t="s">
        <v>759</v>
      </c>
      <c r="U27" s="286" t="s">
        <v>100</v>
      </c>
      <c r="V27" s="286" t="s">
        <v>100</v>
      </c>
      <c r="W27" s="150" t="s">
        <v>762</v>
      </c>
      <c r="X27" s="286" t="s">
        <v>100</v>
      </c>
      <c r="Y27" s="286" t="s">
        <v>100</v>
      </c>
    </row>
    <row r="28" spans="1:25" s="104" customFormat="1">
      <c r="A28" s="290">
        <v>32754</v>
      </c>
      <c r="B28" s="391"/>
      <c r="C28" s="576" t="s">
        <v>427</v>
      </c>
      <c r="D28" s="391"/>
      <c r="E28" s="290">
        <v>32754</v>
      </c>
      <c r="F28" s="283">
        <v>29</v>
      </c>
      <c r="G28" s="283" t="s">
        <v>425</v>
      </c>
      <c r="H28" s="283" t="s">
        <v>95</v>
      </c>
      <c r="I28" s="286" t="s">
        <v>361</v>
      </c>
      <c r="J28" s="287" t="s">
        <v>105</v>
      </c>
      <c r="K28" s="310">
        <v>17778</v>
      </c>
      <c r="L28" s="350">
        <f t="shared" si="0"/>
        <v>52.173147468818783</v>
      </c>
      <c r="M28" s="350">
        <f>L28*3*24.567</f>
        <v>3845.2131415994127</v>
      </c>
      <c r="N28" s="283" t="s">
        <v>426</v>
      </c>
      <c r="O28" s="286" t="s">
        <v>100</v>
      </c>
      <c r="P28" s="368"/>
      <c r="Q28" s="286" t="s">
        <v>100</v>
      </c>
      <c r="R28" s="419"/>
      <c r="S28" s="369"/>
      <c r="T28" s="286" t="s">
        <v>100</v>
      </c>
      <c r="U28" s="419"/>
      <c r="V28" s="369"/>
      <c r="W28" s="286" t="s">
        <v>100</v>
      </c>
      <c r="X28" s="286" t="s">
        <v>100</v>
      </c>
      <c r="Y28" s="286" t="s">
        <v>100</v>
      </c>
    </row>
    <row r="29" spans="1:25">
      <c r="A29" s="290">
        <v>32975</v>
      </c>
      <c r="B29" s="391"/>
      <c r="C29" s="576" t="s">
        <v>428</v>
      </c>
      <c r="D29" s="284" t="s">
        <v>427</v>
      </c>
      <c r="E29" s="284">
        <v>32754</v>
      </c>
      <c r="F29" s="283">
        <v>29</v>
      </c>
      <c r="G29" s="283" t="s">
        <v>429</v>
      </c>
      <c r="H29" s="283" t="s">
        <v>95</v>
      </c>
      <c r="I29" s="286" t="s">
        <v>361</v>
      </c>
      <c r="J29" s="287" t="s">
        <v>105</v>
      </c>
      <c r="K29" s="310">
        <v>17778</v>
      </c>
      <c r="L29" s="350">
        <f t="shared" ref="L29:L31" si="14">K29/340.75</f>
        <v>52.173147468818783</v>
      </c>
      <c r="M29" s="350">
        <f>L29*3</f>
        <v>156.51944240645633</v>
      </c>
      <c r="N29" s="283"/>
      <c r="O29" s="283"/>
      <c r="P29" s="283"/>
      <c r="Q29" s="283"/>
      <c r="R29" s="283"/>
      <c r="S29" s="285">
        <f t="shared" si="4"/>
        <v>0</v>
      </c>
      <c r="T29" s="283"/>
      <c r="U29" s="283"/>
      <c r="V29" s="283"/>
      <c r="W29" s="283"/>
      <c r="X29" s="283"/>
      <c r="Y29" s="283"/>
    </row>
    <row r="30" spans="1:25">
      <c r="A30" s="290">
        <v>33042</v>
      </c>
      <c r="B30" s="391"/>
      <c r="C30" s="576" t="s">
        <v>471</v>
      </c>
      <c r="D30" s="391"/>
      <c r="E30" s="290">
        <v>33042</v>
      </c>
      <c r="F30" s="283">
        <v>23</v>
      </c>
      <c r="G30" s="283" t="s">
        <v>472</v>
      </c>
      <c r="H30" s="283" t="s">
        <v>95</v>
      </c>
      <c r="I30" s="286" t="s">
        <v>361</v>
      </c>
      <c r="J30" s="287" t="s">
        <v>105</v>
      </c>
      <c r="K30" s="418">
        <v>166667</v>
      </c>
      <c r="L30" s="369">
        <f t="shared" si="14"/>
        <v>489.11812179016874</v>
      </c>
      <c r="M30" s="369">
        <f>L30*3</f>
        <v>1467.3543653705062</v>
      </c>
      <c r="N30" s="283" t="s">
        <v>473</v>
      </c>
      <c r="O30" s="286" t="s">
        <v>100</v>
      </c>
      <c r="P30" s="283"/>
      <c r="Q30" s="283" t="s">
        <v>474</v>
      </c>
      <c r="R30" s="286" t="s">
        <v>121</v>
      </c>
      <c r="S30" s="285"/>
      <c r="T30" s="286" t="s">
        <v>100</v>
      </c>
      <c r="U30" s="283"/>
      <c r="V30" s="283"/>
      <c r="W30" s="286" t="s">
        <v>100</v>
      </c>
      <c r="X30" s="286" t="s">
        <v>100</v>
      </c>
      <c r="Y30" s="286" t="s">
        <v>100</v>
      </c>
    </row>
    <row r="31" spans="1:25" s="104" customFormat="1">
      <c r="A31" s="365">
        <v>33494</v>
      </c>
      <c r="B31" s="365">
        <v>33483</v>
      </c>
      <c r="C31" s="576" t="s">
        <v>553</v>
      </c>
      <c r="D31" s="365" t="s">
        <v>554</v>
      </c>
      <c r="E31" s="365">
        <v>32480</v>
      </c>
      <c r="F31" s="368">
        <v>170</v>
      </c>
      <c r="G31" s="283" t="s">
        <v>555</v>
      </c>
      <c r="H31" s="283" t="s">
        <v>95</v>
      </c>
      <c r="I31" s="286" t="s">
        <v>361</v>
      </c>
      <c r="J31" s="287" t="s">
        <v>105</v>
      </c>
      <c r="K31" s="310">
        <v>74074</v>
      </c>
      <c r="L31" s="350">
        <f t="shared" si="14"/>
        <v>217.38517975055026</v>
      </c>
      <c r="M31" s="350">
        <f>M24+L31*3</f>
        <v>1304.3110785033016</v>
      </c>
      <c r="N31" s="368" t="s">
        <v>550</v>
      </c>
      <c r="O31" s="322" t="s">
        <v>218</v>
      </c>
      <c r="P31" s="419"/>
      <c r="Q31" s="519" t="s">
        <v>552</v>
      </c>
      <c r="R31" s="322" t="s">
        <v>218</v>
      </c>
      <c r="S31" s="418"/>
      <c r="T31" s="519" t="s">
        <v>551</v>
      </c>
      <c r="U31" s="322" t="s">
        <v>218</v>
      </c>
      <c r="V31" s="369"/>
      <c r="W31" s="286" t="s">
        <v>100</v>
      </c>
      <c r="X31" s="286" t="s">
        <v>100</v>
      </c>
      <c r="Y31" s="286" t="s">
        <v>100</v>
      </c>
    </row>
    <row r="32" spans="1:25">
      <c r="A32" s="290">
        <v>33506</v>
      </c>
      <c r="B32" s="290">
        <v>33511</v>
      </c>
      <c r="C32" s="576" t="s">
        <v>433</v>
      </c>
      <c r="D32" s="284" t="s">
        <v>346</v>
      </c>
      <c r="E32" s="290">
        <v>32508</v>
      </c>
      <c r="F32" s="283">
        <v>21</v>
      </c>
      <c r="G32" s="283" t="s">
        <v>349</v>
      </c>
      <c r="H32" s="283" t="s">
        <v>95</v>
      </c>
      <c r="I32" s="286" t="s">
        <v>361</v>
      </c>
      <c r="J32" s="287" t="s">
        <v>105</v>
      </c>
      <c r="K32" s="310">
        <v>75000</v>
      </c>
      <c r="L32" s="350">
        <f t="shared" ref="L32" si="15">K32/340.75</f>
        <v>220.10271460014673</v>
      </c>
      <c r="M32" s="350">
        <f>M25+3*L32</f>
        <v>1320.6162876008802</v>
      </c>
      <c r="N32" s="283" t="s">
        <v>357</v>
      </c>
      <c r="O32" s="322" t="s">
        <v>218</v>
      </c>
      <c r="P32" s="322" t="s">
        <v>218</v>
      </c>
      <c r="Q32" s="283"/>
      <c r="R32" s="283"/>
      <c r="S32" s="285"/>
      <c r="T32" s="283"/>
      <c r="U32" s="283"/>
      <c r="V32" s="283"/>
      <c r="W32" s="283"/>
      <c r="X32" s="283"/>
      <c r="Y32" s="283"/>
    </row>
    <row r="33" spans="1:25">
      <c r="A33" s="303">
        <v>33515</v>
      </c>
      <c r="B33" s="292">
        <v>33396</v>
      </c>
      <c r="C33" s="576" t="s">
        <v>434</v>
      </c>
      <c r="D33" s="284" t="s">
        <v>231</v>
      </c>
      <c r="E33" s="290">
        <v>32394</v>
      </c>
      <c r="F33" s="283">
        <v>16</v>
      </c>
      <c r="G33" s="283" t="s">
        <v>256</v>
      </c>
      <c r="H33" s="283" t="s">
        <v>95</v>
      </c>
      <c r="I33" s="286" t="s">
        <v>361</v>
      </c>
      <c r="J33" s="287" t="s">
        <v>105</v>
      </c>
      <c r="K33" s="310">
        <v>75000</v>
      </c>
      <c r="L33" s="350">
        <f t="shared" si="0"/>
        <v>220.10271460014673</v>
      </c>
      <c r="M33" s="350">
        <f>M22+3*L33</f>
        <v>915.62729273661034</v>
      </c>
      <c r="N33" s="283" t="s">
        <v>101</v>
      </c>
      <c r="O33" s="286" t="s">
        <v>100</v>
      </c>
      <c r="P33" s="285"/>
      <c r="Q33" s="322" t="s">
        <v>127</v>
      </c>
      <c r="R33" s="286" t="s">
        <v>121</v>
      </c>
      <c r="S33" s="285"/>
      <c r="T33" s="286" t="s">
        <v>100</v>
      </c>
      <c r="U33" s="286" t="s">
        <v>100</v>
      </c>
      <c r="V33" s="285"/>
      <c r="W33" s="283" t="s">
        <v>101</v>
      </c>
      <c r="X33" s="286" t="s">
        <v>100</v>
      </c>
      <c r="Y33" s="286" t="s">
        <v>100</v>
      </c>
    </row>
    <row r="34" spans="1:25" s="583" customFormat="1">
      <c r="A34" s="682">
        <v>33738</v>
      </c>
      <c r="B34" s="682">
        <v>33770</v>
      </c>
      <c r="C34" s="576" t="s">
        <v>770</v>
      </c>
      <c r="D34" s="581" t="s">
        <v>757</v>
      </c>
      <c r="E34" s="682">
        <v>32736</v>
      </c>
      <c r="F34" s="150">
        <v>173</v>
      </c>
      <c r="G34" s="283" t="s">
        <v>758</v>
      </c>
      <c r="H34" s="283" t="s">
        <v>95</v>
      </c>
      <c r="I34" s="286" t="s">
        <v>761</v>
      </c>
      <c r="J34" s="287" t="s">
        <v>105</v>
      </c>
      <c r="K34" s="310">
        <v>22222</v>
      </c>
      <c r="L34" s="350">
        <f t="shared" si="0"/>
        <v>65.214966984592806</v>
      </c>
      <c r="M34" s="818">
        <f>M27+L34*3</f>
        <v>391.28980190755681</v>
      </c>
      <c r="N34" s="150" t="s">
        <v>764</v>
      </c>
      <c r="O34" s="286" t="s">
        <v>100</v>
      </c>
      <c r="P34" s="286" t="s">
        <v>100</v>
      </c>
      <c r="Q34" s="150" t="s">
        <v>763</v>
      </c>
      <c r="R34" s="286" t="s">
        <v>121</v>
      </c>
      <c r="S34" s="286" t="s">
        <v>121</v>
      </c>
      <c r="T34" s="519" t="s">
        <v>759</v>
      </c>
      <c r="U34" s="286" t="s">
        <v>100</v>
      </c>
      <c r="V34" s="286" t="s">
        <v>100</v>
      </c>
      <c r="W34" s="150" t="s">
        <v>762</v>
      </c>
      <c r="X34" s="286" t="s">
        <v>100</v>
      </c>
      <c r="Y34" s="286" t="s">
        <v>100</v>
      </c>
    </row>
    <row r="35" spans="1:25">
      <c r="A35" s="304">
        <v>34043</v>
      </c>
      <c r="B35" s="290">
        <v>33757</v>
      </c>
      <c r="C35" s="576" t="s">
        <v>437</v>
      </c>
      <c r="D35" s="284" t="s">
        <v>427</v>
      </c>
      <c r="E35" s="328">
        <v>32754</v>
      </c>
      <c r="F35" s="283">
        <v>29</v>
      </c>
      <c r="G35" s="283" t="s">
        <v>425</v>
      </c>
      <c r="H35" s="283" t="s">
        <v>95</v>
      </c>
      <c r="I35" s="286" t="s">
        <v>361</v>
      </c>
      <c r="J35" s="287" t="s">
        <v>105</v>
      </c>
      <c r="K35" s="310">
        <v>17778</v>
      </c>
      <c r="L35" s="350">
        <f t="shared" ref="L35:L36" si="16">K35/340.75</f>
        <v>52.173147468818783</v>
      </c>
      <c r="M35" s="350">
        <f>M28+3*L35</f>
        <v>4001.7325840058688</v>
      </c>
      <c r="N35" s="283" t="s">
        <v>426</v>
      </c>
      <c r="O35" s="286" t="s">
        <v>100</v>
      </c>
      <c r="P35" s="286" t="s">
        <v>100</v>
      </c>
      <c r="Q35" s="286" t="s">
        <v>100</v>
      </c>
      <c r="R35" s="286" t="s">
        <v>100</v>
      </c>
      <c r="S35" s="283"/>
      <c r="T35" s="286" t="s">
        <v>100</v>
      </c>
      <c r="U35" s="283"/>
      <c r="V35" s="283"/>
      <c r="W35" s="286" t="s">
        <v>100</v>
      </c>
      <c r="X35" s="286" t="s">
        <v>100</v>
      </c>
      <c r="Y35" s="286" t="s">
        <v>100</v>
      </c>
    </row>
    <row r="36" spans="1:25">
      <c r="A36" s="365">
        <v>34045</v>
      </c>
      <c r="B36" s="290">
        <v>34045</v>
      </c>
      <c r="C36" s="576" t="s">
        <v>479</v>
      </c>
      <c r="D36" s="284" t="s">
        <v>471</v>
      </c>
      <c r="E36" s="290">
        <v>33042</v>
      </c>
      <c r="F36" s="283">
        <v>23</v>
      </c>
      <c r="G36" s="283" t="s">
        <v>472</v>
      </c>
      <c r="H36" s="283" t="s">
        <v>95</v>
      </c>
      <c r="I36" s="286" t="s">
        <v>361</v>
      </c>
      <c r="J36" s="287" t="s">
        <v>105</v>
      </c>
      <c r="K36" s="649">
        <v>222222</v>
      </c>
      <c r="L36" s="285">
        <f t="shared" si="16"/>
        <v>652.15553925165079</v>
      </c>
      <c r="M36" s="336">
        <f>M30+L36*3</f>
        <v>3423.820983125459</v>
      </c>
      <c r="N36" s="283" t="s">
        <v>474</v>
      </c>
      <c r="O36" s="286" t="s">
        <v>121</v>
      </c>
      <c r="P36" s="286"/>
      <c r="Q36" s="283" t="s">
        <v>474</v>
      </c>
      <c r="R36" s="286" t="s">
        <v>121</v>
      </c>
      <c r="S36" s="283"/>
      <c r="T36" s="286" t="s">
        <v>100</v>
      </c>
      <c r="U36" s="283"/>
      <c r="V36" s="283"/>
      <c r="W36" s="286" t="s">
        <v>100</v>
      </c>
      <c r="X36" s="286" t="s">
        <v>100</v>
      </c>
      <c r="Y36" s="286" t="s">
        <v>100</v>
      </c>
    </row>
    <row r="37" spans="1:25">
      <c r="A37" s="290">
        <v>34486</v>
      </c>
      <c r="B37" s="290">
        <v>34607</v>
      </c>
      <c r="C37" s="576" t="s">
        <v>432</v>
      </c>
      <c r="D37" s="284" t="s">
        <v>346</v>
      </c>
      <c r="E37" s="290">
        <v>32508</v>
      </c>
      <c r="F37" s="283">
        <v>21</v>
      </c>
      <c r="G37" s="283" t="s">
        <v>349</v>
      </c>
      <c r="H37" s="283" t="s">
        <v>95</v>
      </c>
      <c r="I37" s="286" t="s">
        <v>361</v>
      </c>
      <c r="J37" s="287" t="s">
        <v>105</v>
      </c>
      <c r="K37" s="310">
        <v>75000</v>
      </c>
      <c r="L37" s="350">
        <f t="shared" si="0"/>
        <v>220.10271460014673</v>
      </c>
      <c r="M37" s="350">
        <f>M32+3*L37</f>
        <v>1980.9244314013204</v>
      </c>
      <c r="N37" s="283" t="s">
        <v>357</v>
      </c>
      <c r="O37" s="322" t="s">
        <v>218</v>
      </c>
      <c r="P37" s="322" t="s">
        <v>218</v>
      </c>
      <c r="Q37" s="283"/>
      <c r="R37" s="283"/>
      <c r="S37" s="285">
        <f t="shared" si="1"/>
        <v>0</v>
      </c>
      <c r="T37" s="283"/>
      <c r="U37" s="283"/>
      <c r="V37" s="283"/>
      <c r="W37" s="283"/>
      <c r="X37" s="283"/>
      <c r="Y37" s="283"/>
    </row>
    <row r="38" spans="1:25" s="104" customFormat="1">
      <c r="A38" s="290">
        <v>34494</v>
      </c>
      <c r="B38" s="365">
        <v>34579</v>
      </c>
      <c r="C38" s="576" t="s">
        <v>574</v>
      </c>
      <c r="D38" s="365" t="s">
        <v>554</v>
      </c>
      <c r="E38" s="365">
        <v>32480</v>
      </c>
      <c r="F38" s="368">
        <v>25</v>
      </c>
      <c r="G38" s="283" t="s">
        <v>555</v>
      </c>
      <c r="H38" s="283" t="s">
        <v>95</v>
      </c>
      <c r="I38" s="286" t="s">
        <v>361</v>
      </c>
      <c r="J38" s="287" t="s">
        <v>105</v>
      </c>
      <c r="K38" s="310">
        <v>74074</v>
      </c>
      <c r="L38" s="350">
        <f t="shared" si="0"/>
        <v>217.38517975055026</v>
      </c>
      <c r="M38" s="350">
        <f>M31+L38*3</f>
        <v>1956.4666177549525</v>
      </c>
      <c r="N38" s="368"/>
      <c r="O38" s="519"/>
      <c r="P38" s="519"/>
      <c r="Q38" s="368"/>
      <c r="R38" s="368"/>
      <c r="S38" s="369"/>
      <c r="T38" s="368"/>
      <c r="U38" s="368"/>
      <c r="V38" s="368"/>
      <c r="W38" s="368"/>
      <c r="X38" s="368"/>
      <c r="Y38" s="368"/>
    </row>
    <row r="39" spans="1:25">
      <c r="A39" s="292">
        <v>34835</v>
      </c>
      <c r="B39" s="290">
        <v>34852</v>
      </c>
      <c r="C39" s="576" t="s">
        <v>438</v>
      </c>
      <c r="D39" s="284" t="s">
        <v>427</v>
      </c>
      <c r="E39" s="328">
        <v>32754</v>
      </c>
      <c r="F39" s="283">
        <v>29</v>
      </c>
      <c r="G39" s="283" t="s">
        <v>425</v>
      </c>
      <c r="H39" s="283" t="s">
        <v>95</v>
      </c>
      <c r="I39" s="286" t="s">
        <v>361</v>
      </c>
      <c r="J39" s="287" t="s">
        <v>105</v>
      </c>
      <c r="K39" s="310">
        <v>17778</v>
      </c>
      <c r="L39" s="350">
        <f t="shared" si="0"/>
        <v>52.173147468818783</v>
      </c>
      <c r="M39" s="648">
        <f>M35+L39*3</f>
        <v>4158.252026412325</v>
      </c>
      <c r="N39" s="283" t="s">
        <v>426</v>
      </c>
      <c r="O39" s="286" t="s">
        <v>100</v>
      </c>
      <c r="P39" s="286" t="s">
        <v>100</v>
      </c>
      <c r="Q39" s="286" t="s">
        <v>100</v>
      </c>
      <c r="R39" s="286" t="s">
        <v>100</v>
      </c>
      <c r="S39" s="283"/>
      <c r="T39" s="286" t="s">
        <v>100</v>
      </c>
      <c r="U39" s="283"/>
      <c r="V39" s="283"/>
      <c r="W39" s="286" t="s">
        <v>100</v>
      </c>
      <c r="X39" s="286" t="s">
        <v>100</v>
      </c>
      <c r="Y39" s="286" t="s">
        <v>100</v>
      </c>
    </row>
    <row r="40" spans="1:25" s="583" customFormat="1">
      <c r="A40" s="290">
        <v>34962</v>
      </c>
      <c r="B40" s="391"/>
      <c r="C40" s="576" t="s">
        <v>682</v>
      </c>
      <c r="D40" s="354"/>
      <c r="E40" s="391"/>
      <c r="F40" s="150">
        <v>30</v>
      </c>
      <c r="G40" s="368" t="s">
        <v>687</v>
      </c>
      <c r="H40" s="368" t="s">
        <v>95</v>
      </c>
      <c r="I40" s="286" t="s">
        <v>361</v>
      </c>
      <c r="J40" s="287" t="s">
        <v>105</v>
      </c>
      <c r="K40" s="581">
        <v>1000000</v>
      </c>
      <c r="L40" s="582">
        <f t="shared" si="0"/>
        <v>2934.70286133529</v>
      </c>
      <c r="M40" s="587">
        <f>3*L40</f>
        <v>8804.1085840058695</v>
      </c>
      <c r="N40" s="368" t="s">
        <v>688</v>
      </c>
      <c r="O40" s="286" t="s">
        <v>100</v>
      </c>
      <c r="P40" s="519"/>
      <c r="Q40" s="368" t="s">
        <v>689</v>
      </c>
      <c r="R40" s="286" t="s">
        <v>100</v>
      </c>
      <c r="S40" s="286" t="s">
        <v>100</v>
      </c>
      <c r="T40" s="519" t="s">
        <v>690</v>
      </c>
      <c r="U40" s="286" t="s">
        <v>100</v>
      </c>
      <c r="V40" s="286" t="s">
        <v>100</v>
      </c>
      <c r="W40" s="368" t="s">
        <v>691</v>
      </c>
      <c r="X40" s="286" t="s">
        <v>100</v>
      </c>
      <c r="Y40" s="150"/>
    </row>
    <row r="41" spans="1:25">
      <c r="A41" s="290">
        <v>34962</v>
      </c>
      <c r="B41" s="391"/>
      <c r="C41" s="576" t="s">
        <v>198</v>
      </c>
      <c r="D41" s="355"/>
      <c r="E41" s="391"/>
      <c r="F41" s="283">
        <v>16</v>
      </c>
      <c r="G41" s="283" t="s">
        <v>122</v>
      </c>
      <c r="H41" s="283" t="s">
        <v>95</v>
      </c>
      <c r="I41" s="286" t="s">
        <v>361</v>
      </c>
      <c r="J41" s="287" t="s">
        <v>105</v>
      </c>
      <c r="K41" s="284">
        <f>23526*3</f>
        <v>70578</v>
      </c>
      <c r="L41" s="285">
        <f t="shared" si="0"/>
        <v>207.1254585473221</v>
      </c>
      <c r="M41" s="285">
        <f>L41</f>
        <v>207.1254585473221</v>
      </c>
      <c r="N41" s="283" t="s">
        <v>162</v>
      </c>
      <c r="O41" s="286" t="s">
        <v>121</v>
      </c>
      <c r="P41" s="283"/>
      <c r="Q41" s="283" t="s">
        <v>163</v>
      </c>
      <c r="R41" s="286" t="s">
        <v>100</v>
      </c>
      <c r="S41" s="285"/>
      <c r="T41" s="283" t="s">
        <v>160</v>
      </c>
      <c r="U41" s="286" t="s">
        <v>100</v>
      </c>
      <c r="V41" s="283"/>
      <c r="W41" s="283" t="s">
        <v>123</v>
      </c>
      <c r="X41" s="286" t="s">
        <v>100</v>
      </c>
      <c r="Y41" s="283"/>
    </row>
    <row r="42" spans="1:25" s="583" customFormat="1">
      <c r="A42" s="682">
        <v>34978</v>
      </c>
      <c r="B42" s="365">
        <v>35197</v>
      </c>
      <c r="C42" s="576" t="s">
        <v>637</v>
      </c>
      <c r="D42" s="284" t="s">
        <v>626</v>
      </c>
      <c r="E42" s="290">
        <v>26158</v>
      </c>
      <c r="F42" s="283">
        <v>24</v>
      </c>
      <c r="G42" s="283" t="s">
        <v>638</v>
      </c>
      <c r="H42" s="808" t="s">
        <v>95</v>
      </c>
      <c r="I42" s="286" t="s">
        <v>361</v>
      </c>
      <c r="J42" s="287" t="s">
        <v>105</v>
      </c>
      <c r="K42" s="310">
        <v>11111</v>
      </c>
      <c r="L42" s="350">
        <f t="shared" si="0"/>
        <v>32.607483492296403</v>
      </c>
      <c r="M42" s="350">
        <f>M20+L42*5</f>
        <v>687.7571533382245</v>
      </c>
      <c r="N42" s="286" t="s">
        <v>100</v>
      </c>
      <c r="O42" s="286" t="s">
        <v>100</v>
      </c>
      <c r="P42" s="286" t="s">
        <v>100</v>
      </c>
      <c r="Q42" s="286" t="s">
        <v>100</v>
      </c>
      <c r="R42" s="286" t="s">
        <v>100</v>
      </c>
      <c r="S42" s="286" t="s">
        <v>100</v>
      </c>
      <c r="T42" s="368" t="s">
        <v>640</v>
      </c>
      <c r="U42" s="286" t="s">
        <v>121</v>
      </c>
      <c r="V42" s="286" t="s">
        <v>121</v>
      </c>
      <c r="W42" s="808" t="s">
        <v>639</v>
      </c>
      <c r="X42" s="286" t="s">
        <v>121</v>
      </c>
      <c r="Y42" s="286" t="s">
        <v>121</v>
      </c>
    </row>
    <row r="43" spans="1:25">
      <c r="A43" s="290">
        <v>35060</v>
      </c>
      <c r="B43" s="391"/>
      <c r="C43" s="576" t="s">
        <v>480</v>
      </c>
      <c r="D43" s="284" t="s">
        <v>471</v>
      </c>
      <c r="E43" s="290">
        <v>33042</v>
      </c>
      <c r="F43" s="283">
        <v>23</v>
      </c>
      <c r="G43" s="283" t="s">
        <v>472</v>
      </c>
      <c r="H43" s="283" t="s">
        <v>95</v>
      </c>
      <c r="I43" s="578"/>
      <c r="J43" s="579">
        <f t="shared" si="0"/>
        <v>0</v>
      </c>
      <c r="K43" s="349"/>
      <c r="L43" s="579">
        <f t="shared" si="0"/>
        <v>0</v>
      </c>
      <c r="M43" s="579"/>
      <c r="N43" s="283"/>
      <c r="O43" s="283"/>
      <c r="P43" s="283"/>
      <c r="Q43" s="283"/>
      <c r="R43" s="283"/>
      <c r="S43" s="285">
        <f t="shared" si="1"/>
        <v>0</v>
      </c>
      <c r="T43" s="283"/>
      <c r="U43" s="283"/>
      <c r="V43" s="283"/>
      <c r="W43" s="283"/>
      <c r="X43" s="283"/>
      <c r="Y43" s="283"/>
    </row>
    <row r="44" spans="1:25">
      <c r="A44" s="577">
        <v>35110</v>
      </c>
      <c r="B44" s="290">
        <v>35141</v>
      </c>
      <c r="C44" s="576" t="s">
        <v>482</v>
      </c>
      <c r="D44" s="284" t="s">
        <v>471</v>
      </c>
      <c r="E44" s="290">
        <v>33042</v>
      </c>
      <c r="F44" s="283">
        <v>23</v>
      </c>
      <c r="G44" s="283" t="s">
        <v>472</v>
      </c>
      <c r="H44" s="283" t="s">
        <v>95</v>
      </c>
      <c r="I44" s="286" t="s">
        <v>361</v>
      </c>
      <c r="J44" s="287" t="s">
        <v>105</v>
      </c>
      <c r="K44" s="284">
        <v>222222</v>
      </c>
      <c r="L44" s="285">
        <f t="shared" si="0"/>
        <v>652.15553925165079</v>
      </c>
      <c r="M44" s="285">
        <f>M36+3*L44</f>
        <v>5380.2876008804114</v>
      </c>
      <c r="N44" s="283"/>
      <c r="O44" s="283"/>
      <c r="P44" s="283"/>
      <c r="Q44" s="283"/>
      <c r="R44" s="283"/>
      <c r="S44" s="285">
        <f t="shared" si="1"/>
        <v>0</v>
      </c>
      <c r="T44" s="283"/>
      <c r="U44" s="283"/>
      <c r="V44" s="283"/>
      <c r="W44" s="283"/>
      <c r="X44" s="283"/>
      <c r="Y44" s="283"/>
    </row>
    <row r="45" spans="1:25">
      <c r="A45" s="304">
        <v>35185</v>
      </c>
      <c r="B45" s="292">
        <v>34492</v>
      </c>
      <c r="C45" s="576" t="s">
        <v>431</v>
      </c>
      <c r="D45" s="284" t="s">
        <v>231</v>
      </c>
      <c r="E45" s="290">
        <v>32394</v>
      </c>
      <c r="F45" s="283">
        <v>16</v>
      </c>
      <c r="G45" s="283" t="s">
        <v>94</v>
      </c>
      <c r="H45" s="283" t="s">
        <v>95</v>
      </c>
      <c r="I45" s="286" t="s">
        <v>361</v>
      </c>
      <c r="J45" s="287" t="s">
        <v>105</v>
      </c>
      <c r="K45" s="310">
        <v>75000</v>
      </c>
      <c r="L45" s="350">
        <f t="shared" si="0"/>
        <v>220.10271460014673</v>
      </c>
      <c r="M45" s="350">
        <f>M33+3*L45</f>
        <v>1575.9354365370505</v>
      </c>
      <c r="N45" s="283" t="s">
        <v>125</v>
      </c>
      <c r="O45" s="286" t="s">
        <v>121</v>
      </c>
      <c r="P45" s="285"/>
      <c r="Q45" s="322" t="s">
        <v>127</v>
      </c>
      <c r="R45" s="286" t="s">
        <v>121</v>
      </c>
      <c r="S45" s="285"/>
      <c r="T45" s="286" t="s">
        <v>100</v>
      </c>
      <c r="U45" s="286" t="s">
        <v>100</v>
      </c>
      <c r="V45" s="285"/>
      <c r="W45" s="283" t="s">
        <v>101</v>
      </c>
      <c r="X45" s="286" t="s">
        <v>100</v>
      </c>
      <c r="Y45" s="286" t="s">
        <v>100</v>
      </c>
    </row>
    <row r="46" spans="1:25">
      <c r="A46" s="290">
        <v>35584</v>
      </c>
      <c r="B46" s="290">
        <v>35675</v>
      </c>
      <c r="C46" s="576" t="s">
        <v>575</v>
      </c>
      <c r="D46" s="365" t="s">
        <v>554</v>
      </c>
      <c r="E46" s="365">
        <v>32480</v>
      </c>
      <c r="F46" s="368">
        <v>25</v>
      </c>
      <c r="G46" s="283" t="s">
        <v>555</v>
      </c>
      <c r="H46" s="283" t="s">
        <v>95</v>
      </c>
      <c r="I46" s="286" t="s">
        <v>361</v>
      </c>
      <c r="J46" s="287" t="s">
        <v>105</v>
      </c>
      <c r="K46" s="310">
        <v>74074</v>
      </c>
      <c r="L46" s="350">
        <f t="shared" ref="L46" si="17">K46/340.75</f>
        <v>217.38517975055026</v>
      </c>
      <c r="M46" s="350">
        <f>M38+L46*3</f>
        <v>2608.6221570066032</v>
      </c>
      <c r="N46" s="283"/>
      <c r="O46" s="283"/>
      <c r="P46" s="283"/>
      <c r="Q46" s="283"/>
      <c r="R46" s="283"/>
      <c r="S46" s="285">
        <f t="shared" si="1"/>
        <v>0</v>
      </c>
      <c r="T46" s="283"/>
      <c r="U46" s="283"/>
      <c r="V46" s="283"/>
      <c r="W46" s="283"/>
      <c r="X46" s="283"/>
      <c r="Y46" s="283"/>
    </row>
    <row r="47" spans="1:25">
      <c r="A47" s="277" t="s">
        <v>151</v>
      </c>
      <c r="B47" s="292">
        <v>35588</v>
      </c>
      <c r="C47" s="277" t="s">
        <v>151</v>
      </c>
      <c r="D47" s="284" t="s">
        <v>231</v>
      </c>
      <c r="E47" s="290">
        <v>32394</v>
      </c>
      <c r="F47" s="283">
        <v>16</v>
      </c>
      <c r="G47" s="283" t="s">
        <v>94</v>
      </c>
      <c r="H47" s="286" t="s">
        <v>100</v>
      </c>
      <c r="I47" s="286" t="s">
        <v>100</v>
      </c>
      <c r="J47" s="285"/>
      <c r="K47" s="310">
        <v>75000</v>
      </c>
      <c r="L47" s="350">
        <f t="shared" ref="L47:L53" si="18">K47/340.75</f>
        <v>220.10271460014673</v>
      </c>
      <c r="M47" s="350">
        <f>M45+3*L47</f>
        <v>2236.2435803374906</v>
      </c>
      <c r="N47" s="283" t="s">
        <v>101</v>
      </c>
      <c r="O47" s="286" t="s">
        <v>100</v>
      </c>
      <c r="P47" s="285"/>
      <c r="Q47" s="322" t="s">
        <v>127</v>
      </c>
      <c r="R47" s="286" t="s">
        <v>121</v>
      </c>
      <c r="S47" s="285"/>
      <c r="T47" s="286" t="s">
        <v>100</v>
      </c>
      <c r="U47" s="286" t="s">
        <v>100</v>
      </c>
      <c r="V47" s="283"/>
      <c r="W47" s="283"/>
      <c r="X47" s="283"/>
      <c r="Y47" s="283"/>
    </row>
    <row r="48" spans="1:25" s="104" customFormat="1">
      <c r="A48" s="290">
        <v>35612</v>
      </c>
      <c r="B48" s="290">
        <v>35703</v>
      </c>
      <c r="C48" s="576" t="s">
        <v>430</v>
      </c>
      <c r="D48" s="284" t="s">
        <v>346</v>
      </c>
      <c r="E48" s="290">
        <v>32508</v>
      </c>
      <c r="F48" s="283">
        <v>21</v>
      </c>
      <c r="G48" s="283" t="s">
        <v>349</v>
      </c>
      <c r="H48" s="283" t="s">
        <v>95</v>
      </c>
      <c r="I48" s="286" t="s">
        <v>361</v>
      </c>
      <c r="J48" s="287" t="s">
        <v>105</v>
      </c>
      <c r="K48" s="310">
        <v>75000</v>
      </c>
      <c r="L48" s="350">
        <f t="shared" si="18"/>
        <v>220.10271460014673</v>
      </c>
      <c r="M48" s="350">
        <f>M37+L48*3</f>
        <v>2641.2325752017605</v>
      </c>
      <c r="N48" s="283" t="s">
        <v>357</v>
      </c>
      <c r="O48" s="322" t="s">
        <v>218</v>
      </c>
      <c r="P48" s="322" t="s">
        <v>218</v>
      </c>
      <c r="Q48" s="519"/>
      <c r="R48" s="419"/>
      <c r="S48" s="369"/>
      <c r="T48" s="419"/>
      <c r="U48" s="419"/>
      <c r="V48" s="368"/>
      <c r="W48" s="368"/>
      <c r="X48" s="368"/>
      <c r="Y48" s="368"/>
    </row>
    <row r="49" spans="1:25">
      <c r="A49" s="292">
        <v>35933</v>
      </c>
      <c r="B49" s="290">
        <v>35948</v>
      </c>
      <c r="C49" s="576" t="s">
        <v>456</v>
      </c>
      <c r="D49" s="284" t="s">
        <v>427</v>
      </c>
      <c r="E49" s="328">
        <v>32754</v>
      </c>
      <c r="F49" s="283">
        <v>29</v>
      </c>
      <c r="G49" s="283" t="s">
        <v>425</v>
      </c>
      <c r="H49" s="283" t="s">
        <v>95</v>
      </c>
      <c r="I49" s="286" t="s">
        <v>361</v>
      </c>
      <c r="J49" s="287" t="s">
        <v>105</v>
      </c>
      <c r="K49" s="310">
        <v>17778</v>
      </c>
      <c r="L49" s="350">
        <f t="shared" si="18"/>
        <v>52.173147468818783</v>
      </c>
      <c r="M49" s="648">
        <f>M39+L49*3</f>
        <v>4314.7714688187816</v>
      </c>
      <c r="N49" s="283"/>
      <c r="O49" s="283"/>
      <c r="P49" s="286" t="s">
        <v>100</v>
      </c>
      <c r="Q49" s="283"/>
      <c r="R49" s="286" t="s">
        <v>100</v>
      </c>
      <c r="S49" s="283"/>
      <c r="T49" s="283"/>
      <c r="U49" s="283"/>
      <c r="V49" s="283"/>
      <c r="W49" s="283"/>
      <c r="X49" s="283"/>
    </row>
    <row r="50" spans="1:25">
      <c r="A50" s="348">
        <v>36136</v>
      </c>
      <c r="B50" s="290">
        <v>35965</v>
      </c>
      <c r="C50" s="284">
        <v>24</v>
      </c>
      <c r="D50" s="284" t="s">
        <v>198</v>
      </c>
      <c r="E50" s="328">
        <v>34962</v>
      </c>
      <c r="F50" s="283">
        <v>16</v>
      </c>
      <c r="G50" s="283" t="s">
        <v>122</v>
      </c>
      <c r="H50" s="283" t="s">
        <v>167</v>
      </c>
      <c r="I50" s="283"/>
      <c r="J50" s="285">
        <f t="shared" si="0"/>
        <v>0</v>
      </c>
      <c r="K50" s="539">
        <v>70758</v>
      </c>
      <c r="L50" s="350">
        <f t="shared" si="0"/>
        <v>207.65370506236243</v>
      </c>
      <c r="M50" s="350">
        <f>M41+3*L50</f>
        <v>830.0865737344094</v>
      </c>
      <c r="N50" s="283" t="s">
        <v>162</v>
      </c>
      <c r="O50" s="286" t="s">
        <v>121</v>
      </c>
      <c r="P50" s="283"/>
      <c r="Q50" s="283" t="s">
        <v>163</v>
      </c>
      <c r="R50" s="286" t="s">
        <v>100</v>
      </c>
      <c r="S50" s="285"/>
      <c r="T50" s="283" t="s">
        <v>160</v>
      </c>
      <c r="U50" s="286" t="s">
        <v>100</v>
      </c>
      <c r="V50" s="283"/>
      <c r="W50" s="283" t="s">
        <v>123</v>
      </c>
      <c r="X50" s="286" t="s">
        <v>100</v>
      </c>
      <c r="Y50" s="283"/>
    </row>
    <row r="51" spans="1:25">
      <c r="A51" s="290">
        <v>36236</v>
      </c>
      <c r="B51" s="290">
        <v>36511</v>
      </c>
      <c r="C51" s="284">
        <v>18939</v>
      </c>
      <c r="D51" s="284" t="s">
        <v>199</v>
      </c>
      <c r="E51" s="328">
        <v>27106</v>
      </c>
      <c r="F51" s="283">
        <v>60</v>
      </c>
      <c r="G51" s="283" t="s">
        <v>192</v>
      </c>
      <c r="H51" s="283" t="s">
        <v>193</v>
      </c>
      <c r="I51" s="286" t="s">
        <v>100</v>
      </c>
      <c r="J51" s="285"/>
      <c r="K51" s="310">
        <v>75000</v>
      </c>
      <c r="L51" s="350">
        <f t="shared" si="18"/>
        <v>220.10271460014673</v>
      </c>
      <c r="M51" s="350">
        <f>M50+L51*10</f>
        <v>3031.1137197358767</v>
      </c>
      <c r="N51" s="286" t="s">
        <v>100</v>
      </c>
      <c r="O51" s="283"/>
      <c r="P51" s="283"/>
      <c r="Q51" s="286" t="s">
        <v>100</v>
      </c>
      <c r="R51" s="283"/>
      <c r="S51" s="285">
        <f t="shared" si="1"/>
        <v>0</v>
      </c>
      <c r="T51" s="286" t="s">
        <v>100</v>
      </c>
      <c r="U51" s="283"/>
      <c r="V51" s="283"/>
      <c r="W51" s="286" t="s">
        <v>100</v>
      </c>
      <c r="X51" s="283"/>
      <c r="Y51" s="283"/>
    </row>
    <row r="52" spans="1:25" s="104" customFormat="1">
      <c r="A52" s="303">
        <v>36290</v>
      </c>
      <c r="B52" s="290">
        <v>36236</v>
      </c>
      <c r="C52" s="575">
        <v>392</v>
      </c>
      <c r="D52" s="284" t="s">
        <v>471</v>
      </c>
      <c r="E52" s="290">
        <v>33042</v>
      </c>
      <c r="F52" s="283">
        <v>23</v>
      </c>
      <c r="G52" s="283" t="s">
        <v>472</v>
      </c>
      <c r="H52" s="283" t="s">
        <v>124</v>
      </c>
      <c r="I52" s="286" t="s">
        <v>361</v>
      </c>
      <c r="J52" s="287" t="s">
        <v>105</v>
      </c>
      <c r="K52" s="284">
        <v>222222</v>
      </c>
      <c r="L52" s="285">
        <f t="shared" si="18"/>
        <v>652.15553925165079</v>
      </c>
      <c r="M52" s="285">
        <f>M44+3*L52</f>
        <v>7336.7542186353639</v>
      </c>
      <c r="N52" s="419"/>
      <c r="O52" s="368"/>
      <c r="P52" s="368"/>
      <c r="Q52" s="419"/>
      <c r="R52" s="368"/>
      <c r="S52" s="369"/>
      <c r="T52" s="419"/>
      <c r="U52" s="368"/>
      <c r="V52" s="368"/>
      <c r="W52" s="419"/>
      <c r="X52" s="368"/>
      <c r="Y52" s="368"/>
    </row>
    <row r="53" spans="1:25">
      <c r="A53" s="290">
        <v>32754</v>
      </c>
      <c r="B53" s="842"/>
      <c r="C53" s="576" t="s">
        <v>427</v>
      </c>
      <c r="D53" s="391"/>
      <c r="E53" s="290">
        <v>32754</v>
      </c>
      <c r="F53" s="283">
        <v>29</v>
      </c>
      <c r="G53" s="283" t="s">
        <v>425</v>
      </c>
      <c r="H53" s="283" t="s">
        <v>95</v>
      </c>
      <c r="I53" s="286" t="s">
        <v>361</v>
      </c>
      <c r="J53" s="287" t="s">
        <v>105</v>
      </c>
      <c r="K53" s="310">
        <v>17778</v>
      </c>
      <c r="L53" s="350">
        <f t="shared" si="18"/>
        <v>52.173147468818783</v>
      </c>
      <c r="M53" s="350">
        <f>M45+3*L53</f>
        <v>1732.4548789435069</v>
      </c>
      <c r="N53" s="283" t="s">
        <v>426</v>
      </c>
      <c r="O53" s="286" t="s">
        <v>100</v>
      </c>
      <c r="P53" s="283"/>
      <c r="Q53" s="283"/>
      <c r="R53" s="286"/>
      <c r="S53" s="285"/>
      <c r="T53" s="286" t="s">
        <v>100</v>
      </c>
      <c r="U53" s="283"/>
      <c r="V53" s="283"/>
      <c r="W53" s="286" t="s">
        <v>100</v>
      </c>
      <c r="X53" s="283"/>
      <c r="Y53" s="283"/>
    </row>
    <row r="54" spans="1:25">
      <c r="A54" s="277" t="s">
        <v>151</v>
      </c>
      <c r="B54" s="292">
        <v>36684</v>
      </c>
      <c r="C54" s="277" t="s">
        <v>151</v>
      </c>
      <c r="D54" s="284" t="s">
        <v>231</v>
      </c>
      <c r="E54" s="290">
        <v>32394</v>
      </c>
      <c r="F54" s="283">
        <v>16</v>
      </c>
      <c r="G54" s="283" t="s">
        <v>94</v>
      </c>
      <c r="H54" s="286" t="s">
        <v>100</v>
      </c>
      <c r="I54" s="286" t="s">
        <v>100</v>
      </c>
      <c r="J54" s="285"/>
      <c r="K54" s="310">
        <v>75000</v>
      </c>
      <c r="L54" s="350">
        <f t="shared" ref="L54:L58" si="19">K54/340.75</f>
        <v>220.10271460014673</v>
      </c>
      <c r="M54" s="350">
        <f>M47+3*L54</f>
        <v>2896.5517241379307</v>
      </c>
      <c r="N54" s="283" t="s">
        <v>101</v>
      </c>
      <c r="O54" s="286" t="s">
        <v>100</v>
      </c>
      <c r="P54" s="285"/>
      <c r="Q54" s="322" t="s">
        <v>127</v>
      </c>
      <c r="R54" s="286" t="s">
        <v>121</v>
      </c>
      <c r="S54" s="285"/>
      <c r="T54" s="286" t="s">
        <v>100</v>
      </c>
      <c r="U54" s="286" t="s">
        <v>100</v>
      </c>
      <c r="V54" s="283"/>
      <c r="W54" s="283"/>
      <c r="X54" s="283"/>
      <c r="Y54" s="283"/>
    </row>
    <row r="55" spans="1:25" s="104" customFormat="1">
      <c r="A55" s="290">
        <v>36707</v>
      </c>
      <c r="B55" s="290">
        <v>36799</v>
      </c>
      <c r="C55" s="575">
        <v>1041</v>
      </c>
      <c r="D55" s="284" t="s">
        <v>346</v>
      </c>
      <c r="E55" s="290">
        <v>32508</v>
      </c>
      <c r="F55" s="283">
        <v>21</v>
      </c>
      <c r="G55" s="283" t="s">
        <v>349</v>
      </c>
      <c r="H55" s="283" t="s">
        <v>124</v>
      </c>
      <c r="I55" s="286" t="s">
        <v>361</v>
      </c>
      <c r="J55" s="287" t="s">
        <v>105</v>
      </c>
      <c r="K55" s="310">
        <v>75000</v>
      </c>
      <c r="L55" s="350">
        <f t="shared" si="19"/>
        <v>220.10271460014673</v>
      </c>
      <c r="M55" s="350">
        <f>M48+L55*3</f>
        <v>3301.5407190022006</v>
      </c>
      <c r="N55" s="283" t="s">
        <v>357</v>
      </c>
      <c r="O55" s="322" t="s">
        <v>218</v>
      </c>
      <c r="P55" s="322" t="s">
        <v>218</v>
      </c>
      <c r="Q55" s="519"/>
      <c r="R55" s="419"/>
      <c r="S55" s="369"/>
      <c r="T55" s="419"/>
      <c r="U55" s="419"/>
      <c r="V55" s="368"/>
      <c r="W55" s="368"/>
      <c r="X55" s="368"/>
      <c r="Y55" s="368"/>
    </row>
    <row r="56" spans="1:25" s="583" customFormat="1">
      <c r="A56" s="292">
        <v>36788</v>
      </c>
      <c r="B56" s="816"/>
      <c r="C56" s="649">
        <v>27556</v>
      </c>
      <c r="D56" s="814"/>
      <c r="E56" s="814"/>
      <c r="F56" s="809">
        <v>24</v>
      </c>
      <c r="G56" s="809" t="s">
        <v>655</v>
      </c>
      <c r="H56" s="809" t="s">
        <v>656</v>
      </c>
      <c r="I56" s="286" t="s">
        <v>361</v>
      </c>
      <c r="J56" s="287" t="s">
        <v>105</v>
      </c>
      <c r="K56" s="581">
        <v>800000</v>
      </c>
      <c r="L56" s="582">
        <f t="shared" si="19"/>
        <v>2347.7622890682319</v>
      </c>
      <c r="M56" s="582">
        <f>3*L56</f>
        <v>7043.2868672046952</v>
      </c>
      <c r="N56" s="286" t="s">
        <v>100</v>
      </c>
      <c r="O56" s="286" t="s">
        <v>100</v>
      </c>
      <c r="P56" s="286" t="s">
        <v>100</v>
      </c>
      <c r="Q56" s="354"/>
      <c r="R56" s="354"/>
      <c r="S56" s="354"/>
      <c r="T56" s="809" t="s">
        <v>657</v>
      </c>
      <c r="U56" s="286" t="s">
        <v>100</v>
      </c>
      <c r="V56" s="286" t="s">
        <v>100</v>
      </c>
      <c r="W56" s="809" t="s">
        <v>658</v>
      </c>
      <c r="X56" s="286" t="s">
        <v>100</v>
      </c>
      <c r="Y56" s="286" t="s">
        <v>100</v>
      </c>
    </row>
    <row r="57" spans="1:25" s="104" customFormat="1">
      <c r="A57" s="577">
        <v>36809</v>
      </c>
      <c r="B57" s="365">
        <v>36771</v>
      </c>
      <c r="C57" s="575">
        <v>1240</v>
      </c>
      <c r="D57" s="365" t="s">
        <v>554</v>
      </c>
      <c r="E57" s="365">
        <v>32480</v>
      </c>
      <c r="F57" s="368">
        <v>25</v>
      </c>
      <c r="G57" s="283" t="s">
        <v>555</v>
      </c>
      <c r="H57" s="368" t="s">
        <v>124</v>
      </c>
      <c r="I57" s="286" t="s">
        <v>361</v>
      </c>
      <c r="J57" s="287" t="s">
        <v>105</v>
      </c>
      <c r="K57" s="310">
        <v>74074</v>
      </c>
      <c r="L57" s="350">
        <f t="shared" si="19"/>
        <v>217.38517975055026</v>
      </c>
      <c r="M57" s="350">
        <f>M46+L57*3</f>
        <v>3260.7776962582539</v>
      </c>
      <c r="N57" s="368"/>
      <c r="O57" s="519"/>
      <c r="P57" s="519"/>
      <c r="Q57" s="519"/>
      <c r="R57" s="419"/>
      <c r="S57" s="369"/>
      <c r="T57" s="419"/>
      <c r="U57" s="419"/>
      <c r="V57" s="368"/>
      <c r="W57" s="368"/>
      <c r="X57" s="368"/>
      <c r="Y57" s="368"/>
    </row>
    <row r="58" spans="1:25" s="104" customFormat="1">
      <c r="A58" s="365">
        <v>37035</v>
      </c>
      <c r="B58" s="365">
        <v>37044</v>
      </c>
      <c r="C58" s="418">
        <v>1581</v>
      </c>
      <c r="D58" s="284" t="s">
        <v>427</v>
      </c>
      <c r="E58" s="328">
        <v>32754</v>
      </c>
      <c r="F58" s="283">
        <v>29</v>
      </c>
      <c r="G58" s="283" t="s">
        <v>425</v>
      </c>
      <c r="H58" s="283" t="s">
        <v>124</v>
      </c>
      <c r="I58" s="286" t="s">
        <v>361</v>
      </c>
      <c r="J58" s="287" t="s">
        <v>105</v>
      </c>
      <c r="K58" s="310">
        <v>17778</v>
      </c>
      <c r="L58" s="350">
        <f t="shared" si="19"/>
        <v>52.173147468818783</v>
      </c>
      <c r="M58" s="350">
        <f>M49+L58*3</f>
        <v>4471.2909112252382</v>
      </c>
      <c r="N58" s="368"/>
      <c r="O58" s="519"/>
      <c r="P58" s="519"/>
      <c r="Q58" s="519"/>
      <c r="R58" s="419"/>
      <c r="S58" s="369"/>
      <c r="T58" s="419"/>
      <c r="U58" s="419"/>
      <c r="V58" s="368"/>
      <c r="W58" s="368"/>
      <c r="X58" s="368"/>
      <c r="Y58" s="368"/>
    </row>
    <row r="59" spans="1:25">
      <c r="A59" s="348">
        <v>37222</v>
      </c>
      <c r="B59" s="290">
        <v>37061</v>
      </c>
      <c r="C59" s="284">
        <v>532</v>
      </c>
      <c r="D59" s="284" t="s">
        <v>198</v>
      </c>
      <c r="E59" s="328">
        <v>34962</v>
      </c>
      <c r="F59" s="283">
        <v>16</v>
      </c>
      <c r="G59" s="283" t="s">
        <v>122</v>
      </c>
      <c r="H59" s="283" t="s">
        <v>167</v>
      </c>
      <c r="I59" s="283"/>
      <c r="J59" s="285">
        <f t="shared" si="0"/>
        <v>0</v>
      </c>
      <c r="K59" s="539">
        <v>70758</v>
      </c>
      <c r="L59" s="350">
        <f t="shared" ref="L59" si="20">K59/340.75</f>
        <v>207.65370506236243</v>
      </c>
      <c r="M59" s="350">
        <f>M50+3*L59</f>
        <v>1453.0476889214967</v>
      </c>
      <c r="N59" s="283" t="s">
        <v>162</v>
      </c>
      <c r="O59" s="286" t="s">
        <v>121</v>
      </c>
      <c r="P59" s="283"/>
      <c r="Q59" s="283" t="s">
        <v>163</v>
      </c>
      <c r="R59" s="286" t="s">
        <v>100</v>
      </c>
      <c r="S59" s="285"/>
      <c r="T59" s="283" t="s">
        <v>160</v>
      </c>
      <c r="U59" s="286" t="s">
        <v>100</v>
      </c>
      <c r="V59" s="283"/>
      <c r="W59" s="283" t="s">
        <v>123</v>
      </c>
      <c r="X59" s="286" t="s">
        <v>100</v>
      </c>
      <c r="Y59" s="283"/>
    </row>
    <row r="60" spans="1:25">
      <c r="A60" s="303">
        <v>37335</v>
      </c>
      <c r="B60" s="290">
        <v>37332</v>
      </c>
      <c r="C60" s="284">
        <v>2056</v>
      </c>
      <c r="D60" s="284" t="s">
        <v>471</v>
      </c>
      <c r="E60" s="290">
        <v>33042</v>
      </c>
      <c r="F60" s="283">
        <v>23</v>
      </c>
      <c r="G60" s="283" t="s">
        <v>472</v>
      </c>
      <c r="H60" s="283" t="s">
        <v>124</v>
      </c>
      <c r="I60" s="286" t="s">
        <v>361</v>
      </c>
      <c r="J60" s="287" t="s">
        <v>105</v>
      </c>
      <c r="K60" s="354"/>
      <c r="L60" s="285">
        <v>1956.47</v>
      </c>
      <c r="M60" s="285">
        <f>M52+3*L60</f>
        <v>13206.164218635364</v>
      </c>
      <c r="N60" s="283"/>
      <c r="O60" s="283"/>
      <c r="P60" s="283"/>
      <c r="Q60" s="283"/>
      <c r="R60" s="283"/>
      <c r="S60" s="285">
        <f t="shared" si="1"/>
        <v>0</v>
      </c>
      <c r="T60" s="283"/>
      <c r="U60" s="283"/>
      <c r="V60" s="283"/>
      <c r="W60" s="283"/>
      <c r="X60" s="283"/>
      <c r="Y60" s="283"/>
    </row>
    <row r="61" spans="1:25">
      <c r="A61" s="277" t="s">
        <v>151</v>
      </c>
      <c r="B61" s="292">
        <v>37779</v>
      </c>
      <c r="C61" s="277" t="s">
        <v>151</v>
      </c>
      <c r="D61" s="284" t="s">
        <v>231</v>
      </c>
      <c r="E61" s="290">
        <v>32394</v>
      </c>
      <c r="F61" s="283">
        <v>16</v>
      </c>
      <c r="G61" s="283" t="s">
        <v>94</v>
      </c>
      <c r="H61" s="286" t="s">
        <v>100</v>
      </c>
      <c r="I61" s="355"/>
      <c r="J61" s="285"/>
      <c r="K61" s="354"/>
      <c r="L61" s="350">
        <v>220.10271460014673</v>
      </c>
      <c r="M61" s="350">
        <f>M54+10*L61</f>
        <v>5097.5788701393976</v>
      </c>
      <c r="N61" s="283" t="s">
        <v>101</v>
      </c>
      <c r="O61" s="286" t="s">
        <v>100</v>
      </c>
      <c r="P61" s="285"/>
      <c r="Q61" s="322" t="s">
        <v>127</v>
      </c>
      <c r="R61" s="286" t="s">
        <v>121</v>
      </c>
      <c r="S61" s="285"/>
      <c r="T61" s="286" t="s">
        <v>100</v>
      </c>
      <c r="U61" s="286" t="s">
        <v>100</v>
      </c>
      <c r="V61" s="283"/>
      <c r="W61" s="283"/>
      <c r="X61" s="283"/>
      <c r="Y61" s="283"/>
    </row>
    <row r="62" spans="1:25" s="104" customFormat="1">
      <c r="A62" s="290">
        <v>37796</v>
      </c>
      <c r="B62" s="290">
        <v>37894</v>
      </c>
      <c r="C62" s="575">
        <v>2944</v>
      </c>
      <c r="D62" s="284" t="s">
        <v>346</v>
      </c>
      <c r="E62" s="290">
        <v>32508</v>
      </c>
      <c r="F62" s="283">
        <v>21</v>
      </c>
      <c r="G62" s="283" t="s">
        <v>350</v>
      </c>
      <c r="H62" s="283" t="s">
        <v>124</v>
      </c>
      <c r="I62" s="286" t="s">
        <v>361</v>
      </c>
      <c r="J62" s="287" t="s">
        <v>105</v>
      </c>
      <c r="K62" s="310">
        <v>75000</v>
      </c>
      <c r="L62" s="350">
        <f t="shared" ref="L62:L64" si="21">K62/340.75</f>
        <v>220.10271460014673</v>
      </c>
      <c r="M62" s="350">
        <f>M55+L62*15</f>
        <v>6603.0814380044012</v>
      </c>
      <c r="N62" s="368"/>
      <c r="O62" s="419"/>
      <c r="P62" s="369"/>
      <c r="Q62" s="519"/>
      <c r="R62" s="419"/>
      <c r="S62" s="369"/>
      <c r="T62" s="419"/>
      <c r="U62" s="419"/>
      <c r="V62" s="368"/>
      <c r="W62" s="368"/>
      <c r="X62" s="368"/>
      <c r="Y62" s="368"/>
    </row>
    <row r="63" spans="1:25" s="583" customFormat="1">
      <c r="A63" s="577">
        <v>37825</v>
      </c>
      <c r="B63" s="682">
        <v>37773</v>
      </c>
      <c r="C63" s="826">
        <v>3025</v>
      </c>
      <c r="D63" s="649" t="s">
        <v>654</v>
      </c>
      <c r="E63" s="682">
        <v>36788</v>
      </c>
      <c r="F63" s="809">
        <v>24</v>
      </c>
      <c r="G63" s="809" t="s">
        <v>655</v>
      </c>
      <c r="H63" s="150" t="s">
        <v>124</v>
      </c>
      <c r="I63" s="286" t="s">
        <v>361</v>
      </c>
      <c r="J63" s="287" t="s">
        <v>105</v>
      </c>
      <c r="K63" s="354"/>
      <c r="L63" s="582">
        <v>2347.7600000000002</v>
      </c>
      <c r="M63" s="582">
        <f>M56+3*L63</f>
        <v>14086.566867204696</v>
      </c>
      <c r="N63" s="286" t="s">
        <v>100</v>
      </c>
      <c r="O63" s="286" t="s">
        <v>100</v>
      </c>
      <c r="P63" s="286" t="s">
        <v>100</v>
      </c>
      <c r="Q63" s="354"/>
      <c r="R63" s="354"/>
      <c r="S63" s="354"/>
      <c r="T63" s="809" t="s">
        <v>657</v>
      </c>
      <c r="U63" s="286" t="s">
        <v>100</v>
      </c>
      <c r="V63" s="286" t="s">
        <v>100</v>
      </c>
      <c r="W63" s="809" t="s">
        <v>658</v>
      </c>
      <c r="X63" s="286" t="s">
        <v>100</v>
      </c>
      <c r="Y63" s="286" t="s">
        <v>100</v>
      </c>
    </row>
    <row r="64" spans="1:25" s="104" customFormat="1">
      <c r="A64" s="303">
        <v>37938</v>
      </c>
      <c r="B64" s="290">
        <v>37866</v>
      </c>
      <c r="C64" s="575">
        <v>3457</v>
      </c>
      <c r="D64" s="365" t="s">
        <v>554</v>
      </c>
      <c r="E64" s="365">
        <v>32480</v>
      </c>
      <c r="F64" s="368">
        <v>25</v>
      </c>
      <c r="G64" s="283" t="s">
        <v>555</v>
      </c>
      <c r="H64" s="283" t="s">
        <v>124</v>
      </c>
      <c r="I64" s="286" t="s">
        <v>361</v>
      </c>
      <c r="J64" s="287" t="s">
        <v>105</v>
      </c>
      <c r="K64" s="310">
        <v>74074</v>
      </c>
      <c r="L64" s="350">
        <f t="shared" si="21"/>
        <v>217.38517975055026</v>
      </c>
      <c r="M64" s="350">
        <f>M57+3*L64</f>
        <v>3912.9332355099045</v>
      </c>
      <c r="N64" s="368"/>
      <c r="O64" s="419"/>
      <c r="P64" s="369"/>
      <c r="Q64" s="519"/>
      <c r="R64" s="419"/>
      <c r="S64" s="369"/>
      <c r="T64" s="419"/>
      <c r="U64" s="419"/>
      <c r="V64" s="368"/>
      <c r="W64" s="368"/>
      <c r="X64" s="368"/>
      <c r="Y64" s="368"/>
    </row>
    <row r="65" spans="1:25" s="583" customFormat="1">
      <c r="A65" s="682">
        <v>38191</v>
      </c>
      <c r="B65" s="812"/>
      <c r="C65" s="826">
        <v>4059</v>
      </c>
      <c r="D65" s="812"/>
      <c r="E65" s="682">
        <v>38191</v>
      </c>
      <c r="F65" s="150">
        <v>30</v>
      </c>
      <c r="G65" s="150" t="s">
        <v>703</v>
      </c>
      <c r="H65" s="150" t="s">
        <v>124</v>
      </c>
      <c r="I65" s="286" t="s">
        <v>361</v>
      </c>
      <c r="J65" s="287" t="s">
        <v>105</v>
      </c>
      <c r="K65" s="354"/>
      <c r="L65" s="582">
        <v>300</v>
      </c>
      <c r="M65" s="582">
        <f>3*L65</f>
        <v>900</v>
      </c>
      <c r="N65" s="808" t="s">
        <v>702</v>
      </c>
      <c r="O65" s="322" t="s">
        <v>706</v>
      </c>
      <c r="P65" s="322" t="s">
        <v>707</v>
      </c>
      <c r="Q65" s="355"/>
      <c r="R65" s="355"/>
      <c r="S65" s="355"/>
      <c r="T65" s="286" t="s">
        <v>100</v>
      </c>
      <c r="U65" s="354"/>
      <c r="V65" s="286" t="s">
        <v>100</v>
      </c>
      <c r="W65" s="808" t="s">
        <v>701</v>
      </c>
      <c r="X65" s="354"/>
      <c r="Y65" s="582">
        <v>72</v>
      </c>
    </row>
    <row r="66" spans="1:25" s="583" customFormat="1">
      <c r="A66" s="682">
        <v>38198</v>
      </c>
      <c r="B66" s="391"/>
      <c r="C66" s="575">
        <v>4070</v>
      </c>
      <c r="D66" s="391"/>
      <c r="E66" s="682">
        <v>38198</v>
      </c>
      <c r="F66" s="150">
        <v>30</v>
      </c>
      <c r="G66" s="150" t="s">
        <v>668</v>
      </c>
      <c r="H66" s="150" t="s">
        <v>124</v>
      </c>
      <c r="I66" s="286" t="s">
        <v>361</v>
      </c>
      <c r="J66" s="287" t="s">
        <v>105</v>
      </c>
      <c r="K66" s="354"/>
      <c r="L66" s="582">
        <v>3200</v>
      </c>
      <c r="M66" s="582">
        <f>3*L66</f>
        <v>9600</v>
      </c>
      <c r="N66" s="519" t="s">
        <v>709</v>
      </c>
      <c r="O66" s="322" t="s">
        <v>218</v>
      </c>
      <c r="P66" s="322" t="s">
        <v>218</v>
      </c>
      <c r="Q66" s="150" t="s">
        <v>708</v>
      </c>
      <c r="R66" s="322" t="s">
        <v>218</v>
      </c>
      <c r="S66" s="322" t="s">
        <v>218</v>
      </c>
      <c r="T66" s="150" t="s">
        <v>710</v>
      </c>
      <c r="U66" s="322" t="s">
        <v>218</v>
      </c>
      <c r="V66" s="322" t="s">
        <v>218</v>
      </c>
      <c r="W66" s="150"/>
      <c r="X66" s="150"/>
      <c r="Y66" s="150"/>
    </row>
    <row r="67" spans="1:25" s="583" customFormat="1">
      <c r="A67" s="682">
        <v>38198</v>
      </c>
      <c r="B67" s="391"/>
      <c r="C67" s="575">
        <v>4070</v>
      </c>
      <c r="D67" s="391"/>
      <c r="E67" s="682"/>
      <c r="F67" s="150">
        <v>30</v>
      </c>
      <c r="G67" s="150" t="s">
        <v>713</v>
      </c>
      <c r="H67" s="150" t="s">
        <v>124</v>
      </c>
      <c r="I67" s="855"/>
      <c r="J67" s="857"/>
      <c r="K67" s="816"/>
      <c r="L67" s="815"/>
      <c r="M67" s="815"/>
      <c r="N67" s="286" t="s">
        <v>100</v>
      </c>
      <c r="O67" s="286" t="s">
        <v>100</v>
      </c>
      <c r="P67" s="286" t="s">
        <v>100</v>
      </c>
      <c r="Q67" s="814"/>
      <c r="R67" s="855"/>
      <c r="S67" s="855"/>
      <c r="T67" s="286" t="s">
        <v>100</v>
      </c>
      <c r="U67" s="286" t="s">
        <v>100</v>
      </c>
      <c r="V67" s="286" t="s">
        <v>100</v>
      </c>
      <c r="W67" s="286" t="s">
        <v>100</v>
      </c>
      <c r="X67" s="286" t="s">
        <v>100</v>
      </c>
      <c r="Y67" s="286" t="s">
        <v>100</v>
      </c>
    </row>
    <row r="68" spans="1:25">
      <c r="A68" s="303">
        <v>38247</v>
      </c>
      <c r="B68" s="290">
        <v>38157</v>
      </c>
      <c r="C68" s="284">
        <v>2401</v>
      </c>
      <c r="D68" s="284" t="s">
        <v>198</v>
      </c>
      <c r="E68" s="328">
        <v>34962</v>
      </c>
      <c r="F68" s="283">
        <v>16</v>
      </c>
      <c r="G68" s="283" t="s">
        <v>122</v>
      </c>
      <c r="H68" s="283" t="s">
        <v>167</v>
      </c>
      <c r="I68" s="355"/>
      <c r="J68" s="283"/>
      <c r="K68" s="354"/>
      <c r="L68" s="492">
        <v>207.65</v>
      </c>
      <c r="M68" s="350">
        <f>M59+3*L68</f>
        <v>2075.9976889214968</v>
      </c>
      <c r="N68" s="283" t="s">
        <v>162</v>
      </c>
      <c r="O68" s="322" t="s">
        <v>218</v>
      </c>
      <c r="P68" s="322" t="s">
        <v>218</v>
      </c>
      <c r="Q68" s="283" t="s">
        <v>163</v>
      </c>
      <c r="R68" s="286" t="s">
        <v>100</v>
      </c>
      <c r="S68" s="285"/>
      <c r="T68" s="283" t="s">
        <v>160</v>
      </c>
      <c r="U68" s="286" t="s">
        <v>100</v>
      </c>
      <c r="V68" s="283"/>
      <c r="W68" s="283" t="s">
        <v>123</v>
      </c>
      <c r="X68" s="286" t="s">
        <v>100</v>
      </c>
      <c r="Y68" s="283"/>
    </row>
    <row r="69" spans="1:25">
      <c r="A69" s="277" t="s">
        <v>151</v>
      </c>
      <c r="B69" s="290">
        <v>38338</v>
      </c>
      <c r="C69" s="277" t="s">
        <v>151</v>
      </c>
      <c r="D69" s="284" t="s">
        <v>199</v>
      </c>
      <c r="E69" s="328">
        <v>27106</v>
      </c>
      <c r="F69" s="283">
        <v>60</v>
      </c>
      <c r="G69" s="283" t="s">
        <v>189</v>
      </c>
      <c r="H69" s="286" t="s">
        <v>100</v>
      </c>
      <c r="I69" s="286" t="s">
        <v>100</v>
      </c>
      <c r="J69" s="286" t="s">
        <v>100</v>
      </c>
      <c r="K69" s="354"/>
      <c r="L69" s="350">
        <v>222.22</v>
      </c>
      <c r="M69" s="350">
        <f>M51+3*L69</f>
        <v>3697.7737197358765</v>
      </c>
      <c r="N69" s="286" t="s">
        <v>100</v>
      </c>
      <c r="O69" s="283"/>
      <c r="P69" s="283"/>
      <c r="Q69" s="286" t="s">
        <v>100</v>
      </c>
      <c r="R69" s="283"/>
      <c r="S69" s="285">
        <f t="shared" si="1"/>
        <v>0</v>
      </c>
      <c r="T69" s="286" t="s">
        <v>100</v>
      </c>
      <c r="U69" s="283"/>
      <c r="V69" s="283"/>
      <c r="W69" s="286" t="s">
        <v>100</v>
      </c>
      <c r="X69" s="283"/>
      <c r="Y69" s="283"/>
    </row>
    <row r="70" spans="1:25">
      <c r="A70" s="290">
        <v>38671</v>
      </c>
      <c r="B70" s="290">
        <v>38962</v>
      </c>
      <c r="C70" s="575">
        <v>5435</v>
      </c>
      <c r="D70" s="365" t="s">
        <v>554</v>
      </c>
      <c r="E70" s="365">
        <v>32480</v>
      </c>
      <c r="F70" s="368">
        <v>25</v>
      </c>
      <c r="G70" s="283" t="s">
        <v>589</v>
      </c>
      <c r="H70" s="283" t="s">
        <v>124</v>
      </c>
      <c r="I70" s="286" t="s">
        <v>361</v>
      </c>
      <c r="J70" s="287" t="s">
        <v>105</v>
      </c>
      <c r="K70" s="354"/>
      <c r="L70" s="350">
        <v>217.39</v>
      </c>
      <c r="M70" s="350">
        <f>M64+10*L70</f>
        <v>6086.8332355099046</v>
      </c>
      <c r="N70" s="283"/>
      <c r="O70" s="354"/>
      <c r="P70" s="286"/>
      <c r="Q70" s="283"/>
      <c r="R70" s="354"/>
      <c r="S70" s="283"/>
      <c r="T70" s="283" t="s">
        <v>588</v>
      </c>
      <c r="U70" s="354"/>
      <c r="V70" s="286" t="s">
        <v>100</v>
      </c>
      <c r="W70" s="283" t="s">
        <v>587</v>
      </c>
      <c r="X70" s="354"/>
      <c r="Y70" s="286" t="s">
        <v>121</v>
      </c>
    </row>
    <row r="71" spans="1:25" s="104" customFormat="1">
      <c r="A71" s="290">
        <v>38707</v>
      </c>
      <c r="B71" s="391"/>
      <c r="C71" s="284" t="s">
        <v>591</v>
      </c>
      <c r="D71" s="391"/>
      <c r="E71" s="290">
        <v>38707</v>
      </c>
      <c r="F71" s="283">
        <v>25</v>
      </c>
      <c r="G71" s="368" t="s">
        <v>592</v>
      </c>
      <c r="H71" s="283" t="s">
        <v>593</v>
      </c>
      <c r="I71" s="286" t="s">
        <v>361</v>
      </c>
      <c r="J71" s="287" t="s">
        <v>105</v>
      </c>
      <c r="K71" s="354"/>
      <c r="L71" s="369">
        <v>1856.67</v>
      </c>
      <c r="M71" s="553">
        <f>3*L71</f>
        <v>5570.01</v>
      </c>
      <c r="N71" s="283" t="s">
        <v>594</v>
      </c>
      <c r="O71" s="286" t="s">
        <v>121</v>
      </c>
      <c r="P71" s="419"/>
      <c r="Q71" s="368"/>
      <c r="R71" s="418"/>
      <c r="S71" s="368"/>
      <c r="T71" s="368"/>
      <c r="U71" s="418"/>
      <c r="V71" s="419"/>
      <c r="W71" s="368"/>
      <c r="X71" s="418"/>
      <c r="Y71" s="419"/>
    </row>
    <row r="72" spans="1:25">
      <c r="A72" s="742">
        <v>38733</v>
      </c>
      <c r="B72" s="290">
        <v>38428</v>
      </c>
      <c r="C72" s="284">
        <v>5639</v>
      </c>
      <c r="D72" s="284" t="s">
        <v>471</v>
      </c>
      <c r="E72" s="290">
        <v>33042</v>
      </c>
      <c r="F72" s="283">
        <v>23</v>
      </c>
      <c r="G72" s="283" t="s">
        <v>472</v>
      </c>
      <c r="H72" s="283" t="s">
        <v>124</v>
      </c>
      <c r="I72" s="355"/>
      <c r="J72" s="287" t="s">
        <v>105</v>
      </c>
      <c r="K72" s="354"/>
      <c r="L72" s="285">
        <v>1956.47</v>
      </c>
      <c r="M72" s="285">
        <f>M60+L72*3</f>
        <v>19075.574218635364</v>
      </c>
      <c r="N72" s="283"/>
      <c r="O72" s="283"/>
      <c r="P72" s="283"/>
      <c r="Q72" s="283"/>
      <c r="R72" s="283"/>
      <c r="S72" s="285">
        <f t="shared" si="1"/>
        <v>0</v>
      </c>
      <c r="T72" s="283"/>
      <c r="U72" s="283"/>
      <c r="V72" s="283"/>
      <c r="W72" s="283"/>
      <c r="X72" s="283"/>
      <c r="Y72" s="283"/>
    </row>
    <row r="73" spans="1:25" s="583" customFormat="1">
      <c r="A73" s="577">
        <v>38971</v>
      </c>
      <c r="B73" s="682">
        <v>38869</v>
      </c>
      <c r="C73" s="826">
        <v>6292</v>
      </c>
      <c r="D73" s="649" t="s">
        <v>654</v>
      </c>
      <c r="E73" s="682">
        <v>36788</v>
      </c>
      <c r="F73" s="809">
        <v>24</v>
      </c>
      <c r="G73" s="809" t="s">
        <v>655</v>
      </c>
      <c r="H73" s="150" t="s">
        <v>124</v>
      </c>
      <c r="I73" s="286" t="s">
        <v>361</v>
      </c>
      <c r="J73" s="287" t="s">
        <v>105</v>
      </c>
      <c r="K73" s="354"/>
      <c r="L73" s="582">
        <v>2347.7600000000002</v>
      </c>
      <c r="M73" s="582">
        <f>M63+3*L73</f>
        <v>21129.846867204695</v>
      </c>
      <c r="N73" s="286" t="s">
        <v>100</v>
      </c>
      <c r="O73" s="286" t="s">
        <v>100</v>
      </c>
      <c r="P73" s="286" t="s">
        <v>100</v>
      </c>
      <c r="Q73" s="354"/>
      <c r="R73" s="354"/>
      <c r="S73" s="354"/>
      <c r="T73" s="809" t="s">
        <v>657</v>
      </c>
      <c r="U73" s="286" t="s">
        <v>100</v>
      </c>
      <c r="V73" s="286" t="s">
        <v>100</v>
      </c>
      <c r="W73" s="809" t="s">
        <v>658</v>
      </c>
      <c r="X73" s="286" t="s">
        <v>100</v>
      </c>
      <c r="Y73" s="286" t="s">
        <v>100</v>
      </c>
    </row>
    <row r="74" spans="1:25">
      <c r="A74" s="290">
        <v>39073</v>
      </c>
      <c r="B74" s="391"/>
      <c r="C74" s="284">
        <v>5125</v>
      </c>
      <c r="D74" s="391"/>
      <c r="E74" s="290">
        <v>39073</v>
      </c>
      <c r="F74" s="283">
        <v>16</v>
      </c>
      <c r="G74" s="283" t="s">
        <v>259</v>
      </c>
      <c r="H74" s="283" t="s">
        <v>167</v>
      </c>
      <c r="I74" s="286" t="s">
        <v>100</v>
      </c>
      <c r="J74" s="286" t="s">
        <v>100</v>
      </c>
      <c r="K74" s="354"/>
      <c r="L74" s="350">
        <v>1111.1099999999999</v>
      </c>
      <c r="M74" s="350">
        <f>3*L74</f>
        <v>3333.33</v>
      </c>
      <c r="N74" s="286" t="s">
        <v>100</v>
      </c>
      <c r="O74" s="283"/>
      <c r="P74" s="283"/>
      <c r="Q74" s="286" t="s">
        <v>100</v>
      </c>
      <c r="R74" s="283"/>
      <c r="S74" s="285">
        <f t="shared" si="1"/>
        <v>0</v>
      </c>
      <c r="T74" s="286" t="s">
        <v>100</v>
      </c>
      <c r="U74" s="283"/>
      <c r="V74" s="283"/>
      <c r="W74" s="286" t="s">
        <v>100</v>
      </c>
      <c r="X74" s="283"/>
      <c r="Y74" s="283"/>
    </row>
    <row r="75" spans="1:25" s="583" customFormat="1">
      <c r="A75" s="577">
        <v>39330</v>
      </c>
      <c r="B75" s="682">
        <v>39202</v>
      </c>
      <c r="C75" s="826">
        <v>7283</v>
      </c>
      <c r="D75" s="581">
        <v>4070</v>
      </c>
      <c r="E75" s="682">
        <v>38198</v>
      </c>
      <c r="F75" s="150">
        <v>30</v>
      </c>
      <c r="G75" s="150" t="s">
        <v>668</v>
      </c>
      <c r="H75" s="150" t="s">
        <v>124</v>
      </c>
      <c r="I75" s="286" t="s">
        <v>361</v>
      </c>
      <c r="J75" s="287" t="s">
        <v>105</v>
      </c>
      <c r="K75" s="354"/>
      <c r="L75" s="582">
        <v>3200</v>
      </c>
      <c r="M75" s="582">
        <f>M66+3*L75</f>
        <v>19200</v>
      </c>
      <c r="N75" s="519" t="s">
        <v>709</v>
      </c>
      <c r="O75" s="322" t="s">
        <v>218</v>
      </c>
      <c r="P75" s="322" t="s">
        <v>218</v>
      </c>
      <c r="Q75" s="150" t="s">
        <v>708</v>
      </c>
      <c r="R75" s="322" t="s">
        <v>218</v>
      </c>
      <c r="S75" s="322" t="s">
        <v>218</v>
      </c>
      <c r="T75" s="150" t="s">
        <v>710</v>
      </c>
      <c r="U75" s="322" t="s">
        <v>218</v>
      </c>
      <c r="V75" s="322" t="s">
        <v>218</v>
      </c>
      <c r="W75" s="286" t="s">
        <v>100</v>
      </c>
      <c r="X75" s="286" t="s">
        <v>100</v>
      </c>
      <c r="Y75" s="286" t="s">
        <v>100</v>
      </c>
    </row>
    <row r="76" spans="1:25" s="583" customFormat="1">
      <c r="A76" s="577">
        <v>39330</v>
      </c>
      <c r="B76" s="682">
        <v>39194</v>
      </c>
      <c r="C76" s="826">
        <v>7284</v>
      </c>
      <c r="D76" s="581">
        <v>4059</v>
      </c>
      <c r="E76" s="682">
        <v>38191</v>
      </c>
      <c r="F76" s="150">
        <v>30</v>
      </c>
      <c r="G76" s="150" t="s">
        <v>703</v>
      </c>
      <c r="H76" s="150" t="s">
        <v>124</v>
      </c>
      <c r="I76" s="286" t="s">
        <v>361</v>
      </c>
      <c r="J76" s="287" t="s">
        <v>105</v>
      </c>
      <c r="K76" s="354"/>
      <c r="L76" s="582">
        <v>300</v>
      </c>
      <c r="M76" s="582">
        <f>M65+3*L76</f>
        <v>1800</v>
      </c>
      <c r="N76" s="808" t="s">
        <v>702</v>
      </c>
      <c r="O76" s="322" t="s">
        <v>714</v>
      </c>
      <c r="P76" s="322" t="s">
        <v>714</v>
      </c>
      <c r="Q76" s="355"/>
      <c r="R76" s="355"/>
      <c r="S76" s="355"/>
      <c r="T76" s="286" t="s">
        <v>100</v>
      </c>
      <c r="U76" s="354"/>
      <c r="V76" s="286" t="s">
        <v>100</v>
      </c>
      <c r="W76" s="808" t="s">
        <v>701</v>
      </c>
      <c r="X76" s="322" t="s">
        <v>714</v>
      </c>
      <c r="Y76" s="322" t="s">
        <v>714</v>
      </c>
    </row>
    <row r="77" spans="1:25">
      <c r="A77" s="303">
        <v>39334</v>
      </c>
      <c r="B77" s="290">
        <v>39252</v>
      </c>
      <c r="C77" s="575">
        <v>8138</v>
      </c>
      <c r="D77" s="284" t="s">
        <v>198</v>
      </c>
      <c r="E77" s="290">
        <v>34962</v>
      </c>
      <c r="F77" s="283">
        <v>16</v>
      </c>
      <c r="G77" s="283" t="s">
        <v>122</v>
      </c>
      <c r="H77" s="283" t="s">
        <v>124</v>
      </c>
      <c r="I77" s="286" t="s">
        <v>361</v>
      </c>
      <c r="J77" s="287" t="s">
        <v>105</v>
      </c>
      <c r="K77" s="354"/>
      <c r="L77" s="492">
        <v>207.65</v>
      </c>
      <c r="M77" s="350">
        <f>M68+3*L77</f>
        <v>2698.9476889214966</v>
      </c>
      <c r="N77" s="283" t="s">
        <v>162</v>
      </c>
      <c r="O77" s="322" t="s">
        <v>218</v>
      </c>
      <c r="P77" s="322" t="s">
        <v>218</v>
      </c>
      <c r="Q77" s="283" t="s">
        <v>163</v>
      </c>
      <c r="R77" s="286" t="s">
        <v>100</v>
      </c>
      <c r="S77" s="285"/>
      <c r="T77" s="283" t="s">
        <v>163</v>
      </c>
      <c r="U77" s="286" t="s">
        <v>100</v>
      </c>
      <c r="V77" s="283"/>
      <c r="W77" s="283" t="s">
        <v>163</v>
      </c>
      <c r="X77" s="286" t="s">
        <v>100</v>
      </c>
      <c r="Y77" s="283"/>
    </row>
    <row r="78" spans="1:25">
      <c r="A78" s="303">
        <v>39430</v>
      </c>
      <c r="B78" s="292">
        <v>39433</v>
      </c>
      <c r="C78" s="284">
        <v>6330</v>
      </c>
      <c r="D78" s="284" t="s">
        <v>199</v>
      </c>
      <c r="E78" s="328">
        <v>27106</v>
      </c>
      <c r="F78" s="283">
        <v>60</v>
      </c>
      <c r="G78" s="283" t="s">
        <v>190</v>
      </c>
      <c r="H78" s="283" t="s">
        <v>194</v>
      </c>
      <c r="I78" s="286" t="s">
        <v>100</v>
      </c>
      <c r="J78" s="285"/>
      <c r="K78" s="354"/>
      <c r="L78" s="350">
        <v>222.22</v>
      </c>
      <c r="M78" s="350">
        <f>M69+10*L78</f>
        <v>5919.9737197358763</v>
      </c>
      <c r="N78" s="286" t="s">
        <v>100</v>
      </c>
      <c r="O78" s="283"/>
      <c r="P78" s="283"/>
      <c r="Q78" s="286" t="s">
        <v>100</v>
      </c>
      <c r="R78" s="283"/>
      <c r="S78" s="285">
        <f t="shared" ref="S78:S134" si="22">R78/340.75</f>
        <v>0</v>
      </c>
      <c r="T78" s="286" t="s">
        <v>100</v>
      </c>
      <c r="U78" s="283"/>
      <c r="V78" s="283"/>
      <c r="W78" s="286" t="s">
        <v>100</v>
      </c>
      <c r="X78" s="283"/>
      <c r="Y78" s="283"/>
    </row>
    <row r="79" spans="1:25">
      <c r="A79" s="290">
        <v>39639</v>
      </c>
      <c r="B79" s="354"/>
      <c r="C79" s="575">
        <v>7952</v>
      </c>
      <c r="D79" s="354"/>
      <c r="E79" s="290">
        <v>39639</v>
      </c>
      <c r="F79" s="283">
        <v>26</v>
      </c>
      <c r="G79" s="283" t="s">
        <v>530</v>
      </c>
      <c r="H79" s="283" t="s">
        <v>124</v>
      </c>
      <c r="I79" s="286" t="s">
        <v>361</v>
      </c>
      <c r="J79" s="287" t="s">
        <v>105</v>
      </c>
      <c r="K79" s="354"/>
      <c r="L79" s="285">
        <v>1400</v>
      </c>
      <c r="M79" s="553">
        <f>3*L79</f>
        <v>4200</v>
      </c>
      <c r="N79" s="283" t="s">
        <v>531</v>
      </c>
      <c r="O79" s="322" t="s">
        <v>218</v>
      </c>
      <c r="P79" s="286" t="s">
        <v>121</v>
      </c>
      <c r="Q79" s="283" t="s">
        <v>525</v>
      </c>
      <c r="R79" s="355"/>
      <c r="S79" s="355"/>
      <c r="T79" s="283" t="s">
        <v>532</v>
      </c>
      <c r="U79" s="322" t="s">
        <v>218</v>
      </c>
      <c r="V79" s="286" t="s">
        <v>121</v>
      </c>
      <c r="W79" s="286" t="s">
        <v>151</v>
      </c>
      <c r="X79" s="322" t="s">
        <v>218</v>
      </c>
      <c r="Y79" s="286" t="s">
        <v>121</v>
      </c>
    </row>
    <row r="80" spans="1:25">
      <c r="A80" s="678">
        <v>39750</v>
      </c>
      <c r="B80" s="304" t="s">
        <v>458</v>
      </c>
      <c r="C80" s="679">
        <v>8261</v>
      </c>
      <c r="D80" s="284" t="s">
        <v>427</v>
      </c>
      <c r="E80" s="328">
        <v>32754</v>
      </c>
      <c r="F80" s="283">
        <v>29</v>
      </c>
      <c r="G80" s="283" t="s">
        <v>459</v>
      </c>
      <c r="H80" s="283" t="s">
        <v>124</v>
      </c>
      <c r="I80" s="354"/>
      <c r="J80" s="287" t="s">
        <v>105</v>
      </c>
      <c r="K80" s="354"/>
      <c r="L80" s="350">
        <v>52.17</v>
      </c>
      <c r="M80" s="350">
        <f>M58+L80*15</f>
        <v>5253.8409112252384</v>
      </c>
      <c r="N80" s="283"/>
      <c r="O80" s="283"/>
      <c r="P80" s="283"/>
      <c r="Q80" s="283"/>
      <c r="R80" s="283"/>
      <c r="S80" s="285">
        <f t="shared" si="22"/>
        <v>0</v>
      </c>
      <c r="T80" s="283"/>
      <c r="U80" s="283"/>
      <c r="V80" s="283"/>
      <c r="W80" s="283"/>
      <c r="X80" s="283"/>
      <c r="Y80" s="283"/>
    </row>
    <row r="81" spans="1:25" s="104" customFormat="1">
      <c r="A81" s="290">
        <v>39801</v>
      </c>
      <c r="B81" s="354"/>
      <c r="C81" s="575">
        <v>8389</v>
      </c>
      <c r="D81" s="365" t="s">
        <v>554</v>
      </c>
      <c r="E81" s="365">
        <v>32480</v>
      </c>
      <c r="F81" s="368">
        <v>25</v>
      </c>
      <c r="G81" s="283" t="s">
        <v>590</v>
      </c>
      <c r="H81" s="283" t="s">
        <v>124</v>
      </c>
      <c r="I81" s="286" t="s">
        <v>361</v>
      </c>
      <c r="J81" s="287" t="s">
        <v>105</v>
      </c>
      <c r="K81" s="354"/>
      <c r="L81" s="350">
        <v>217.39</v>
      </c>
      <c r="M81" s="350">
        <f>M70+5*L81</f>
        <v>7173.7832355099044</v>
      </c>
      <c r="N81" s="368"/>
      <c r="O81" s="368"/>
      <c r="P81" s="368"/>
      <c r="Q81" s="368"/>
      <c r="R81" s="368"/>
      <c r="S81" s="369"/>
      <c r="T81" s="283" t="s">
        <v>588</v>
      </c>
      <c r="U81" s="354"/>
      <c r="V81" s="286" t="s">
        <v>100</v>
      </c>
      <c r="W81" s="283" t="s">
        <v>587</v>
      </c>
      <c r="X81" s="354"/>
      <c r="Y81" s="286" t="s">
        <v>121</v>
      </c>
    </row>
    <row r="82" spans="1:25" s="104" customFormat="1">
      <c r="A82" s="365">
        <v>39802</v>
      </c>
      <c r="B82" s="292">
        <v>39802</v>
      </c>
      <c r="C82" s="575">
        <v>8390</v>
      </c>
      <c r="D82" s="284" t="s">
        <v>591</v>
      </c>
      <c r="E82" s="365">
        <v>38707</v>
      </c>
      <c r="F82" s="283">
        <v>25</v>
      </c>
      <c r="G82" s="368" t="s">
        <v>592</v>
      </c>
      <c r="H82" s="283" t="s">
        <v>124</v>
      </c>
      <c r="I82" s="286" t="s">
        <v>361</v>
      </c>
      <c r="J82" s="287" t="s">
        <v>105</v>
      </c>
      <c r="K82" s="354"/>
      <c r="L82" s="369">
        <f>L71</f>
        <v>1856.67</v>
      </c>
      <c r="M82" s="369">
        <f>M71+L82*3</f>
        <v>11140.02</v>
      </c>
      <c r="N82" s="368"/>
      <c r="O82" s="368"/>
      <c r="P82" s="368"/>
      <c r="Q82" s="368"/>
      <c r="R82" s="368"/>
      <c r="S82" s="369"/>
      <c r="T82" s="368"/>
      <c r="U82" s="418"/>
      <c r="V82" s="419"/>
      <c r="W82" s="368"/>
      <c r="X82" s="418"/>
      <c r="Y82" s="419"/>
    </row>
    <row r="83" spans="1:25">
      <c r="A83" s="290">
        <v>39902</v>
      </c>
      <c r="B83" s="354"/>
      <c r="C83" s="575">
        <v>8546</v>
      </c>
      <c r="D83" s="354"/>
      <c r="E83" s="354"/>
      <c r="F83" s="283">
        <v>27</v>
      </c>
      <c r="G83" s="283" t="s">
        <v>405</v>
      </c>
      <c r="H83" s="283" t="s">
        <v>124</v>
      </c>
      <c r="I83" s="286" t="s">
        <v>361</v>
      </c>
      <c r="J83" s="287" t="s">
        <v>105</v>
      </c>
      <c r="K83" s="354"/>
      <c r="L83" s="369">
        <v>5316.22</v>
      </c>
      <c r="M83" s="285">
        <f>L83*3</f>
        <v>15948.66</v>
      </c>
      <c r="N83" s="368" t="s">
        <v>408</v>
      </c>
      <c r="O83" s="286" t="s">
        <v>121</v>
      </c>
      <c r="P83" s="285"/>
      <c r="Q83" s="286" t="s">
        <v>100</v>
      </c>
      <c r="R83" s="354"/>
      <c r="S83" s="286" t="s">
        <v>100</v>
      </c>
      <c r="T83" s="286" t="s">
        <v>100</v>
      </c>
      <c r="U83" s="354"/>
      <c r="V83" s="286" t="s">
        <v>100</v>
      </c>
      <c r="W83" s="286" t="s">
        <v>100</v>
      </c>
      <c r="X83" s="354"/>
      <c r="Y83" s="286" t="s">
        <v>100</v>
      </c>
    </row>
    <row r="84" spans="1:25" s="104" customFormat="1">
      <c r="A84" s="678">
        <v>39968</v>
      </c>
      <c r="B84" s="290">
        <v>39524</v>
      </c>
      <c r="C84" s="418">
        <v>8687</v>
      </c>
      <c r="D84" s="284" t="s">
        <v>471</v>
      </c>
      <c r="E84" s="290">
        <v>33042</v>
      </c>
      <c r="F84" s="283">
        <v>23</v>
      </c>
      <c r="G84" s="283" t="s">
        <v>472</v>
      </c>
      <c r="H84" s="283" t="s">
        <v>124</v>
      </c>
      <c r="I84" s="286" t="s">
        <v>361</v>
      </c>
      <c r="J84" s="287" t="s">
        <v>105</v>
      </c>
      <c r="K84" s="354"/>
      <c r="L84" s="369">
        <v>5869.41</v>
      </c>
      <c r="M84" s="369">
        <f>M72+3*L84</f>
        <v>36683.804218635363</v>
      </c>
      <c r="N84" s="368"/>
      <c r="O84" s="419"/>
      <c r="P84" s="369"/>
      <c r="Q84" s="419"/>
      <c r="R84" s="418"/>
      <c r="S84" s="419"/>
      <c r="T84" s="419"/>
      <c r="U84" s="418"/>
      <c r="V84" s="419"/>
      <c r="W84" s="419"/>
      <c r="X84" s="418"/>
      <c r="Y84" s="419"/>
    </row>
    <row r="85" spans="1:25" s="583" customFormat="1">
      <c r="A85" s="682">
        <v>39974</v>
      </c>
      <c r="B85" s="682">
        <v>39965</v>
      </c>
      <c r="C85" s="826">
        <v>8695</v>
      </c>
      <c r="D85" s="649" t="s">
        <v>654</v>
      </c>
      <c r="E85" s="682">
        <v>36788</v>
      </c>
      <c r="F85" s="809">
        <v>24</v>
      </c>
      <c r="G85" s="809" t="s">
        <v>655</v>
      </c>
      <c r="H85" s="150" t="s">
        <v>124</v>
      </c>
      <c r="I85" s="286" t="s">
        <v>361</v>
      </c>
      <c r="J85" s="287" t="s">
        <v>105</v>
      </c>
      <c r="K85" s="354"/>
      <c r="L85" s="582">
        <v>2347.7600000000002</v>
      </c>
      <c r="M85" s="582">
        <f>M73+3*L85</f>
        <v>28173.126867204694</v>
      </c>
      <c r="N85" s="286" t="s">
        <v>100</v>
      </c>
      <c r="O85" s="286" t="s">
        <v>100</v>
      </c>
      <c r="P85" s="286" t="s">
        <v>100</v>
      </c>
      <c r="Q85" s="354"/>
      <c r="R85" s="354"/>
      <c r="S85" s="354"/>
      <c r="T85" s="809" t="s">
        <v>657</v>
      </c>
      <c r="U85" s="286" t="s">
        <v>100</v>
      </c>
      <c r="V85" s="286" t="s">
        <v>100</v>
      </c>
      <c r="W85" s="809" t="s">
        <v>658</v>
      </c>
      <c r="X85" s="286" t="s">
        <v>100</v>
      </c>
      <c r="Y85" s="286" t="s">
        <v>100</v>
      </c>
    </row>
    <row r="86" spans="1:25" s="104" customFormat="1">
      <c r="A86" s="365">
        <v>40024</v>
      </c>
      <c r="B86" s="354"/>
      <c r="C86" s="575">
        <v>8808</v>
      </c>
      <c r="D86" s="418">
        <v>8546</v>
      </c>
      <c r="E86" s="365">
        <v>39902</v>
      </c>
      <c r="F86" s="283">
        <v>27</v>
      </c>
      <c r="G86" s="283" t="s">
        <v>412</v>
      </c>
      <c r="H86" s="283" t="s">
        <v>124</v>
      </c>
      <c r="I86" s="286" t="s">
        <v>361</v>
      </c>
      <c r="J86" s="287" t="s">
        <v>105</v>
      </c>
      <c r="K86" s="354"/>
      <c r="L86" s="369"/>
      <c r="M86" s="369"/>
      <c r="N86" s="368"/>
      <c r="O86" s="419"/>
      <c r="P86" s="369"/>
      <c r="Q86" s="419"/>
      <c r="R86" s="418"/>
      <c r="S86" s="419"/>
      <c r="T86" s="419"/>
      <c r="U86" s="418"/>
      <c r="V86" s="419"/>
      <c r="W86" s="419"/>
      <c r="X86" s="418"/>
      <c r="Y86" s="419"/>
    </row>
    <row r="87" spans="1:25" s="583" customFormat="1">
      <c r="A87" s="682">
        <v>40063</v>
      </c>
      <c r="B87" s="354"/>
      <c r="C87" s="575">
        <v>8922</v>
      </c>
      <c r="D87" s="354"/>
      <c r="E87" s="682">
        <v>40063</v>
      </c>
      <c r="F87" s="150">
        <v>30</v>
      </c>
      <c r="G87" s="150" t="s">
        <v>717</v>
      </c>
      <c r="H87" s="283" t="s">
        <v>124</v>
      </c>
      <c r="I87" s="286" t="s">
        <v>361</v>
      </c>
      <c r="J87" s="287" t="s">
        <v>105</v>
      </c>
      <c r="K87" s="354"/>
      <c r="L87" s="582">
        <v>100</v>
      </c>
      <c r="M87" s="582">
        <f>3*L87</f>
        <v>300</v>
      </c>
      <c r="N87" s="286" t="s">
        <v>100</v>
      </c>
      <c r="O87" s="286" t="s">
        <v>100</v>
      </c>
      <c r="P87" s="582"/>
      <c r="Q87" s="150" t="s">
        <v>722</v>
      </c>
      <c r="R87" s="150" t="s">
        <v>723</v>
      </c>
      <c r="S87" s="322" t="s">
        <v>724</v>
      </c>
      <c r="T87" s="286" t="s">
        <v>100</v>
      </c>
      <c r="U87" s="286" t="s">
        <v>100</v>
      </c>
      <c r="V87" s="519"/>
      <c r="W87" s="150" t="s">
        <v>721</v>
      </c>
      <c r="X87" s="581" t="s">
        <v>725</v>
      </c>
      <c r="Y87" s="322" t="s">
        <v>724</v>
      </c>
    </row>
    <row r="88" spans="1:25">
      <c r="A88" s="303">
        <v>40169</v>
      </c>
      <c r="B88" s="290">
        <v>40077</v>
      </c>
      <c r="C88" s="284">
        <v>8127</v>
      </c>
      <c r="D88" s="284" t="s">
        <v>200</v>
      </c>
      <c r="E88" s="290">
        <v>39073</v>
      </c>
      <c r="F88" s="283">
        <v>16</v>
      </c>
      <c r="G88" s="283" t="s">
        <v>169</v>
      </c>
      <c r="H88" s="283" t="s">
        <v>167</v>
      </c>
      <c r="I88" s="286" t="s">
        <v>100</v>
      </c>
      <c r="J88" s="286" t="s">
        <v>100</v>
      </c>
      <c r="K88" s="354"/>
      <c r="L88" s="350">
        <v>1111.1099999999999</v>
      </c>
      <c r="M88" s="350">
        <f>M74+L88*3</f>
        <v>6666.66</v>
      </c>
      <c r="N88" s="286" t="s">
        <v>100</v>
      </c>
      <c r="O88" s="283"/>
      <c r="P88" s="283"/>
      <c r="Q88" s="286" t="s">
        <v>100</v>
      </c>
      <c r="R88" s="354"/>
      <c r="S88" s="285">
        <f t="shared" si="22"/>
        <v>0</v>
      </c>
      <c r="T88" s="286" t="s">
        <v>100</v>
      </c>
      <c r="U88" s="354"/>
      <c r="V88" s="283"/>
      <c r="W88" s="283"/>
      <c r="X88" s="354"/>
      <c r="Y88" s="283"/>
    </row>
    <row r="89" spans="1:25" s="583" customFormat="1">
      <c r="A89" s="577">
        <v>40338</v>
      </c>
      <c r="B89" s="682">
        <v>40298</v>
      </c>
      <c r="C89" s="826">
        <v>9511</v>
      </c>
      <c r="D89" s="581">
        <v>4070</v>
      </c>
      <c r="E89" s="682">
        <v>38198</v>
      </c>
      <c r="F89" s="150">
        <v>30</v>
      </c>
      <c r="G89" s="150" t="s">
        <v>668</v>
      </c>
      <c r="H89" s="150" t="s">
        <v>124</v>
      </c>
      <c r="I89" s="286" t="s">
        <v>361</v>
      </c>
      <c r="J89" s="287" t="s">
        <v>105</v>
      </c>
      <c r="K89" s="354"/>
      <c r="L89" s="582">
        <v>1066.67</v>
      </c>
      <c r="M89" s="582">
        <f>M75+3*L89</f>
        <v>22400.010000000002</v>
      </c>
      <c r="N89" s="519" t="s">
        <v>709</v>
      </c>
      <c r="O89" s="322" t="s">
        <v>218</v>
      </c>
      <c r="P89" s="322" t="s">
        <v>218</v>
      </c>
      <c r="Q89" s="150" t="s">
        <v>708</v>
      </c>
      <c r="R89" s="322" t="s">
        <v>218</v>
      </c>
      <c r="S89" s="322" t="s">
        <v>218</v>
      </c>
      <c r="T89" s="150" t="s">
        <v>710</v>
      </c>
      <c r="U89" s="322" t="s">
        <v>218</v>
      </c>
      <c r="V89" s="322" t="s">
        <v>218</v>
      </c>
      <c r="W89" s="286" t="s">
        <v>100</v>
      </c>
      <c r="X89" s="286" t="s">
        <v>100</v>
      </c>
      <c r="Y89" s="286" t="s">
        <v>100</v>
      </c>
    </row>
    <row r="90" spans="1:25">
      <c r="A90" s="303">
        <v>40423</v>
      </c>
      <c r="B90" s="290">
        <v>40348</v>
      </c>
      <c r="C90" s="575">
        <v>9681</v>
      </c>
      <c r="D90" s="284" t="s">
        <v>198</v>
      </c>
      <c r="E90" s="328">
        <v>34962</v>
      </c>
      <c r="F90" s="283">
        <v>16</v>
      </c>
      <c r="G90" s="283" t="s">
        <v>269</v>
      </c>
      <c r="H90" s="283" t="s">
        <v>124</v>
      </c>
      <c r="I90" s="286" t="s">
        <v>361</v>
      </c>
      <c r="J90" s="287" t="s">
        <v>105</v>
      </c>
      <c r="K90" s="354"/>
      <c r="L90" s="492">
        <v>207.65</v>
      </c>
      <c r="M90" s="350">
        <f>M77+10*L90</f>
        <v>4775.4476889214966</v>
      </c>
      <c r="N90" s="283" t="s">
        <v>162</v>
      </c>
      <c r="O90" s="322" t="s">
        <v>218</v>
      </c>
      <c r="P90" s="322" t="s">
        <v>218</v>
      </c>
      <c r="Q90" s="283" t="s">
        <v>163</v>
      </c>
      <c r="R90" s="354"/>
      <c r="S90" s="286" t="s">
        <v>100</v>
      </c>
      <c r="T90" s="283" t="s">
        <v>163</v>
      </c>
      <c r="U90" s="354"/>
      <c r="V90" s="286" t="s">
        <v>100</v>
      </c>
      <c r="W90" s="283" t="s">
        <v>163</v>
      </c>
      <c r="X90" s="354"/>
      <c r="Y90" s="286" t="s">
        <v>100</v>
      </c>
    </row>
    <row r="91" spans="1:25">
      <c r="A91" s="290">
        <v>40605</v>
      </c>
      <c r="B91" s="290">
        <v>40642</v>
      </c>
      <c r="C91" s="575">
        <v>9995</v>
      </c>
      <c r="D91" s="284">
        <v>7952</v>
      </c>
      <c r="E91" s="290">
        <v>39639</v>
      </c>
      <c r="F91" s="283">
        <v>26</v>
      </c>
      <c r="G91" s="283" t="s">
        <v>530</v>
      </c>
      <c r="H91" s="283" t="s">
        <v>124</v>
      </c>
      <c r="I91" s="286" t="s">
        <v>361</v>
      </c>
      <c r="J91" s="287" t="s">
        <v>105</v>
      </c>
      <c r="K91" s="354"/>
      <c r="L91" s="285">
        <v>1400</v>
      </c>
      <c r="M91" s="553">
        <f>M79+3*L91</f>
        <v>8400</v>
      </c>
      <c r="N91" s="283" t="s">
        <v>531</v>
      </c>
      <c r="O91" s="322" t="s">
        <v>218</v>
      </c>
      <c r="P91" s="286" t="s">
        <v>121</v>
      </c>
      <c r="Q91" s="283" t="s">
        <v>525</v>
      </c>
      <c r="R91" s="355"/>
      <c r="S91" s="355"/>
      <c r="T91" s="283" t="s">
        <v>532</v>
      </c>
      <c r="U91" s="322" t="s">
        <v>218</v>
      </c>
      <c r="V91" s="286" t="s">
        <v>121</v>
      </c>
      <c r="W91" s="286" t="s">
        <v>151</v>
      </c>
      <c r="X91" s="322" t="s">
        <v>218</v>
      </c>
      <c r="Y91" s="286" t="s">
        <v>121</v>
      </c>
    </row>
    <row r="92" spans="1:25">
      <c r="A92" s="392">
        <v>40877</v>
      </c>
      <c r="B92" s="290">
        <v>40906</v>
      </c>
      <c r="C92" s="651">
        <v>10449</v>
      </c>
      <c r="D92" s="418">
        <v>8546</v>
      </c>
      <c r="E92" s="365">
        <v>39902</v>
      </c>
      <c r="F92" s="283">
        <v>27</v>
      </c>
      <c r="G92" s="283" t="s">
        <v>413</v>
      </c>
      <c r="H92" s="283" t="s">
        <v>124</v>
      </c>
      <c r="I92" s="286" t="s">
        <v>361</v>
      </c>
      <c r="J92" s="287" t="s">
        <v>105</v>
      </c>
      <c r="K92" s="354"/>
      <c r="L92" s="285">
        <v>5316.22</v>
      </c>
      <c r="M92" s="285">
        <f>M83+L92*12</f>
        <v>79743.3</v>
      </c>
      <c r="N92" s="283"/>
      <c r="O92" s="283"/>
      <c r="P92" s="283"/>
      <c r="Q92" s="283"/>
      <c r="R92" s="354"/>
      <c r="S92" s="283"/>
      <c r="T92" s="283"/>
      <c r="U92" s="354"/>
      <c r="V92" s="283"/>
      <c r="W92" s="283"/>
      <c r="X92" s="354"/>
      <c r="Y92" s="283"/>
    </row>
    <row r="93" spans="1:25" s="583" customFormat="1">
      <c r="A93" s="807">
        <v>41059</v>
      </c>
      <c r="B93" s="354"/>
      <c r="C93" s="829" t="s">
        <v>671</v>
      </c>
      <c r="D93" s="581">
        <v>4070</v>
      </c>
      <c r="E93" s="682">
        <v>38198</v>
      </c>
      <c r="F93" s="150">
        <v>24</v>
      </c>
      <c r="G93" s="150" t="s">
        <v>672</v>
      </c>
      <c r="H93" s="150" t="s">
        <v>673</v>
      </c>
      <c r="I93" s="519"/>
      <c r="J93" s="832"/>
      <c r="K93" s="354"/>
      <c r="L93" s="582"/>
      <c r="M93" s="582"/>
      <c r="N93" s="150"/>
      <c r="O93" s="150"/>
      <c r="P93" s="150"/>
      <c r="Q93" s="150"/>
      <c r="R93" s="581"/>
      <c r="S93" s="150"/>
      <c r="T93" s="150"/>
      <c r="U93" s="581"/>
      <c r="V93" s="150"/>
      <c r="W93" s="150"/>
      <c r="X93" s="581"/>
      <c r="Y93" s="150"/>
    </row>
    <row r="94" spans="1:25" s="583" customFormat="1">
      <c r="A94" s="580">
        <v>41092</v>
      </c>
      <c r="B94" s="682">
        <v>41061</v>
      </c>
      <c r="C94" s="651">
        <v>10641</v>
      </c>
      <c r="D94" s="649" t="s">
        <v>654</v>
      </c>
      <c r="E94" s="682">
        <v>36788</v>
      </c>
      <c r="F94" s="809">
        <v>24</v>
      </c>
      <c r="G94" s="809" t="s">
        <v>655</v>
      </c>
      <c r="H94" s="150" t="s">
        <v>124</v>
      </c>
      <c r="I94" s="286" t="s">
        <v>361</v>
      </c>
      <c r="J94" s="287" t="s">
        <v>105</v>
      </c>
      <c r="K94" s="354"/>
      <c r="L94" s="582">
        <f>L85</f>
        <v>2347.7600000000002</v>
      </c>
      <c r="M94" s="582">
        <f>M85+3*L94</f>
        <v>35216.406867204692</v>
      </c>
      <c r="N94" s="286" t="s">
        <v>100</v>
      </c>
      <c r="O94" s="286" t="s">
        <v>100</v>
      </c>
      <c r="P94" s="286" t="s">
        <v>100</v>
      </c>
      <c r="Q94" s="354"/>
      <c r="R94" s="354"/>
      <c r="S94" s="354"/>
      <c r="T94" s="809" t="s">
        <v>657</v>
      </c>
      <c r="U94" s="286" t="s">
        <v>100</v>
      </c>
      <c r="V94" s="286" t="s">
        <v>100</v>
      </c>
      <c r="W94" s="809" t="s">
        <v>658</v>
      </c>
      <c r="X94" s="286" t="s">
        <v>100</v>
      </c>
      <c r="Y94" s="286" t="s">
        <v>100</v>
      </c>
    </row>
    <row r="95" spans="1:25" s="583" customFormat="1">
      <c r="A95" s="580">
        <v>41157</v>
      </c>
      <c r="B95" s="682">
        <v>40700</v>
      </c>
      <c r="C95" s="651">
        <v>10751</v>
      </c>
      <c r="D95" s="418">
        <v>8922</v>
      </c>
      <c r="E95" s="682">
        <v>40063</v>
      </c>
      <c r="F95" s="150">
        <v>30</v>
      </c>
      <c r="G95" s="150" t="s">
        <v>752</v>
      </c>
      <c r="H95" s="150" t="s">
        <v>124</v>
      </c>
      <c r="I95" s="286" t="s">
        <v>361</v>
      </c>
      <c r="J95" s="287" t="s">
        <v>105</v>
      </c>
      <c r="K95" s="354"/>
      <c r="L95" s="582">
        <v>100</v>
      </c>
      <c r="M95" s="582">
        <f>M87+3*L95</f>
        <v>600</v>
      </c>
      <c r="N95" s="286" t="s">
        <v>100</v>
      </c>
      <c r="O95" s="286" t="s">
        <v>100</v>
      </c>
      <c r="P95" s="582"/>
      <c r="Q95" s="150" t="s">
        <v>722</v>
      </c>
      <c r="R95" s="150" t="s">
        <v>723</v>
      </c>
      <c r="S95" s="322" t="s">
        <v>724</v>
      </c>
      <c r="T95" s="286" t="s">
        <v>100</v>
      </c>
      <c r="U95" s="286" t="s">
        <v>100</v>
      </c>
      <c r="V95" s="519"/>
      <c r="W95" s="150" t="s">
        <v>721</v>
      </c>
      <c r="X95" s="581" t="s">
        <v>725</v>
      </c>
      <c r="Y95" s="322" t="s">
        <v>724</v>
      </c>
    </row>
    <row r="96" spans="1:25">
      <c r="A96" s="290">
        <v>41260</v>
      </c>
      <c r="B96" s="290">
        <v>42268</v>
      </c>
      <c r="C96" s="284">
        <v>9886</v>
      </c>
      <c r="D96" s="284" t="s">
        <v>200</v>
      </c>
      <c r="E96" s="290">
        <v>39073</v>
      </c>
      <c r="F96" s="283">
        <v>16</v>
      </c>
      <c r="G96" s="283" t="s">
        <v>169</v>
      </c>
      <c r="H96" s="283" t="s">
        <v>167</v>
      </c>
      <c r="I96" s="286" t="s">
        <v>100</v>
      </c>
      <c r="J96" s="286" t="s">
        <v>100</v>
      </c>
      <c r="K96" s="354"/>
      <c r="L96" s="350">
        <v>1111.1099999999999</v>
      </c>
      <c r="M96" s="350">
        <f>M88+L96*3</f>
        <v>9999.99</v>
      </c>
      <c r="N96" s="286" t="s">
        <v>100</v>
      </c>
      <c r="O96" s="283"/>
      <c r="P96" s="283"/>
      <c r="Q96" s="286" t="s">
        <v>100</v>
      </c>
      <c r="R96" s="354"/>
      <c r="S96" s="283"/>
      <c r="T96" s="286" t="s">
        <v>100</v>
      </c>
      <c r="U96" s="354"/>
      <c r="V96" s="283"/>
      <c r="W96" s="286" t="s">
        <v>100</v>
      </c>
      <c r="X96" s="354"/>
      <c r="Y96" s="283"/>
    </row>
    <row r="97" spans="1:25" s="583" customFormat="1">
      <c r="A97" s="682">
        <v>41390</v>
      </c>
      <c r="B97" s="682">
        <v>41394</v>
      </c>
      <c r="C97" s="826">
        <v>11114</v>
      </c>
      <c r="D97" s="581">
        <v>4070</v>
      </c>
      <c r="E97" s="682">
        <v>38198</v>
      </c>
      <c r="F97" s="150">
        <v>24</v>
      </c>
      <c r="G97" s="150" t="s">
        <v>670</v>
      </c>
      <c r="H97" s="150" t="s">
        <v>124</v>
      </c>
      <c r="I97" s="286" t="s">
        <v>361</v>
      </c>
      <c r="J97" s="287" t="s">
        <v>105</v>
      </c>
      <c r="K97" s="354"/>
      <c r="L97" s="582">
        <v>1066.67</v>
      </c>
      <c r="M97" s="582">
        <f>M89+3*L97</f>
        <v>25600.020000000004</v>
      </c>
      <c r="N97" s="519" t="s">
        <v>709</v>
      </c>
      <c r="O97" s="322" t="s">
        <v>218</v>
      </c>
      <c r="P97" s="322" t="s">
        <v>218</v>
      </c>
      <c r="Q97" s="150" t="s">
        <v>708</v>
      </c>
      <c r="R97" s="322" t="s">
        <v>218</v>
      </c>
      <c r="S97" s="322" t="s">
        <v>218</v>
      </c>
      <c r="T97" s="150" t="s">
        <v>710</v>
      </c>
      <c r="U97" s="322" t="s">
        <v>218</v>
      </c>
      <c r="V97" s="322" t="s">
        <v>218</v>
      </c>
      <c r="W97" s="286" t="s">
        <v>100</v>
      </c>
      <c r="X97" s="286" t="s">
        <v>100</v>
      </c>
      <c r="Y97" s="286" t="s">
        <v>100</v>
      </c>
    </row>
    <row r="98" spans="1:25">
      <c r="A98" s="277" t="s">
        <v>151</v>
      </c>
      <c r="B98" s="292">
        <v>41432</v>
      </c>
      <c r="C98" s="277" t="s">
        <v>151</v>
      </c>
      <c r="D98" s="284" t="s">
        <v>231</v>
      </c>
      <c r="E98" s="290">
        <v>32394</v>
      </c>
      <c r="F98" s="283">
        <v>16</v>
      </c>
      <c r="G98" s="283" t="s">
        <v>94</v>
      </c>
      <c r="H98" s="286" t="s">
        <v>100</v>
      </c>
      <c r="I98" s="286" t="s">
        <v>100</v>
      </c>
      <c r="J98" s="286" t="s">
        <v>100</v>
      </c>
      <c r="K98" s="354"/>
      <c r="L98" s="350">
        <v>220.1</v>
      </c>
      <c r="M98" s="350">
        <f>M63+40*L98</f>
        <v>22890.566867204696</v>
      </c>
      <c r="N98" s="283" t="s">
        <v>101</v>
      </c>
      <c r="O98" s="286"/>
      <c r="P98" s="286" t="s">
        <v>100</v>
      </c>
      <c r="Q98" s="322" t="s">
        <v>127</v>
      </c>
      <c r="R98" s="354"/>
      <c r="S98" s="286" t="s">
        <v>121</v>
      </c>
      <c r="T98" s="286" t="s">
        <v>100</v>
      </c>
      <c r="U98" s="354"/>
      <c r="V98" s="286" t="s">
        <v>100</v>
      </c>
      <c r="W98" s="283"/>
      <c r="X98" s="354"/>
      <c r="Y98" s="283"/>
    </row>
    <row r="99" spans="1:25" s="104" customFormat="1">
      <c r="A99" s="681">
        <v>41816</v>
      </c>
      <c r="B99" s="682">
        <v>43618</v>
      </c>
      <c r="C99" s="683">
        <v>11775</v>
      </c>
      <c r="D99" s="284" t="s">
        <v>427</v>
      </c>
      <c r="E99" s="328">
        <v>32754</v>
      </c>
      <c r="F99" s="283">
        <v>29</v>
      </c>
      <c r="G99" s="283" t="s">
        <v>463</v>
      </c>
      <c r="H99" s="283" t="s">
        <v>124</v>
      </c>
      <c r="I99" s="354"/>
      <c r="J99" s="287" t="s">
        <v>105</v>
      </c>
      <c r="K99" s="354"/>
      <c r="L99" s="285">
        <v>4560</v>
      </c>
      <c r="M99" s="285">
        <f>M80+L99*10</f>
        <v>50853.840911225241</v>
      </c>
      <c r="N99" s="368" t="s">
        <v>465</v>
      </c>
      <c r="O99" s="286" t="s">
        <v>121</v>
      </c>
      <c r="P99" s="286" t="s">
        <v>121</v>
      </c>
      <c r="Q99" s="419"/>
      <c r="R99" s="286" t="s">
        <v>121</v>
      </c>
      <c r="S99" s="419"/>
      <c r="T99" s="286" t="s">
        <v>100</v>
      </c>
      <c r="U99" s="354"/>
      <c r="V99" s="368"/>
      <c r="W99" s="286" t="s">
        <v>100</v>
      </c>
      <c r="X99" s="354"/>
    </row>
    <row r="100" spans="1:25" s="104" customFormat="1">
      <c r="A100" s="681">
        <v>41969</v>
      </c>
      <c r="B100" s="354"/>
      <c r="C100" s="575">
        <v>12098</v>
      </c>
      <c r="D100" s="355"/>
      <c r="E100" s="355"/>
      <c r="F100" s="368">
        <v>25</v>
      </c>
      <c r="G100" s="283" t="s">
        <v>604</v>
      </c>
      <c r="H100" s="283" t="s">
        <v>124</v>
      </c>
      <c r="I100" s="286" t="s">
        <v>361</v>
      </c>
      <c r="J100" s="287" t="s">
        <v>105</v>
      </c>
      <c r="K100" s="354"/>
      <c r="L100" s="369">
        <f>35168/15</f>
        <v>2344.5333333333333</v>
      </c>
      <c r="M100" s="369">
        <f>L100*3</f>
        <v>7033.6</v>
      </c>
      <c r="N100" s="283" t="s">
        <v>606</v>
      </c>
      <c r="O100" s="286" t="s">
        <v>121</v>
      </c>
      <c r="P100" s="286" t="s">
        <v>121</v>
      </c>
      <c r="Q100" s="519" t="s">
        <v>609</v>
      </c>
      <c r="R100" s="419"/>
      <c r="S100" s="419"/>
      <c r="T100" s="519" t="s">
        <v>611</v>
      </c>
      <c r="U100" s="322" t="s">
        <v>218</v>
      </c>
      <c r="V100" s="286" t="s">
        <v>121</v>
      </c>
      <c r="W100" s="519" t="s">
        <v>610</v>
      </c>
      <c r="X100" s="418"/>
    </row>
    <row r="101" spans="1:25">
      <c r="A101" s="290">
        <v>41988</v>
      </c>
      <c r="B101" s="354"/>
      <c r="C101" s="284">
        <v>9307</v>
      </c>
      <c r="D101" s="355"/>
      <c r="E101" s="355"/>
      <c r="F101" s="283">
        <v>16</v>
      </c>
      <c r="G101" s="283" t="s">
        <v>133</v>
      </c>
      <c r="H101" s="283" t="s">
        <v>164</v>
      </c>
      <c r="I101" s="354"/>
      <c r="J101" s="369"/>
      <c r="K101" s="354"/>
      <c r="L101" s="350">
        <v>666.66</v>
      </c>
      <c r="M101" s="350">
        <f>3*L101</f>
        <v>1999.98</v>
      </c>
      <c r="N101" s="286" t="s">
        <v>100</v>
      </c>
      <c r="O101" s="283"/>
      <c r="P101" s="283"/>
      <c r="Q101" s="286" t="s">
        <v>100</v>
      </c>
      <c r="R101" s="354"/>
      <c r="S101" s="283"/>
      <c r="T101" s="286" t="s">
        <v>100</v>
      </c>
      <c r="U101" s="354"/>
      <c r="V101" s="283"/>
      <c r="W101" s="283"/>
      <c r="X101" s="354"/>
      <c r="Y101" s="283"/>
    </row>
    <row r="102" spans="1:25">
      <c r="A102" s="290">
        <v>42054</v>
      </c>
      <c r="B102" s="354"/>
      <c r="C102" s="575">
        <v>12227</v>
      </c>
      <c r="D102" s="355"/>
      <c r="E102" s="355"/>
      <c r="F102" s="283">
        <v>22</v>
      </c>
      <c r="G102" s="283" t="s">
        <v>369</v>
      </c>
      <c r="H102" s="283" t="s">
        <v>124</v>
      </c>
      <c r="I102" s="286" t="s">
        <v>361</v>
      </c>
      <c r="J102" s="287" t="s">
        <v>105</v>
      </c>
      <c r="K102" s="354"/>
      <c r="L102" s="350">
        <v>5340</v>
      </c>
      <c r="M102" s="350">
        <f>3*L102</f>
        <v>16020</v>
      </c>
      <c r="N102" s="283" t="s">
        <v>366</v>
      </c>
      <c r="O102" s="322" t="s">
        <v>218</v>
      </c>
      <c r="P102" s="322" t="s">
        <v>218</v>
      </c>
      <c r="Q102" s="283" t="s">
        <v>364</v>
      </c>
      <c r="R102" s="354"/>
      <c r="S102" s="286" t="s">
        <v>100</v>
      </c>
      <c r="T102" s="286" t="s">
        <v>100</v>
      </c>
      <c r="U102" s="354"/>
      <c r="V102" s="286" t="s">
        <v>100</v>
      </c>
      <c r="W102" s="286" t="s">
        <v>100</v>
      </c>
      <c r="X102" s="354"/>
      <c r="Y102" s="286" t="s">
        <v>100</v>
      </c>
    </row>
    <row r="103" spans="1:25" s="583" customFormat="1">
      <c r="A103" s="682">
        <v>42165</v>
      </c>
      <c r="B103" s="682">
        <v>42156</v>
      </c>
      <c r="C103" s="651">
        <v>12424</v>
      </c>
      <c r="D103" s="649" t="s">
        <v>654</v>
      </c>
      <c r="E103" s="682">
        <v>36788</v>
      </c>
      <c r="F103" s="809">
        <v>24</v>
      </c>
      <c r="G103" s="809" t="s">
        <v>655</v>
      </c>
      <c r="H103" s="150" t="s">
        <v>124</v>
      </c>
      <c r="I103" s="286" t="s">
        <v>361</v>
      </c>
      <c r="J103" s="287" t="s">
        <v>105</v>
      </c>
      <c r="K103" s="354"/>
      <c r="L103" s="582">
        <f>L94</f>
        <v>2347.7600000000002</v>
      </c>
      <c r="M103" s="582">
        <f>M94+3*L103</f>
        <v>42259.686867204691</v>
      </c>
      <c r="N103" s="286" t="s">
        <v>100</v>
      </c>
      <c r="O103" s="286" t="s">
        <v>100</v>
      </c>
      <c r="P103" s="286" t="s">
        <v>100</v>
      </c>
      <c r="Q103" s="354"/>
      <c r="R103" s="354"/>
      <c r="S103" s="354"/>
      <c r="T103" s="809" t="s">
        <v>657</v>
      </c>
      <c r="U103" s="286" t="s">
        <v>100</v>
      </c>
      <c r="V103" s="286" t="s">
        <v>100</v>
      </c>
      <c r="W103" s="809" t="s">
        <v>658</v>
      </c>
      <c r="X103" s="286" t="s">
        <v>100</v>
      </c>
      <c r="Y103" s="286" t="s">
        <v>100</v>
      </c>
    </row>
    <row r="104" spans="1:25">
      <c r="A104" s="290">
        <v>42173</v>
      </c>
      <c r="B104" s="391"/>
      <c r="C104" s="284">
        <v>12440</v>
      </c>
      <c r="D104" s="284" t="s">
        <v>224</v>
      </c>
      <c r="E104" s="328">
        <v>41988</v>
      </c>
      <c r="F104" s="283">
        <v>16</v>
      </c>
      <c r="G104" s="283" t="s">
        <v>261</v>
      </c>
      <c r="H104" s="283" t="s">
        <v>164</v>
      </c>
      <c r="I104" s="286" t="s">
        <v>121</v>
      </c>
      <c r="J104" s="287" t="s">
        <v>105</v>
      </c>
      <c r="K104" s="354"/>
      <c r="L104" s="350">
        <v>666.66</v>
      </c>
      <c r="M104" s="350">
        <f>M101+L104*2</f>
        <v>3333.3</v>
      </c>
      <c r="N104" s="283"/>
      <c r="O104" s="283"/>
      <c r="P104" s="283"/>
      <c r="Q104" s="283"/>
      <c r="R104" s="354"/>
      <c r="S104" s="285"/>
      <c r="T104" s="283"/>
      <c r="U104" s="354"/>
      <c r="V104" s="283"/>
      <c r="W104" s="283"/>
      <c r="X104" s="354"/>
      <c r="Y104" s="283"/>
    </row>
    <row r="105" spans="1:25">
      <c r="A105" s="303">
        <v>42349</v>
      </c>
      <c r="B105" s="290">
        <v>42268</v>
      </c>
      <c r="C105" s="575">
        <v>12823</v>
      </c>
      <c r="D105" s="284" t="s">
        <v>200</v>
      </c>
      <c r="E105" s="290">
        <v>39073</v>
      </c>
      <c r="F105" s="283">
        <v>16</v>
      </c>
      <c r="G105" s="283" t="s">
        <v>169</v>
      </c>
      <c r="H105" s="283" t="s">
        <v>124</v>
      </c>
      <c r="I105" s="286" t="s">
        <v>361</v>
      </c>
      <c r="J105" s="287" t="s">
        <v>105</v>
      </c>
      <c r="K105" s="354"/>
      <c r="L105" s="350">
        <v>1111.1099999999999</v>
      </c>
      <c r="M105" s="350">
        <f>M96+L105*3</f>
        <v>13333.32</v>
      </c>
      <c r="N105" s="286" t="s">
        <v>100</v>
      </c>
      <c r="O105" s="283"/>
      <c r="P105" s="283"/>
      <c r="Q105" s="286" t="s">
        <v>100</v>
      </c>
      <c r="R105" s="354"/>
      <c r="S105" s="285">
        <f t="shared" si="22"/>
        <v>0</v>
      </c>
      <c r="T105" s="286" t="s">
        <v>100</v>
      </c>
      <c r="U105" s="354"/>
      <c r="V105" s="283"/>
      <c r="W105" s="286" t="s">
        <v>100</v>
      </c>
      <c r="X105" s="354"/>
      <c r="Y105" s="286" t="s">
        <v>100</v>
      </c>
    </row>
    <row r="106" spans="1:25" s="104" customFormat="1">
      <c r="A106" s="365">
        <v>42369</v>
      </c>
      <c r="B106" s="354"/>
      <c r="C106" s="575">
        <v>12875</v>
      </c>
      <c r="D106" s="354"/>
      <c r="E106" s="354"/>
      <c r="F106" s="368">
        <v>23</v>
      </c>
      <c r="G106" s="283" t="s">
        <v>521</v>
      </c>
      <c r="H106" s="283" t="s">
        <v>124</v>
      </c>
      <c r="I106" s="286" t="s">
        <v>361</v>
      </c>
      <c r="J106" s="287" t="s">
        <v>105</v>
      </c>
      <c r="K106" s="354"/>
      <c r="L106" s="285">
        <v>4333.33</v>
      </c>
      <c r="M106" s="369">
        <f>L106*3</f>
        <v>12999.99</v>
      </c>
      <c r="N106" s="283" t="s">
        <v>522</v>
      </c>
      <c r="O106" s="322" t="s">
        <v>218</v>
      </c>
      <c r="P106" s="286" t="s">
        <v>361</v>
      </c>
      <c r="Q106" s="283" t="s">
        <v>525</v>
      </c>
      <c r="R106" s="355"/>
      <c r="S106" s="283"/>
      <c r="T106" s="283" t="s">
        <v>524</v>
      </c>
      <c r="U106" s="354"/>
      <c r="V106" s="286" t="s">
        <v>361</v>
      </c>
      <c r="W106" s="283" t="s">
        <v>523</v>
      </c>
      <c r="X106" s="354"/>
      <c r="Y106" s="286" t="s">
        <v>361</v>
      </c>
    </row>
    <row r="107" spans="1:25" s="104" customFormat="1">
      <c r="A107" s="365">
        <v>42718</v>
      </c>
      <c r="B107" s="418"/>
      <c r="C107" s="575">
        <v>13532</v>
      </c>
      <c r="D107" s="284">
        <v>7952</v>
      </c>
      <c r="E107" s="290">
        <v>39639</v>
      </c>
      <c r="F107" s="283">
        <v>26</v>
      </c>
      <c r="G107" s="283" t="s">
        <v>533</v>
      </c>
      <c r="H107" s="283" t="s">
        <v>124</v>
      </c>
      <c r="I107" s="419"/>
      <c r="J107" s="750"/>
      <c r="K107" s="354"/>
      <c r="L107" s="369"/>
      <c r="M107" s="369"/>
      <c r="N107" s="368"/>
      <c r="O107" s="519"/>
      <c r="P107" s="419"/>
      <c r="Q107" s="368"/>
      <c r="R107" s="368"/>
      <c r="S107" s="368"/>
      <c r="T107" s="368"/>
      <c r="U107" s="418"/>
      <c r="V107" s="419"/>
      <c r="W107" s="368"/>
      <c r="X107" s="418"/>
      <c r="Y107" s="419"/>
    </row>
    <row r="108" spans="1:25" s="104" customFormat="1">
      <c r="A108" s="365">
        <v>42734</v>
      </c>
      <c r="B108" s="303">
        <v>42615</v>
      </c>
      <c r="C108" s="575">
        <v>13577</v>
      </c>
      <c r="D108" s="365" t="s">
        <v>554</v>
      </c>
      <c r="E108" s="365">
        <v>32480</v>
      </c>
      <c r="F108" s="368">
        <v>25</v>
      </c>
      <c r="G108" s="283" t="s">
        <v>612</v>
      </c>
      <c r="H108" s="283" t="s">
        <v>124</v>
      </c>
      <c r="I108" s="286" t="s">
        <v>361</v>
      </c>
      <c r="J108" s="287" t="s">
        <v>105</v>
      </c>
      <c r="K108" s="354"/>
      <c r="L108" s="350">
        <v>217.39</v>
      </c>
      <c r="M108" s="350">
        <f>M81+L108*10</f>
        <v>9347.6832355099032</v>
      </c>
      <c r="N108" s="368"/>
      <c r="O108" s="519"/>
      <c r="P108" s="419"/>
      <c r="Q108" s="368"/>
      <c r="R108" s="368"/>
      <c r="S108" s="368"/>
      <c r="T108" s="368"/>
      <c r="U108" s="418"/>
      <c r="V108" s="419"/>
      <c r="W108" s="368"/>
      <c r="X108" s="418"/>
      <c r="Y108" s="419"/>
    </row>
    <row r="109" spans="1:25">
      <c r="A109" s="290">
        <v>42963</v>
      </c>
      <c r="B109" s="290">
        <v>42992</v>
      </c>
      <c r="C109" s="575">
        <v>13997</v>
      </c>
      <c r="D109" s="284" t="s">
        <v>224</v>
      </c>
      <c r="E109" s="290">
        <v>41988</v>
      </c>
      <c r="F109" s="283">
        <v>16</v>
      </c>
      <c r="G109" s="283" t="s">
        <v>248</v>
      </c>
      <c r="H109" s="283" t="s">
        <v>124</v>
      </c>
      <c r="I109" s="286" t="s">
        <v>361</v>
      </c>
      <c r="J109" s="287" t="s">
        <v>105</v>
      </c>
      <c r="K109" s="354"/>
      <c r="L109" s="350">
        <v>666.66</v>
      </c>
      <c r="M109" s="350">
        <f>M104+L109</f>
        <v>3999.96</v>
      </c>
      <c r="N109" s="286" t="s">
        <v>100</v>
      </c>
      <c r="O109" s="283"/>
      <c r="P109" s="283"/>
      <c r="Q109" s="286" t="s">
        <v>100</v>
      </c>
      <c r="R109" s="354"/>
      <c r="S109" s="285">
        <f t="shared" si="22"/>
        <v>0</v>
      </c>
      <c r="T109" s="286" t="s">
        <v>100</v>
      </c>
      <c r="U109" s="354"/>
      <c r="V109" s="283"/>
      <c r="W109" s="283"/>
      <c r="X109" s="354"/>
      <c r="Y109" s="283"/>
    </row>
    <row r="110" spans="1:25" s="104" customFormat="1">
      <c r="A110" s="290">
        <v>43040</v>
      </c>
      <c r="B110" s="290">
        <v>43057</v>
      </c>
      <c r="C110" s="575">
        <v>14186</v>
      </c>
      <c r="D110" s="284">
        <v>12227</v>
      </c>
      <c r="E110" s="290">
        <v>42054</v>
      </c>
      <c r="F110" s="283">
        <v>22</v>
      </c>
      <c r="G110" s="283" t="s">
        <v>369</v>
      </c>
      <c r="H110" s="283" t="s">
        <v>124</v>
      </c>
      <c r="I110" s="286" t="s">
        <v>361</v>
      </c>
      <c r="J110" s="287" t="s">
        <v>105</v>
      </c>
      <c r="K110" s="354"/>
      <c r="L110" s="350">
        <v>5340</v>
      </c>
      <c r="M110" s="350">
        <f>M102+3*L110</f>
        <v>32040</v>
      </c>
      <c r="N110" s="283" t="s">
        <v>366</v>
      </c>
      <c r="O110" s="354"/>
      <c r="P110" s="286" t="s">
        <v>121</v>
      </c>
      <c r="Q110" s="283" t="s">
        <v>364</v>
      </c>
      <c r="R110" s="354"/>
      <c r="S110" s="286" t="s">
        <v>100</v>
      </c>
      <c r="T110" s="286" t="s">
        <v>100</v>
      </c>
      <c r="U110" s="354"/>
      <c r="V110" s="286" t="s">
        <v>100</v>
      </c>
      <c r="W110" s="286" t="s">
        <v>100</v>
      </c>
      <c r="X110" s="354"/>
      <c r="Y110" s="286" t="s">
        <v>100</v>
      </c>
    </row>
    <row r="111" spans="1:25">
      <c r="A111" s="289" t="s">
        <v>151</v>
      </c>
      <c r="B111" s="290">
        <v>43086</v>
      </c>
      <c r="C111" s="277" t="s">
        <v>151</v>
      </c>
      <c r="D111" s="284" t="s">
        <v>199</v>
      </c>
      <c r="E111" s="328">
        <v>27106</v>
      </c>
      <c r="F111" s="283">
        <v>60</v>
      </c>
      <c r="G111" s="283" t="s">
        <v>247</v>
      </c>
      <c r="H111" s="286" t="s">
        <v>100</v>
      </c>
      <c r="I111" s="286" t="s">
        <v>100</v>
      </c>
      <c r="J111" s="286" t="s">
        <v>100</v>
      </c>
      <c r="K111" s="354"/>
      <c r="L111" s="350">
        <v>222.22</v>
      </c>
      <c r="M111" s="350">
        <f>M78+2*L111</f>
        <v>6364.4137197358759</v>
      </c>
      <c r="N111" s="286" t="s">
        <v>100</v>
      </c>
      <c r="O111" s="283"/>
      <c r="P111" s="283"/>
      <c r="Q111" s="286" t="s">
        <v>100</v>
      </c>
      <c r="R111" s="354"/>
      <c r="S111" s="285">
        <f t="shared" si="22"/>
        <v>0</v>
      </c>
      <c r="T111" s="286" t="s">
        <v>100</v>
      </c>
      <c r="U111" s="354"/>
      <c r="V111" s="283"/>
      <c r="W111" s="286" t="s">
        <v>100</v>
      </c>
      <c r="X111" s="354"/>
      <c r="Y111" s="286" t="s">
        <v>100</v>
      </c>
    </row>
    <row r="112" spans="1:25">
      <c r="A112" s="290">
        <v>43188</v>
      </c>
      <c r="B112" s="452"/>
      <c r="C112" s="575">
        <v>14426</v>
      </c>
      <c r="D112" s="284" t="s">
        <v>224</v>
      </c>
      <c r="E112" s="290">
        <v>41988</v>
      </c>
      <c r="F112" s="283">
        <v>16</v>
      </c>
      <c r="G112" s="283" t="s">
        <v>264</v>
      </c>
      <c r="H112" s="283" t="s">
        <v>124</v>
      </c>
      <c r="I112" s="286" t="s">
        <v>361</v>
      </c>
      <c r="J112" s="287" t="s">
        <v>105</v>
      </c>
      <c r="K112" s="354"/>
      <c r="L112" s="350">
        <v>666.66</v>
      </c>
      <c r="M112" s="350">
        <f>M109+L112</f>
        <v>4666.62</v>
      </c>
      <c r="N112" s="368"/>
      <c r="O112" s="368"/>
      <c r="P112" s="283"/>
      <c r="Q112" s="283"/>
      <c r="R112" s="354"/>
      <c r="S112" s="285">
        <f t="shared" si="22"/>
        <v>0</v>
      </c>
      <c r="T112" s="283"/>
      <c r="U112" s="354"/>
      <c r="V112" s="283"/>
      <c r="W112" s="283"/>
      <c r="X112" s="354"/>
      <c r="Y112" s="283"/>
    </row>
    <row r="113" spans="1:25" s="104" customFormat="1">
      <c r="A113" s="290">
        <v>43241</v>
      </c>
      <c r="B113" s="290">
        <v>43373</v>
      </c>
      <c r="C113" s="575">
        <v>14533</v>
      </c>
      <c r="D113" s="284" t="s">
        <v>346</v>
      </c>
      <c r="E113" s="290">
        <v>32508</v>
      </c>
      <c r="F113" s="283">
        <v>21</v>
      </c>
      <c r="G113" s="283" t="s">
        <v>351</v>
      </c>
      <c r="H113" s="283" t="s">
        <v>124</v>
      </c>
      <c r="I113" s="286" t="s">
        <v>361</v>
      </c>
      <c r="J113" s="287" t="s">
        <v>105</v>
      </c>
      <c r="K113" s="354"/>
      <c r="L113" s="350">
        <v>220.1</v>
      </c>
      <c r="M113" s="350">
        <f>M62+L113*10</f>
        <v>8804.0814380044012</v>
      </c>
      <c r="N113" s="368"/>
      <c r="O113" s="368"/>
      <c r="P113" s="368"/>
      <c r="Q113" s="368"/>
      <c r="R113" s="354"/>
      <c r="S113" s="369"/>
      <c r="T113" s="368"/>
      <c r="U113" s="354"/>
      <c r="V113" s="368"/>
      <c r="W113" s="368"/>
      <c r="X113" s="354"/>
      <c r="Y113" s="368"/>
    </row>
    <row r="114" spans="1:25" s="104" customFormat="1">
      <c r="A114" s="290">
        <v>43269</v>
      </c>
      <c r="B114" s="290">
        <v>43373</v>
      </c>
      <c r="C114" s="575">
        <v>14566</v>
      </c>
      <c r="D114" s="284" t="s">
        <v>346</v>
      </c>
      <c r="E114" s="290">
        <v>32508</v>
      </c>
      <c r="F114" s="283">
        <v>21</v>
      </c>
      <c r="G114" s="283" t="s">
        <v>352</v>
      </c>
      <c r="H114" s="283" t="s">
        <v>124</v>
      </c>
      <c r="I114" s="286" t="s">
        <v>361</v>
      </c>
      <c r="J114" s="287" t="s">
        <v>105</v>
      </c>
      <c r="K114" s="354"/>
      <c r="L114" s="350">
        <v>220.1</v>
      </c>
      <c r="M114" s="350">
        <f>M113+L114*30</f>
        <v>15407.081438004401</v>
      </c>
      <c r="N114" s="368"/>
      <c r="O114" s="368"/>
      <c r="P114" s="368"/>
      <c r="Q114" s="368"/>
      <c r="R114" s="354"/>
      <c r="S114" s="369"/>
      <c r="T114" s="368"/>
      <c r="U114" s="354"/>
      <c r="V114" s="368"/>
      <c r="W114" s="368"/>
      <c r="X114" s="354"/>
      <c r="Y114" s="368"/>
    </row>
    <row r="115" spans="1:25">
      <c r="A115" s="289" t="s">
        <v>151</v>
      </c>
      <c r="B115" s="290">
        <v>43364</v>
      </c>
      <c r="C115" s="277" t="s">
        <v>151</v>
      </c>
      <c r="D115" s="284" t="s">
        <v>200</v>
      </c>
      <c r="E115" s="290">
        <v>39073</v>
      </c>
      <c r="F115" s="283">
        <v>16</v>
      </c>
      <c r="G115" s="283" t="s">
        <v>169</v>
      </c>
      <c r="H115" s="283"/>
      <c r="I115" s="354"/>
      <c r="J115" s="285"/>
      <c r="K115" s="354"/>
      <c r="L115" s="350">
        <v>1111.1099999999999</v>
      </c>
      <c r="M115" s="350">
        <f>M111+L115</f>
        <v>7475.5237197358756</v>
      </c>
      <c r="N115" s="283"/>
      <c r="O115" s="283"/>
      <c r="P115" s="283"/>
      <c r="Q115" s="283"/>
      <c r="R115" s="354"/>
      <c r="S115" s="285">
        <f t="shared" si="22"/>
        <v>0</v>
      </c>
      <c r="T115" s="283"/>
      <c r="U115" s="354"/>
      <c r="V115" s="283"/>
      <c r="W115" s="283"/>
      <c r="X115" s="354"/>
      <c r="Y115" s="283"/>
    </row>
    <row r="116" spans="1:25">
      <c r="A116" s="290">
        <v>43521</v>
      </c>
      <c r="B116" s="391"/>
      <c r="C116" s="575">
        <v>14945</v>
      </c>
      <c r="D116" s="284" t="s">
        <v>199</v>
      </c>
      <c r="E116" s="328">
        <v>27106</v>
      </c>
      <c r="F116" s="283">
        <v>60</v>
      </c>
      <c r="G116" s="283" t="s">
        <v>246</v>
      </c>
      <c r="H116" s="283" t="s">
        <v>124</v>
      </c>
      <c r="I116" s="286" t="s">
        <v>361</v>
      </c>
      <c r="J116" s="287" t="s">
        <v>105</v>
      </c>
      <c r="K116" s="354"/>
      <c r="L116" s="350">
        <v>222.22</v>
      </c>
      <c r="M116" s="350">
        <f>M78+8*L116</f>
        <v>7697.7337197358765</v>
      </c>
      <c r="N116" s="283"/>
      <c r="O116" s="283"/>
      <c r="P116" s="283"/>
      <c r="Q116" s="283"/>
      <c r="R116" s="354"/>
      <c r="S116" s="285">
        <f t="shared" si="22"/>
        <v>0</v>
      </c>
      <c r="T116" s="283"/>
      <c r="U116" s="354"/>
      <c r="V116" s="283"/>
      <c r="W116" s="283"/>
      <c r="X116" s="354"/>
      <c r="Y116" s="283"/>
    </row>
    <row r="117" spans="1:25" s="104" customFormat="1">
      <c r="A117" s="290">
        <v>43521</v>
      </c>
      <c r="B117" s="391"/>
      <c r="C117" s="575">
        <v>14949</v>
      </c>
      <c r="D117" s="284" t="s">
        <v>224</v>
      </c>
      <c r="E117" s="290">
        <v>41988</v>
      </c>
      <c r="F117" s="283">
        <v>16</v>
      </c>
      <c r="G117" s="283" t="s">
        <v>265</v>
      </c>
      <c r="H117" s="283" t="s">
        <v>124</v>
      </c>
      <c r="I117" s="286" t="s">
        <v>361</v>
      </c>
      <c r="J117" s="287" t="s">
        <v>105</v>
      </c>
      <c r="K117" s="354"/>
      <c r="L117" s="350">
        <v>222.22</v>
      </c>
      <c r="M117" s="350">
        <f>M112+L117</f>
        <v>4888.84</v>
      </c>
      <c r="N117" s="368"/>
      <c r="O117" s="368"/>
      <c r="P117" s="368"/>
      <c r="Q117" s="368"/>
      <c r="R117" s="354"/>
      <c r="S117" s="369"/>
      <c r="T117" s="368"/>
      <c r="U117" s="354"/>
      <c r="V117" s="368"/>
      <c r="W117" s="368"/>
      <c r="X117" s="354"/>
      <c r="Y117" s="368"/>
    </row>
    <row r="118" spans="1:25" s="104" customFormat="1">
      <c r="A118" s="290">
        <v>43521</v>
      </c>
      <c r="B118" s="391"/>
      <c r="C118" s="575">
        <v>14950</v>
      </c>
      <c r="D118" s="284" t="s">
        <v>224</v>
      </c>
      <c r="E118" s="290">
        <v>41988</v>
      </c>
      <c r="F118" s="283">
        <v>16</v>
      </c>
      <c r="G118" s="283" t="s">
        <v>267</v>
      </c>
      <c r="H118" s="283" t="s">
        <v>124</v>
      </c>
      <c r="I118" s="286" t="s">
        <v>361</v>
      </c>
      <c r="J118" s="287" t="s">
        <v>105</v>
      </c>
      <c r="K118" s="354"/>
      <c r="L118" s="350">
        <v>222.22</v>
      </c>
      <c r="M118" s="350">
        <f>M117</f>
        <v>4888.84</v>
      </c>
      <c r="N118" s="368"/>
      <c r="O118" s="368"/>
      <c r="P118" s="368"/>
      <c r="Q118" s="368"/>
      <c r="R118" s="354"/>
      <c r="S118" s="369"/>
      <c r="T118" s="368"/>
      <c r="U118" s="354"/>
      <c r="V118" s="368"/>
      <c r="W118" s="368"/>
      <c r="X118" s="354"/>
      <c r="Y118" s="368"/>
    </row>
    <row r="119" spans="1:25" s="104" customFormat="1">
      <c r="A119" s="290">
        <v>44061</v>
      </c>
      <c r="B119" s="391"/>
      <c r="C119" s="575">
        <v>15884</v>
      </c>
      <c r="D119" s="284" t="s">
        <v>198</v>
      </c>
      <c r="E119" s="328">
        <v>34962</v>
      </c>
      <c r="F119" s="283">
        <v>16</v>
      </c>
      <c r="G119" s="283" t="s">
        <v>270</v>
      </c>
      <c r="H119" s="283" t="s">
        <v>124</v>
      </c>
      <c r="I119" s="286" t="s">
        <v>361</v>
      </c>
      <c r="J119" s="287" t="s">
        <v>105</v>
      </c>
      <c r="K119" s="354"/>
      <c r="L119" s="492">
        <v>207.65</v>
      </c>
      <c r="M119" s="350">
        <f>M90+L119*5</f>
        <v>5813.6976889214966</v>
      </c>
      <c r="N119" s="368"/>
      <c r="O119" s="368"/>
      <c r="P119" s="368"/>
      <c r="Q119" s="368"/>
      <c r="R119" s="354"/>
      <c r="S119" s="369"/>
      <c r="T119" s="368"/>
      <c r="U119" s="354"/>
      <c r="V119" s="368"/>
      <c r="W119" s="368"/>
      <c r="X119" s="354"/>
      <c r="Y119" s="368"/>
    </row>
    <row r="120" spans="1:25">
      <c r="A120" s="289" t="s">
        <v>151</v>
      </c>
      <c r="B120" s="290">
        <v>44088</v>
      </c>
      <c r="C120" s="289" t="s">
        <v>151</v>
      </c>
      <c r="D120" s="284" t="s">
        <v>224</v>
      </c>
      <c r="E120" s="290">
        <v>41988</v>
      </c>
      <c r="F120" s="283">
        <v>16</v>
      </c>
      <c r="G120" s="283" t="s">
        <v>249</v>
      </c>
      <c r="H120" s="283"/>
      <c r="I120" s="354"/>
      <c r="J120" s="369"/>
      <c r="K120" s="354"/>
      <c r="L120" s="350">
        <v>666.66</v>
      </c>
      <c r="M120" s="350">
        <f>M109+L120*3</f>
        <v>5999.9400000000005</v>
      </c>
      <c r="N120" s="286" t="s">
        <v>100</v>
      </c>
      <c r="O120" s="283"/>
      <c r="P120" s="283"/>
      <c r="Q120" s="286" t="s">
        <v>100</v>
      </c>
      <c r="R120" s="354"/>
      <c r="S120" s="285">
        <f t="shared" si="22"/>
        <v>0</v>
      </c>
      <c r="T120" s="286" t="s">
        <v>100</v>
      </c>
      <c r="U120" s="354"/>
      <c r="V120" s="283"/>
      <c r="W120" s="283"/>
      <c r="X120" s="354"/>
      <c r="Y120" s="283"/>
    </row>
    <row r="121" spans="1:25" s="104" customFormat="1">
      <c r="A121" s="303">
        <v>44216</v>
      </c>
      <c r="B121" s="290">
        <v>44153</v>
      </c>
      <c r="C121" s="575">
        <v>16079</v>
      </c>
      <c r="D121" s="284">
        <v>12227</v>
      </c>
      <c r="E121" s="290">
        <v>42054</v>
      </c>
      <c r="F121" s="283">
        <v>22</v>
      </c>
      <c r="G121" s="283" t="s">
        <v>370</v>
      </c>
      <c r="H121" s="283" t="s">
        <v>124</v>
      </c>
      <c r="I121" s="286" t="s">
        <v>361</v>
      </c>
      <c r="J121" s="287" t="s">
        <v>105</v>
      </c>
      <c r="K121" s="354"/>
      <c r="L121" s="350">
        <v>5340</v>
      </c>
      <c r="M121" s="554">
        <f>M110+14*L121</f>
        <v>106800</v>
      </c>
      <c r="N121" s="283" t="s">
        <v>366</v>
      </c>
      <c r="O121" s="322" t="s">
        <v>218</v>
      </c>
      <c r="P121" s="322" t="s">
        <v>218</v>
      </c>
      <c r="Q121" s="283" t="s">
        <v>364</v>
      </c>
      <c r="R121" s="354"/>
      <c r="S121" s="286" t="s">
        <v>100</v>
      </c>
      <c r="T121" s="286" t="s">
        <v>100</v>
      </c>
      <c r="U121" s="354"/>
      <c r="V121" s="286" t="s">
        <v>100</v>
      </c>
      <c r="W121" s="286" t="s">
        <v>100</v>
      </c>
      <c r="X121" s="354"/>
      <c r="Y121" s="286" t="s">
        <v>100</v>
      </c>
    </row>
    <row r="122" spans="1:25">
      <c r="A122" s="289" t="s">
        <v>151</v>
      </c>
      <c r="B122" s="290">
        <v>44460</v>
      </c>
      <c r="C122" s="277" t="s">
        <v>151</v>
      </c>
      <c r="D122" s="284" t="s">
        <v>200</v>
      </c>
      <c r="E122" s="290">
        <v>39073</v>
      </c>
      <c r="F122" s="283">
        <v>16</v>
      </c>
      <c r="G122" s="283" t="s">
        <v>232</v>
      </c>
      <c r="H122" s="283"/>
      <c r="I122" s="354"/>
      <c r="J122" s="285"/>
      <c r="K122" s="354"/>
      <c r="L122" s="350">
        <v>1111.1099999999999</v>
      </c>
      <c r="M122" s="350">
        <f>M109+L122*3</f>
        <v>7333.29</v>
      </c>
      <c r="N122" s="283"/>
      <c r="O122" s="283"/>
      <c r="P122" s="283"/>
      <c r="Q122" s="283"/>
      <c r="R122" s="354"/>
      <c r="S122" s="285">
        <f t="shared" si="22"/>
        <v>0</v>
      </c>
      <c r="T122" s="283"/>
      <c r="U122" s="354"/>
      <c r="V122" s="283"/>
      <c r="W122" s="283"/>
      <c r="X122" s="354"/>
      <c r="Y122" s="283"/>
    </row>
    <row r="123" spans="1:25">
      <c r="A123" s="289"/>
      <c r="B123" s="290"/>
      <c r="C123" s="277"/>
      <c r="D123" s="284"/>
      <c r="E123" s="290"/>
      <c r="F123" s="283"/>
      <c r="G123" s="283"/>
      <c r="H123" s="283"/>
      <c r="I123" s="354"/>
      <c r="J123" s="285"/>
      <c r="K123" s="354"/>
      <c r="L123" s="350"/>
      <c r="M123" s="350"/>
      <c r="N123" s="283"/>
      <c r="O123" s="283"/>
      <c r="P123" s="283"/>
      <c r="Q123" s="283"/>
      <c r="R123" s="354"/>
      <c r="S123" s="285"/>
      <c r="T123" s="283"/>
      <c r="U123" s="354"/>
      <c r="V123" s="283"/>
      <c r="W123" s="283"/>
      <c r="X123" s="354"/>
      <c r="Y123" s="283"/>
    </row>
    <row r="124" spans="1:25">
      <c r="A124" s="289" t="s">
        <v>151</v>
      </c>
      <c r="B124" s="290">
        <v>45183</v>
      </c>
      <c r="C124" s="289" t="s">
        <v>151</v>
      </c>
      <c r="D124" s="284" t="s">
        <v>224</v>
      </c>
      <c r="E124" s="290">
        <v>41988</v>
      </c>
      <c r="F124" s="283">
        <v>16</v>
      </c>
      <c r="G124" s="283" t="s">
        <v>249</v>
      </c>
      <c r="H124" s="283"/>
      <c r="I124" s="354"/>
      <c r="J124" s="369"/>
      <c r="K124" s="354"/>
      <c r="L124" s="350">
        <v>666.66</v>
      </c>
      <c r="M124" s="350">
        <f>M120+L124*3</f>
        <v>7999.92</v>
      </c>
      <c r="N124" s="286" t="s">
        <v>100</v>
      </c>
      <c r="O124" s="283"/>
      <c r="P124" s="283"/>
      <c r="Q124" s="286" t="s">
        <v>100</v>
      </c>
      <c r="R124" s="354"/>
      <c r="S124" s="285">
        <f t="shared" si="22"/>
        <v>0</v>
      </c>
      <c r="T124" s="286" t="s">
        <v>100</v>
      </c>
      <c r="U124" s="354"/>
      <c r="V124" s="283"/>
      <c r="W124" s="283"/>
      <c r="X124" s="354"/>
      <c r="Y124" s="283"/>
    </row>
    <row r="125" spans="1:25">
      <c r="A125" s="303">
        <v>45174</v>
      </c>
      <c r="B125" s="290">
        <v>44924</v>
      </c>
      <c r="C125" s="575">
        <v>17246</v>
      </c>
      <c r="D125" s="418">
        <v>8546</v>
      </c>
      <c r="E125" s="365">
        <v>39902</v>
      </c>
      <c r="F125" s="283">
        <v>27</v>
      </c>
      <c r="G125" s="283" t="s">
        <v>422</v>
      </c>
      <c r="H125" s="283" t="s">
        <v>124</v>
      </c>
      <c r="I125" s="286" t="s">
        <v>361</v>
      </c>
      <c r="J125" s="287" t="s">
        <v>105</v>
      </c>
      <c r="K125" s="354"/>
      <c r="L125" s="285">
        <v>4364.42</v>
      </c>
      <c r="M125" s="336">
        <f>M92+L125*5</f>
        <v>101565.4</v>
      </c>
      <c r="N125" s="286" t="s">
        <v>100</v>
      </c>
      <c r="O125" s="283"/>
      <c r="P125" s="283"/>
      <c r="Q125" s="286" t="s">
        <v>100</v>
      </c>
      <c r="R125" s="354"/>
      <c r="S125" s="283"/>
      <c r="T125" s="286" t="s">
        <v>100</v>
      </c>
      <c r="U125" s="354"/>
      <c r="V125" s="283"/>
      <c r="W125" s="286" t="s">
        <v>100</v>
      </c>
      <c r="X125" s="354"/>
    </row>
    <row r="126" spans="1:25">
      <c r="A126" s="289" t="s">
        <v>151</v>
      </c>
      <c r="B126" s="290">
        <v>45827</v>
      </c>
      <c r="C126" s="289" t="s">
        <v>151</v>
      </c>
      <c r="D126" s="284" t="s">
        <v>198</v>
      </c>
      <c r="E126" s="328">
        <v>34962</v>
      </c>
      <c r="F126" s="283">
        <v>16</v>
      </c>
      <c r="G126" s="283" t="s">
        <v>230</v>
      </c>
      <c r="H126" s="289" t="s">
        <v>151</v>
      </c>
      <c r="I126" s="354"/>
      <c r="J126" s="285"/>
      <c r="K126" s="354"/>
      <c r="L126" s="492">
        <v>207.65</v>
      </c>
      <c r="M126" s="350">
        <f>M90+L126</f>
        <v>4983.0976889214962</v>
      </c>
      <c r="N126" s="283" t="s">
        <v>162</v>
      </c>
      <c r="O126" s="322" t="s">
        <v>218</v>
      </c>
      <c r="P126" s="322" t="s">
        <v>218</v>
      </c>
      <c r="Q126" s="283" t="s">
        <v>163</v>
      </c>
      <c r="R126" s="354"/>
      <c r="S126" s="286" t="s">
        <v>100</v>
      </c>
      <c r="T126" s="283" t="s">
        <v>163</v>
      </c>
      <c r="U126" s="354"/>
      <c r="V126" s="286" t="s">
        <v>100</v>
      </c>
      <c r="W126" s="283"/>
      <c r="X126" s="354"/>
      <c r="Y126" s="283"/>
    </row>
    <row r="127" spans="1:25">
      <c r="A127" s="289" t="s">
        <v>151</v>
      </c>
      <c r="B127" s="290">
        <v>46279</v>
      </c>
      <c r="C127" s="289" t="s">
        <v>151</v>
      </c>
      <c r="D127" s="284" t="s">
        <v>224</v>
      </c>
      <c r="E127" s="290">
        <v>41988</v>
      </c>
      <c r="F127" s="283">
        <v>16</v>
      </c>
      <c r="G127" s="283" t="s">
        <v>249</v>
      </c>
      <c r="H127" s="283"/>
      <c r="I127" s="354"/>
      <c r="J127" s="369"/>
      <c r="K127" s="354"/>
      <c r="L127" s="350">
        <v>666.66</v>
      </c>
      <c r="M127" s="350">
        <f>M124+L127*3</f>
        <v>9999.9</v>
      </c>
      <c r="N127" s="286" t="s">
        <v>100</v>
      </c>
      <c r="O127" s="283"/>
      <c r="P127" s="283"/>
      <c r="Q127" s="286" t="s">
        <v>100</v>
      </c>
      <c r="R127" s="354"/>
      <c r="S127" s="283"/>
      <c r="T127" s="286" t="s">
        <v>100</v>
      </c>
      <c r="U127" s="354"/>
      <c r="V127" s="283"/>
      <c r="W127" s="283"/>
      <c r="X127" s="354"/>
      <c r="Y127" s="283"/>
    </row>
    <row r="128" spans="1:25">
      <c r="A128" s="289" t="s">
        <v>151</v>
      </c>
      <c r="B128" s="290">
        <v>46738</v>
      </c>
      <c r="C128" s="277" t="s">
        <v>151</v>
      </c>
      <c r="D128" s="284" t="s">
        <v>199</v>
      </c>
      <c r="E128" s="328">
        <v>27106</v>
      </c>
      <c r="F128" s="283">
        <v>60</v>
      </c>
      <c r="G128" s="283" t="s">
        <v>274</v>
      </c>
      <c r="H128" s="283"/>
      <c r="I128" s="354"/>
      <c r="J128" s="369"/>
      <c r="K128" s="354"/>
      <c r="L128" s="350"/>
      <c r="M128" s="350"/>
      <c r="N128" s="286"/>
      <c r="O128" s="283"/>
      <c r="P128" s="283"/>
      <c r="Q128" s="286"/>
      <c r="R128" s="354"/>
      <c r="S128" s="283"/>
      <c r="T128" s="286"/>
      <c r="U128" s="354"/>
      <c r="V128" s="283"/>
      <c r="W128" s="283"/>
      <c r="X128" s="354"/>
      <c r="Y128" s="283"/>
    </row>
    <row r="129" spans="1:25">
      <c r="A129" s="289" t="s">
        <v>151</v>
      </c>
      <c r="B129" s="290">
        <v>47375</v>
      </c>
      <c r="C129" s="289" t="s">
        <v>151</v>
      </c>
      <c r="D129" s="284" t="s">
        <v>224</v>
      </c>
      <c r="E129" s="290">
        <v>41988</v>
      </c>
      <c r="F129" s="283">
        <v>16</v>
      </c>
      <c r="G129" s="283" t="s">
        <v>238</v>
      </c>
      <c r="H129" s="283"/>
      <c r="I129" s="354"/>
      <c r="J129" s="369"/>
      <c r="K129" s="354"/>
      <c r="L129" s="350">
        <v>666.66</v>
      </c>
      <c r="M129" s="350">
        <f>M127+L129*10</f>
        <v>16666.5</v>
      </c>
      <c r="N129" s="286"/>
      <c r="O129" s="283"/>
      <c r="P129" s="283"/>
      <c r="Q129" s="286"/>
      <c r="R129" s="354"/>
      <c r="S129" s="283"/>
      <c r="T129" s="286"/>
      <c r="U129" s="354"/>
      <c r="V129" s="283"/>
      <c r="W129" s="283"/>
      <c r="X129" s="354"/>
      <c r="Y129" s="283"/>
    </row>
    <row r="130" spans="1:25">
      <c r="A130" s="289"/>
      <c r="B130" s="290"/>
      <c r="C130" s="289"/>
      <c r="D130" s="284"/>
      <c r="E130" s="290"/>
      <c r="F130" s="283"/>
      <c r="G130" s="283"/>
      <c r="H130" s="283"/>
      <c r="I130" s="354"/>
      <c r="J130" s="369"/>
      <c r="K130" s="354"/>
      <c r="L130" s="369"/>
      <c r="M130" s="369"/>
      <c r="N130" s="286"/>
      <c r="O130" s="283"/>
      <c r="P130" s="283"/>
      <c r="Q130" s="286"/>
      <c r="R130" s="354"/>
      <c r="S130" s="283"/>
      <c r="T130" s="286"/>
      <c r="U130" s="354"/>
      <c r="V130" s="283"/>
      <c r="W130" s="283"/>
      <c r="X130" s="354"/>
      <c r="Y130" s="283"/>
    </row>
    <row r="131" spans="1:25">
      <c r="A131" s="289" t="s">
        <v>151</v>
      </c>
      <c r="B131" s="290">
        <v>48112</v>
      </c>
      <c r="C131" s="277" t="s">
        <v>151</v>
      </c>
      <c r="D131" s="284" t="s">
        <v>200</v>
      </c>
      <c r="E131" s="290">
        <v>39073</v>
      </c>
      <c r="F131" s="283">
        <v>16</v>
      </c>
      <c r="G131" s="283" t="s">
        <v>233</v>
      </c>
      <c r="H131" s="283"/>
      <c r="I131" s="354"/>
      <c r="J131" s="285"/>
      <c r="K131" s="354"/>
      <c r="L131" s="350">
        <v>1111.1099999999999</v>
      </c>
      <c r="M131" s="350">
        <f>M122+L131*40</f>
        <v>51777.689999999995</v>
      </c>
      <c r="N131" s="286"/>
      <c r="O131" s="283"/>
      <c r="P131" s="283"/>
      <c r="Q131" s="286"/>
      <c r="R131" s="354"/>
      <c r="S131" s="283"/>
      <c r="T131" s="286"/>
      <c r="U131" s="354"/>
      <c r="V131" s="283"/>
      <c r="W131" s="283"/>
      <c r="X131" s="354"/>
      <c r="Y131" s="283"/>
    </row>
    <row r="132" spans="1:25" s="104" customFormat="1">
      <c r="A132" s="289" t="s">
        <v>151</v>
      </c>
      <c r="B132" s="290">
        <v>51027</v>
      </c>
      <c r="C132" s="289" t="s">
        <v>151</v>
      </c>
      <c r="D132" s="284" t="s">
        <v>224</v>
      </c>
      <c r="E132" s="290">
        <v>41988</v>
      </c>
      <c r="F132" s="283">
        <v>16</v>
      </c>
      <c r="G132" s="283" t="s">
        <v>239</v>
      </c>
      <c r="H132" s="368"/>
      <c r="I132" s="354"/>
      <c r="J132" s="369"/>
      <c r="K132" s="418"/>
      <c r="L132" s="369"/>
      <c r="M132" s="369"/>
      <c r="N132" s="419"/>
      <c r="O132" s="368"/>
      <c r="P132" s="368"/>
      <c r="Q132" s="419"/>
      <c r="R132" s="354"/>
      <c r="S132" s="368"/>
      <c r="T132" s="419"/>
      <c r="U132" s="354"/>
      <c r="V132" s="368"/>
      <c r="W132" s="368"/>
      <c r="X132" s="354"/>
      <c r="Y132" s="368"/>
    </row>
    <row r="133" spans="1:25">
      <c r="A133" s="277" t="s">
        <v>151</v>
      </c>
      <c r="B133" s="292">
        <v>56042</v>
      </c>
      <c r="C133" s="277" t="s">
        <v>151</v>
      </c>
      <c r="D133" s="284" t="s">
        <v>224</v>
      </c>
      <c r="E133" s="290">
        <v>32394</v>
      </c>
      <c r="F133" s="283">
        <v>16</v>
      </c>
      <c r="G133" s="283" t="s">
        <v>94</v>
      </c>
      <c r="H133" s="286" t="s">
        <v>100</v>
      </c>
      <c r="I133" s="354"/>
      <c r="J133" s="285"/>
      <c r="K133" s="310"/>
      <c r="L133" s="350"/>
      <c r="M133" s="350"/>
      <c r="N133" s="283" t="s">
        <v>101</v>
      </c>
      <c r="O133" s="286"/>
      <c r="P133" s="285"/>
      <c r="Q133" s="322" t="s">
        <v>127</v>
      </c>
      <c r="R133" s="354"/>
      <c r="S133" s="286" t="s">
        <v>121</v>
      </c>
      <c r="T133" s="286" t="s">
        <v>100</v>
      </c>
      <c r="U133" s="354"/>
      <c r="V133" s="286" t="s">
        <v>100</v>
      </c>
      <c r="W133" s="283"/>
      <c r="X133" s="354"/>
      <c r="Y133" s="283"/>
    </row>
    <row r="134" spans="1:25">
      <c r="A134" s="290"/>
      <c r="B134" s="290"/>
      <c r="C134" s="284"/>
      <c r="D134" s="284"/>
      <c r="E134" s="328"/>
      <c r="F134" s="283"/>
      <c r="G134" s="283"/>
      <c r="H134" s="283"/>
      <c r="I134" s="354"/>
      <c r="J134" s="285"/>
      <c r="K134" s="354"/>
      <c r="L134" s="285"/>
      <c r="M134" s="285"/>
      <c r="N134" s="283"/>
      <c r="O134" s="283"/>
      <c r="P134" s="283"/>
      <c r="Q134" s="283"/>
      <c r="R134" s="354"/>
      <c r="S134" s="285">
        <f t="shared" si="22"/>
        <v>0</v>
      </c>
      <c r="T134" s="283"/>
      <c r="U134" s="354"/>
      <c r="V134" s="283"/>
      <c r="W134" s="283"/>
      <c r="X134" s="354"/>
      <c r="Y134" s="283"/>
    </row>
    <row r="136" spans="1:25">
      <c r="M136" s="406" t="s">
        <v>410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V33"/>
  <sheetViews>
    <sheetView workbookViewId="0">
      <pane ySplit="1" topLeftCell="A2" activePane="bottomLeft" state="frozen"/>
      <selection pane="bottomLeft" activeCell="A7" sqref="A7:XFD7"/>
    </sheetView>
  </sheetViews>
  <sheetFormatPr defaultRowHeight="11.25"/>
  <cols>
    <col min="1" max="1" width="6.88671875" style="1" bestFit="1" customWidth="1"/>
    <col min="2" max="2" width="6.33203125" style="41" bestFit="1" customWidth="1"/>
    <col min="3" max="3" width="2.77734375" style="1" bestFit="1" customWidth="1"/>
    <col min="4" max="4" width="50.6640625" style="1" bestFit="1" customWidth="1"/>
    <col min="5" max="5" width="11.88671875" style="1" bestFit="1" customWidth="1"/>
    <col min="6" max="6" width="9.44140625" style="1" bestFit="1" customWidth="1"/>
    <col min="7" max="7" width="8.21875" style="1" bestFit="1" customWidth="1"/>
    <col min="8" max="8" width="12.109375" style="1" customWidth="1"/>
    <col min="9" max="9" width="12.44140625" style="1" bestFit="1" customWidth="1"/>
    <col min="10" max="10" width="10.44140625" style="1" bestFit="1" customWidth="1"/>
    <col min="11" max="11" width="10.44140625" style="1" customWidth="1"/>
    <col min="12" max="12" width="29.88671875" style="1" bestFit="1" customWidth="1"/>
    <col min="13" max="13" width="11.88671875" style="1" bestFit="1" customWidth="1"/>
    <col min="14" max="14" width="8.88671875" style="1"/>
    <col min="15" max="15" width="24.109375" style="1" bestFit="1" customWidth="1"/>
    <col min="16" max="17" width="8.88671875" style="1"/>
    <col min="18" max="18" width="35.5546875" style="1" bestFit="1" customWidth="1"/>
    <col min="19" max="19" width="5.44140625" style="1" bestFit="1" customWidth="1"/>
    <col min="20" max="16384" width="8.88671875" style="1"/>
  </cols>
  <sheetData>
    <row r="1" spans="1:22" ht="23.25" thickBot="1">
      <c r="A1" s="289" t="s">
        <v>107</v>
      </c>
      <c r="B1" s="277" t="s">
        <v>90</v>
      </c>
      <c r="C1" s="276">
        <v>219</v>
      </c>
      <c r="D1" s="276" t="s">
        <v>93</v>
      </c>
      <c r="E1" s="278" t="s">
        <v>91</v>
      </c>
      <c r="F1" s="278" t="s">
        <v>117</v>
      </c>
      <c r="G1" s="278" t="s">
        <v>98</v>
      </c>
      <c r="H1" s="309" t="s">
        <v>118</v>
      </c>
      <c r="I1" s="288" t="s">
        <v>106</v>
      </c>
      <c r="J1" s="288" t="s">
        <v>98</v>
      </c>
      <c r="K1" s="405" t="s">
        <v>217</v>
      </c>
      <c r="L1" s="281" t="s">
        <v>96</v>
      </c>
      <c r="M1" s="282" t="s">
        <v>92</v>
      </c>
      <c r="N1" s="282" t="s">
        <v>98</v>
      </c>
      <c r="O1" s="279" t="s">
        <v>102</v>
      </c>
      <c r="P1" s="280" t="s">
        <v>97</v>
      </c>
      <c r="Q1" s="280" t="s">
        <v>98</v>
      </c>
      <c r="R1" s="302" t="s">
        <v>103</v>
      </c>
      <c r="S1" s="308" t="s">
        <v>92</v>
      </c>
      <c r="T1" s="280" t="s">
        <v>98</v>
      </c>
    </row>
    <row r="2" spans="1:22">
      <c r="A2" s="290"/>
      <c r="B2" s="284"/>
      <c r="C2" s="283"/>
      <c r="D2" s="283"/>
      <c r="E2" s="283"/>
      <c r="F2" s="284"/>
      <c r="G2" s="283"/>
      <c r="H2" s="283"/>
      <c r="I2" s="284"/>
      <c r="J2" s="285">
        <f t="shared" ref="J2:J15" si="0">I2/340.75</f>
        <v>0</v>
      </c>
      <c r="K2" s="285"/>
      <c r="L2" s="283"/>
      <c r="M2" s="283"/>
      <c r="N2" s="283"/>
      <c r="O2" s="283"/>
      <c r="P2" s="283"/>
      <c r="Q2" s="283"/>
      <c r="R2" s="283"/>
      <c r="S2" s="283"/>
      <c r="T2" s="283"/>
    </row>
    <row r="3" spans="1:22">
      <c r="A3" s="290">
        <v>26158</v>
      </c>
      <c r="B3" s="284">
        <v>363</v>
      </c>
      <c r="C3" s="283">
        <v>24</v>
      </c>
      <c r="D3" s="283" t="s">
        <v>634</v>
      </c>
      <c r="E3" s="283" t="s">
        <v>625</v>
      </c>
      <c r="F3" s="286" t="s">
        <v>100</v>
      </c>
      <c r="G3" s="285"/>
      <c r="H3" s="283"/>
      <c r="I3" s="284">
        <v>44444</v>
      </c>
      <c r="J3" s="285">
        <f t="shared" si="0"/>
        <v>130.42993396918561</v>
      </c>
      <c r="K3" s="285">
        <f>J3</f>
        <v>130.42993396918561</v>
      </c>
      <c r="L3" s="286" t="s">
        <v>100</v>
      </c>
      <c r="M3" s="286" t="s">
        <v>100</v>
      </c>
      <c r="N3" s="286" t="s">
        <v>100</v>
      </c>
      <c r="O3" s="286" t="s">
        <v>100</v>
      </c>
      <c r="P3" s="286" t="s">
        <v>100</v>
      </c>
      <c r="Q3" s="286" t="s">
        <v>100</v>
      </c>
      <c r="R3" s="809" t="s">
        <v>632</v>
      </c>
      <c r="S3" s="286" t="s">
        <v>100</v>
      </c>
      <c r="T3" s="286" t="s">
        <v>100</v>
      </c>
    </row>
    <row r="4" spans="1:22">
      <c r="A4" s="290">
        <v>26597</v>
      </c>
      <c r="B4" s="284">
        <v>11111</v>
      </c>
      <c r="C4" s="283">
        <v>27</v>
      </c>
      <c r="D4" s="283" t="s">
        <v>385</v>
      </c>
      <c r="E4" s="283" t="s">
        <v>186</v>
      </c>
      <c r="F4" s="284">
        <v>50000</v>
      </c>
      <c r="G4" s="285">
        <f>F4/340.75</f>
        <v>146.73514306676449</v>
      </c>
      <c r="H4" s="286" t="s">
        <v>119</v>
      </c>
      <c r="I4" s="284">
        <v>50000</v>
      </c>
      <c r="J4" s="285">
        <f t="shared" si="0"/>
        <v>146.73514306676449</v>
      </c>
      <c r="K4" s="285">
        <f>J4</f>
        <v>146.73514306676449</v>
      </c>
      <c r="L4" s="286" t="s">
        <v>100</v>
      </c>
      <c r="M4" s="283"/>
      <c r="N4" s="283"/>
      <c r="O4" s="286" t="s">
        <v>100</v>
      </c>
      <c r="P4" s="283"/>
      <c r="Q4" s="283"/>
      <c r="R4" s="286" t="s">
        <v>100</v>
      </c>
      <c r="S4" s="283"/>
      <c r="T4" s="283"/>
    </row>
    <row r="5" spans="1:22">
      <c r="A5" s="328">
        <v>27106</v>
      </c>
      <c r="B5" s="284">
        <v>11882</v>
      </c>
      <c r="C5" s="283">
        <v>60</v>
      </c>
      <c r="D5" s="283" t="s">
        <v>185</v>
      </c>
      <c r="E5" s="283" t="s">
        <v>186</v>
      </c>
      <c r="F5" s="286" t="s">
        <v>100</v>
      </c>
      <c r="G5" s="285"/>
      <c r="H5" s="286"/>
      <c r="I5" s="310">
        <v>111111</v>
      </c>
      <c r="J5" s="350">
        <f t="shared" si="0"/>
        <v>326.0777696258254</v>
      </c>
      <c r="K5" s="350">
        <f>J5</f>
        <v>326.0777696258254</v>
      </c>
      <c r="L5" s="286" t="s">
        <v>100</v>
      </c>
      <c r="M5" s="283"/>
      <c r="N5" s="283"/>
      <c r="O5" s="286" t="s">
        <v>100</v>
      </c>
      <c r="P5" s="283"/>
      <c r="Q5" s="283"/>
      <c r="R5" s="286" t="s">
        <v>100</v>
      </c>
      <c r="S5" s="283"/>
      <c r="T5" s="283"/>
    </row>
    <row r="6" spans="1:22">
      <c r="A6" s="290">
        <v>32394</v>
      </c>
      <c r="B6" s="576" t="s">
        <v>231</v>
      </c>
      <c r="C6" s="283">
        <v>16</v>
      </c>
      <c r="D6" s="283" t="s">
        <v>94</v>
      </c>
      <c r="E6" s="283" t="s">
        <v>95</v>
      </c>
      <c r="F6" s="286" t="s">
        <v>121</v>
      </c>
      <c r="G6" s="285"/>
      <c r="H6" s="286" t="s">
        <v>119</v>
      </c>
      <c r="I6" s="646">
        <v>555555</v>
      </c>
      <c r="J6" s="350">
        <f t="shared" si="0"/>
        <v>1630.3888481291269</v>
      </c>
      <c r="K6" s="350">
        <f t="shared" ref="K6:K10" si="1">J6</f>
        <v>1630.3888481291269</v>
      </c>
      <c r="L6" s="283" t="s">
        <v>125</v>
      </c>
      <c r="M6" s="286" t="s">
        <v>121</v>
      </c>
      <c r="N6" s="283"/>
      <c r="O6" s="322" t="s">
        <v>127</v>
      </c>
      <c r="P6" s="286" t="s">
        <v>121</v>
      </c>
      <c r="Q6" s="283"/>
      <c r="R6" s="283" t="s">
        <v>101</v>
      </c>
      <c r="S6" s="286" t="s">
        <v>100</v>
      </c>
      <c r="T6" s="286" t="s">
        <v>100</v>
      </c>
    </row>
    <row r="7" spans="1:22" s="104" customFormat="1">
      <c r="A7" s="365">
        <v>32480</v>
      </c>
      <c r="B7" s="576" t="s">
        <v>787</v>
      </c>
      <c r="C7" s="368">
        <v>170</v>
      </c>
      <c r="D7" s="283" t="s">
        <v>788</v>
      </c>
      <c r="E7" s="283" t="s">
        <v>95</v>
      </c>
      <c r="F7" s="286" t="s">
        <v>121</v>
      </c>
      <c r="G7" s="285"/>
      <c r="H7" s="286" t="s">
        <v>119</v>
      </c>
      <c r="I7" s="310">
        <v>222222</v>
      </c>
      <c r="J7" s="350">
        <f t="shared" ref="J7" si="2">I7/340.75</f>
        <v>652.15553925165079</v>
      </c>
      <c r="K7" s="350">
        <f t="shared" ref="K7" si="3">J7</f>
        <v>652.15553925165079</v>
      </c>
      <c r="L7" s="368" t="s">
        <v>789</v>
      </c>
      <c r="M7" s="419"/>
      <c r="N7" s="519"/>
      <c r="O7" s="519" t="s">
        <v>552</v>
      </c>
      <c r="P7" s="419"/>
      <c r="Q7" s="519"/>
      <c r="R7" s="519" t="s">
        <v>552</v>
      </c>
      <c r="S7" s="419"/>
      <c r="T7" s="419"/>
    </row>
    <row r="8" spans="1:22" s="104" customFormat="1">
      <c r="A8" s="365">
        <v>32480</v>
      </c>
      <c r="B8" s="576" t="s">
        <v>548</v>
      </c>
      <c r="C8" s="368">
        <v>170</v>
      </c>
      <c r="D8" s="283" t="s">
        <v>549</v>
      </c>
      <c r="E8" s="283" t="s">
        <v>95</v>
      </c>
      <c r="F8" s="286" t="s">
        <v>121</v>
      </c>
      <c r="G8" s="285"/>
      <c r="H8" s="286" t="s">
        <v>119</v>
      </c>
      <c r="I8" s="310">
        <v>222222</v>
      </c>
      <c r="J8" s="350">
        <f t="shared" si="0"/>
        <v>652.15553925165079</v>
      </c>
      <c r="K8" s="350">
        <f t="shared" si="1"/>
        <v>652.15553925165079</v>
      </c>
      <c r="L8" s="368" t="s">
        <v>550</v>
      </c>
      <c r="M8" s="419"/>
      <c r="N8" s="519"/>
      <c r="O8" s="519" t="s">
        <v>552</v>
      </c>
      <c r="P8" s="419"/>
      <c r="Q8" s="519"/>
      <c r="R8" s="519" t="s">
        <v>552</v>
      </c>
      <c r="S8" s="419"/>
      <c r="T8" s="419"/>
    </row>
    <row r="9" spans="1:22">
      <c r="A9" s="290">
        <v>32508</v>
      </c>
      <c r="B9" s="576" t="s">
        <v>346</v>
      </c>
      <c r="C9" s="283">
        <v>21</v>
      </c>
      <c r="D9" s="283" t="s">
        <v>349</v>
      </c>
      <c r="E9" s="283" t="s">
        <v>95</v>
      </c>
      <c r="F9" s="284"/>
      <c r="G9" s="285">
        <f t="shared" ref="G9" si="4">F9/340.75</f>
        <v>0</v>
      </c>
      <c r="H9" s="284"/>
      <c r="I9" s="310">
        <v>555555</v>
      </c>
      <c r="J9" s="350">
        <f t="shared" si="0"/>
        <v>1630.3888481291269</v>
      </c>
      <c r="K9" s="350">
        <f t="shared" si="1"/>
        <v>1630.3888481291269</v>
      </c>
      <c r="L9" s="283" t="s">
        <v>357</v>
      </c>
      <c r="M9" s="286" t="s">
        <v>121</v>
      </c>
      <c r="N9" s="283"/>
      <c r="O9" s="283" t="s">
        <v>358</v>
      </c>
      <c r="P9" s="286" t="s">
        <v>121</v>
      </c>
      <c r="Q9" s="283"/>
      <c r="R9" s="283"/>
      <c r="S9" s="283"/>
      <c r="T9" s="283"/>
    </row>
    <row r="10" spans="1:22" s="583" customFormat="1">
      <c r="A10" s="682">
        <v>32736</v>
      </c>
      <c r="B10" s="576" t="s">
        <v>757</v>
      </c>
      <c r="C10" s="150">
        <v>173</v>
      </c>
      <c r="D10" s="283" t="s">
        <v>758</v>
      </c>
      <c r="E10" s="283" t="s">
        <v>95</v>
      </c>
      <c r="F10" s="286" t="s">
        <v>121</v>
      </c>
      <c r="G10" s="582" t="s">
        <v>765</v>
      </c>
      <c r="H10" s="286" t="s">
        <v>119</v>
      </c>
      <c r="I10" s="310">
        <v>222222</v>
      </c>
      <c r="J10" s="350">
        <f t="shared" si="0"/>
        <v>652.15553925165079</v>
      </c>
      <c r="K10" s="350">
        <f t="shared" si="1"/>
        <v>652.15553925165079</v>
      </c>
      <c r="L10" s="150" t="s">
        <v>764</v>
      </c>
      <c r="M10" s="286" t="s">
        <v>100</v>
      </c>
      <c r="N10" s="286" t="s">
        <v>100</v>
      </c>
      <c r="O10" s="519" t="s">
        <v>759</v>
      </c>
      <c r="P10" s="286" t="s">
        <v>100</v>
      </c>
      <c r="Q10" s="286" t="s">
        <v>100</v>
      </c>
      <c r="R10" s="150" t="s">
        <v>762</v>
      </c>
      <c r="S10" s="286" t="s">
        <v>100</v>
      </c>
      <c r="T10" s="286" t="s">
        <v>100</v>
      </c>
      <c r="U10" s="1"/>
      <c r="V10" s="1"/>
    </row>
    <row r="11" spans="1:22">
      <c r="A11" s="290">
        <v>32754</v>
      </c>
      <c r="B11" s="576" t="s">
        <v>427</v>
      </c>
      <c r="C11" s="283">
        <v>29</v>
      </c>
      <c r="D11" s="283" t="s">
        <v>425</v>
      </c>
      <c r="E11" s="283" t="s">
        <v>95</v>
      </c>
      <c r="F11" s="286" t="s">
        <v>121</v>
      </c>
      <c r="G11" s="283"/>
      <c r="H11" s="286" t="s">
        <v>119</v>
      </c>
      <c r="I11" s="310">
        <v>555555</v>
      </c>
      <c r="J11" s="350">
        <f t="shared" ref="J11" si="5">I11/340.75</f>
        <v>1630.3888481291269</v>
      </c>
      <c r="K11" s="350">
        <f t="shared" ref="K11:K13" si="6">J11</f>
        <v>1630.3888481291269</v>
      </c>
      <c r="L11" s="283" t="s">
        <v>426</v>
      </c>
      <c r="M11" s="286" t="s">
        <v>100</v>
      </c>
      <c r="N11" s="283"/>
      <c r="O11" s="286" t="s">
        <v>100</v>
      </c>
      <c r="P11" s="286"/>
      <c r="Q11" s="285"/>
      <c r="R11" s="286" t="s">
        <v>100</v>
      </c>
      <c r="S11" s="283"/>
      <c r="T11" s="283"/>
    </row>
    <row r="12" spans="1:22">
      <c r="A12" s="290">
        <v>33042</v>
      </c>
      <c r="B12" s="576" t="s">
        <v>471</v>
      </c>
      <c r="C12" s="283">
        <v>23</v>
      </c>
      <c r="D12" s="283" t="s">
        <v>472</v>
      </c>
      <c r="E12" s="283" t="s">
        <v>95</v>
      </c>
      <c r="F12" s="286" t="s">
        <v>121</v>
      </c>
      <c r="G12" s="369"/>
      <c r="H12" s="286" t="s">
        <v>119</v>
      </c>
      <c r="I12" s="310">
        <v>222222</v>
      </c>
      <c r="J12" s="350">
        <f t="shared" ref="J12:J13" si="7">I12/340.75</f>
        <v>652.15553925165079</v>
      </c>
      <c r="K12" s="350">
        <f t="shared" si="6"/>
        <v>652.15553925165079</v>
      </c>
      <c r="L12" s="283" t="s">
        <v>473</v>
      </c>
      <c r="M12" s="286" t="s">
        <v>100</v>
      </c>
      <c r="N12" s="283"/>
      <c r="O12" s="283" t="s">
        <v>474</v>
      </c>
      <c r="P12" s="286" t="s">
        <v>121</v>
      </c>
      <c r="Q12" s="285"/>
      <c r="R12" s="286" t="s">
        <v>100</v>
      </c>
      <c r="S12" s="283"/>
      <c r="T12" s="283"/>
    </row>
    <row r="13" spans="1:22" s="583" customFormat="1">
      <c r="A13" s="290">
        <v>34962</v>
      </c>
      <c r="B13" s="576" t="s">
        <v>682</v>
      </c>
      <c r="C13" s="150">
        <v>30</v>
      </c>
      <c r="D13" s="368" t="s">
        <v>687</v>
      </c>
      <c r="E13" s="368" t="s">
        <v>95</v>
      </c>
      <c r="F13" s="286" t="s">
        <v>121</v>
      </c>
      <c r="G13" s="582"/>
      <c r="H13" s="286" t="s">
        <v>119</v>
      </c>
      <c r="I13" s="817">
        <v>333333</v>
      </c>
      <c r="J13" s="818">
        <f t="shared" si="7"/>
        <v>978.23330887747613</v>
      </c>
      <c r="K13" s="818">
        <f t="shared" si="6"/>
        <v>978.23330887747613</v>
      </c>
      <c r="L13" s="368" t="s">
        <v>688</v>
      </c>
      <c r="M13" s="286" t="s">
        <v>100</v>
      </c>
      <c r="N13" s="150"/>
      <c r="O13" s="519" t="s">
        <v>690</v>
      </c>
      <c r="P13" s="286" t="s">
        <v>100</v>
      </c>
      <c r="Q13" s="286" t="s">
        <v>100</v>
      </c>
      <c r="R13" s="368" t="s">
        <v>691</v>
      </c>
      <c r="S13" s="286" t="s">
        <v>100</v>
      </c>
      <c r="T13" s="286" t="s">
        <v>100</v>
      </c>
      <c r="U13" s="1"/>
      <c r="V13" s="1"/>
    </row>
    <row r="14" spans="1:22">
      <c r="A14" s="290">
        <v>34962</v>
      </c>
      <c r="B14" s="576" t="s">
        <v>198</v>
      </c>
      <c r="C14" s="283">
        <v>16</v>
      </c>
      <c r="D14" s="283" t="s">
        <v>122</v>
      </c>
      <c r="E14" s="283" t="s">
        <v>95</v>
      </c>
      <c r="F14" s="286" t="s">
        <v>121</v>
      </c>
      <c r="G14" s="285"/>
      <c r="H14" s="286" t="s">
        <v>119</v>
      </c>
      <c r="I14" s="310">
        <v>555555</v>
      </c>
      <c r="J14" s="350">
        <f t="shared" si="0"/>
        <v>1630.3888481291269</v>
      </c>
      <c r="K14" s="350">
        <f>J14</f>
        <v>1630.3888481291269</v>
      </c>
      <c r="L14" s="283" t="s">
        <v>162</v>
      </c>
      <c r="M14" s="286" t="s">
        <v>121</v>
      </c>
      <c r="N14" s="283"/>
      <c r="O14" s="283" t="s">
        <v>161</v>
      </c>
      <c r="P14" s="286" t="s">
        <v>100</v>
      </c>
      <c r="Q14" s="285"/>
      <c r="R14" s="283" t="s">
        <v>123</v>
      </c>
      <c r="S14" s="286" t="s">
        <v>100</v>
      </c>
      <c r="T14" s="286" t="s">
        <v>100</v>
      </c>
    </row>
    <row r="15" spans="1:22" s="583" customFormat="1">
      <c r="A15" s="292">
        <v>36788</v>
      </c>
      <c r="B15" s="649">
        <v>27556</v>
      </c>
      <c r="C15" s="809">
        <v>24</v>
      </c>
      <c r="D15" s="809" t="s">
        <v>655</v>
      </c>
      <c r="E15" s="809" t="s">
        <v>656</v>
      </c>
      <c r="F15" s="286" t="s">
        <v>121</v>
      </c>
      <c r="G15" s="582"/>
      <c r="H15" s="286" t="s">
        <v>119</v>
      </c>
      <c r="I15" s="817">
        <v>1135832</v>
      </c>
      <c r="J15" s="818">
        <f t="shared" si="0"/>
        <v>3333.329420396185</v>
      </c>
      <c r="K15" s="818">
        <f>J15</f>
        <v>3333.329420396185</v>
      </c>
      <c r="L15" s="286" t="s">
        <v>100</v>
      </c>
      <c r="M15" s="286" t="s">
        <v>100</v>
      </c>
      <c r="N15" s="286" t="s">
        <v>100</v>
      </c>
      <c r="O15" s="809" t="s">
        <v>657</v>
      </c>
      <c r="P15" s="286" t="s">
        <v>100</v>
      </c>
      <c r="Q15" s="286" t="s">
        <v>100</v>
      </c>
      <c r="R15" s="809" t="s">
        <v>658</v>
      </c>
      <c r="S15" s="519"/>
      <c r="T15" s="519"/>
      <c r="U15" s="1"/>
      <c r="V15" s="1"/>
    </row>
    <row r="16" spans="1:22" s="583" customFormat="1">
      <c r="A16" s="682">
        <v>38191</v>
      </c>
      <c r="B16" s="826">
        <v>4059</v>
      </c>
      <c r="C16" s="150">
        <v>30</v>
      </c>
      <c r="D16" s="150" t="s">
        <v>703</v>
      </c>
      <c r="E16" s="150" t="s">
        <v>124</v>
      </c>
      <c r="F16" s="394"/>
      <c r="G16" s="369">
        <v>5000</v>
      </c>
      <c r="H16" s="286" t="s">
        <v>119</v>
      </c>
      <c r="I16" s="394"/>
      <c r="J16" s="285">
        <v>5000</v>
      </c>
      <c r="K16" s="285">
        <v>5000</v>
      </c>
      <c r="L16" s="808" t="s">
        <v>702</v>
      </c>
      <c r="M16" s="394"/>
      <c r="N16" s="285">
        <v>5000</v>
      </c>
      <c r="O16" s="286" t="s">
        <v>100</v>
      </c>
      <c r="P16" s="286" t="s">
        <v>100</v>
      </c>
      <c r="Q16" s="286" t="s">
        <v>100</v>
      </c>
      <c r="R16" s="808" t="s">
        <v>701</v>
      </c>
      <c r="S16" s="403"/>
      <c r="T16" s="285">
        <v>5000</v>
      </c>
      <c r="U16" s="1"/>
      <c r="V16" s="1"/>
    </row>
    <row r="17" spans="1:22" s="583" customFormat="1">
      <c r="A17" s="682">
        <v>38198</v>
      </c>
      <c r="B17" s="575">
        <v>4070</v>
      </c>
      <c r="C17" s="150">
        <v>30</v>
      </c>
      <c r="D17" s="150" t="s">
        <v>668</v>
      </c>
      <c r="E17" s="150" t="s">
        <v>124</v>
      </c>
      <c r="F17" s="286" t="s">
        <v>121</v>
      </c>
      <c r="G17" s="582"/>
      <c r="H17" s="286" t="s">
        <v>119</v>
      </c>
      <c r="I17" s="394"/>
      <c r="J17" s="285">
        <v>5000</v>
      </c>
      <c r="K17" s="285">
        <v>5000</v>
      </c>
      <c r="L17" s="519" t="s">
        <v>709</v>
      </c>
      <c r="M17" s="394"/>
      <c r="N17" s="286" t="s">
        <v>121</v>
      </c>
      <c r="O17" s="150" t="s">
        <v>710</v>
      </c>
      <c r="P17" s="394"/>
      <c r="Q17" s="286" t="s">
        <v>121</v>
      </c>
      <c r="R17" s="150"/>
      <c r="S17" s="855"/>
      <c r="T17" s="519"/>
      <c r="U17" s="1"/>
      <c r="V17" s="1"/>
    </row>
    <row r="18" spans="1:22" s="583" customFormat="1">
      <c r="A18" s="682">
        <v>38198</v>
      </c>
      <c r="B18" s="575">
        <v>4070</v>
      </c>
      <c r="C18" s="150">
        <v>30</v>
      </c>
      <c r="D18" s="150" t="s">
        <v>713</v>
      </c>
      <c r="E18" s="150" t="s">
        <v>124</v>
      </c>
      <c r="F18" s="855"/>
      <c r="G18" s="815"/>
      <c r="H18" s="815"/>
      <c r="I18" s="855"/>
      <c r="J18" s="815"/>
      <c r="K18" s="815"/>
      <c r="L18" s="286" t="s">
        <v>100</v>
      </c>
      <c r="M18" s="394"/>
      <c r="N18" s="286" t="s">
        <v>100</v>
      </c>
      <c r="O18" s="286" t="s">
        <v>100</v>
      </c>
      <c r="P18" s="394"/>
      <c r="Q18" s="286" t="s">
        <v>100</v>
      </c>
      <c r="R18" s="286" t="s">
        <v>100</v>
      </c>
      <c r="S18" s="394"/>
      <c r="T18" s="286" t="s">
        <v>100</v>
      </c>
      <c r="U18" s="1"/>
      <c r="V18" s="1"/>
    </row>
    <row r="19" spans="1:22">
      <c r="A19" s="290">
        <v>38707</v>
      </c>
      <c r="B19" s="284" t="s">
        <v>591</v>
      </c>
      <c r="C19" s="283">
        <v>25</v>
      </c>
      <c r="D19" s="368" t="s">
        <v>592</v>
      </c>
      <c r="E19" s="283" t="s">
        <v>593</v>
      </c>
      <c r="F19" s="394"/>
      <c r="G19" s="369">
        <v>5000</v>
      </c>
      <c r="H19" s="286" t="s">
        <v>119</v>
      </c>
      <c r="I19" s="394"/>
      <c r="J19" s="285">
        <v>5000</v>
      </c>
      <c r="K19" s="285">
        <v>5000</v>
      </c>
      <c r="L19" s="283" t="s">
        <v>594</v>
      </c>
      <c r="M19" s="394"/>
      <c r="N19" s="286" t="s">
        <v>121</v>
      </c>
      <c r="O19" s="283"/>
      <c r="P19" s="394"/>
      <c r="Q19" s="285">
        <f t="shared" ref="Q19:Q30" si="8">P19/340.75</f>
        <v>0</v>
      </c>
      <c r="R19" s="283"/>
      <c r="S19" s="355"/>
      <c r="T19" s="283"/>
      <c r="U19" s="583"/>
    </row>
    <row r="20" spans="1:22">
      <c r="A20" s="290">
        <v>39073</v>
      </c>
      <c r="B20" s="284" t="s">
        <v>389</v>
      </c>
      <c r="C20" s="283">
        <v>16</v>
      </c>
      <c r="D20" s="283" t="s">
        <v>314</v>
      </c>
      <c r="E20" s="283" t="s">
        <v>187</v>
      </c>
      <c r="F20" s="394"/>
      <c r="G20" s="286" t="s">
        <v>100</v>
      </c>
      <c r="H20" s="286"/>
      <c r="I20" s="394"/>
      <c r="J20" s="492">
        <v>1111.1099999999999</v>
      </c>
      <c r="K20" s="492">
        <f t="shared" ref="K20:K27" si="9">J20</f>
        <v>1111.1099999999999</v>
      </c>
      <c r="L20" s="286" t="s">
        <v>100</v>
      </c>
      <c r="M20" s="394"/>
      <c r="N20" s="285">
        <f t="shared" ref="N20" si="10">M20/340.75</f>
        <v>0</v>
      </c>
      <c r="O20" s="286" t="s">
        <v>100</v>
      </c>
      <c r="P20" s="394"/>
      <c r="Q20" s="283"/>
      <c r="R20" s="286" t="s">
        <v>100</v>
      </c>
      <c r="S20" s="355"/>
      <c r="T20" s="283"/>
      <c r="U20" s="583"/>
    </row>
    <row r="21" spans="1:22">
      <c r="A21" s="290">
        <v>39639</v>
      </c>
      <c r="B21" s="575">
        <v>7952</v>
      </c>
      <c r="C21" s="283">
        <v>26</v>
      </c>
      <c r="D21" s="283" t="s">
        <v>530</v>
      </c>
      <c r="E21" s="283" t="s">
        <v>124</v>
      </c>
      <c r="F21" s="394"/>
      <c r="G21" s="286" t="s">
        <v>121</v>
      </c>
      <c r="H21" s="286" t="s">
        <v>119</v>
      </c>
      <c r="I21" s="394"/>
      <c r="J21" s="350">
        <v>3000</v>
      </c>
      <c r="K21" s="369">
        <f t="shared" si="9"/>
        <v>3000</v>
      </c>
      <c r="L21" s="283" t="s">
        <v>531</v>
      </c>
      <c r="M21" s="394"/>
      <c r="N21" s="286" t="s">
        <v>121</v>
      </c>
      <c r="O21" s="283" t="s">
        <v>532</v>
      </c>
      <c r="P21" s="394"/>
      <c r="Q21" s="286" t="s">
        <v>121</v>
      </c>
      <c r="R21" s="286" t="s">
        <v>151</v>
      </c>
      <c r="S21" s="394"/>
      <c r="T21" s="286" t="s">
        <v>121</v>
      </c>
      <c r="U21" s="583"/>
    </row>
    <row r="22" spans="1:22">
      <c r="A22" s="290">
        <v>39902</v>
      </c>
      <c r="B22" s="575">
        <v>8546</v>
      </c>
      <c r="C22" s="283">
        <v>27</v>
      </c>
      <c r="D22" s="283" t="s">
        <v>405</v>
      </c>
      <c r="E22" s="283" t="s">
        <v>124</v>
      </c>
      <c r="F22" s="394"/>
      <c r="G22" s="286" t="s">
        <v>121</v>
      </c>
      <c r="H22" s="286" t="s">
        <v>119</v>
      </c>
      <c r="I22" s="394"/>
      <c r="J22" s="369">
        <v>3425</v>
      </c>
      <c r="K22" s="369">
        <f t="shared" si="9"/>
        <v>3425</v>
      </c>
      <c r="L22" s="368" t="s">
        <v>408</v>
      </c>
      <c r="M22" s="394"/>
      <c r="N22" s="286" t="s">
        <v>121</v>
      </c>
      <c r="O22" s="286" t="s">
        <v>100</v>
      </c>
      <c r="P22" s="355"/>
      <c r="Q22" s="286" t="s">
        <v>100</v>
      </c>
      <c r="R22" s="286" t="s">
        <v>100</v>
      </c>
      <c r="S22" s="394"/>
      <c r="T22" s="286" t="s">
        <v>100</v>
      </c>
      <c r="U22" s="583"/>
    </row>
    <row r="23" spans="1:22" s="583" customFormat="1">
      <c r="A23" s="682">
        <v>40063</v>
      </c>
      <c r="B23" s="575">
        <v>8922</v>
      </c>
      <c r="C23" s="150">
        <v>30</v>
      </c>
      <c r="D23" s="150" t="s">
        <v>717</v>
      </c>
      <c r="E23" s="283" t="s">
        <v>124</v>
      </c>
      <c r="F23" s="394"/>
      <c r="G23" s="286" t="s">
        <v>121</v>
      </c>
      <c r="H23" s="286" t="s">
        <v>119</v>
      </c>
      <c r="I23" s="519" t="s">
        <v>718</v>
      </c>
      <c r="J23" s="582">
        <v>5000</v>
      </c>
      <c r="K23" s="582">
        <f>J23</f>
        <v>5000</v>
      </c>
      <c r="L23" s="286" t="s">
        <v>100</v>
      </c>
      <c r="M23" s="286" t="s">
        <v>100</v>
      </c>
      <c r="N23" s="519"/>
      <c r="O23" s="286" t="s">
        <v>100</v>
      </c>
      <c r="P23" s="286" t="s">
        <v>100</v>
      </c>
      <c r="Q23" s="519"/>
      <c r="R23" s="150" t="s">
        <v>721</v>
      </c>
      <c r="S23" s="581" t="s">
        <v>725</v>
      </c>
      <c r="T23" s="286" t="s">
        <v>121</v>
      </c>
    </row>
    <row r="24" spans="1:22">
      <c r="A24" s="681">
        <v>41969</v>
      </c>
      <c r="B24" s="575">
        <v>12098</v>
      </c>
      <c r="C24" s="368">
        <v>25</v>
      </c>
      <c r="D24" s="283" t="s">
        <v>604</v>
      </c>
      <c r="E24" s="283" t="s">
        <v>124</v>
      </c>
      <c r="F24" s="394"/>
      <c r="G24" s="286" t="s">
        <v>121</v>
      </c>
      <c r="H24" s="286" t="s">
        <v>119</v>
      </c>
      <c r="I24" s="355"/>
      <c r="J24" s="350">
        <v>3333.33</v>
      </c>
      <c r="K24" s="350">
        <f t="shared" si="9"/>
        <v>3333.33</v>
      </c>
      <c r="L24" s="283" t="s">
        <v>606</v>
      </c>
      <c r="M24" s="355"/>
      <c r="N24" s="286" t="s">
        <v>121</v>
      </c>
      <c r="O24" s="519" t="s">
        <v>611</v>
      </c>
      <c r="P24" s="355"/>
      <c r="Q24" s="286" t="s">
        <v>121</v>
      </c>
      <c r="R24" s="519" t="s">
        <v>610</v>
      </c>
      <c r="S24" s="355"/>
      <c r="T24" s="283"/>
    </row>
    <row r="25" spans="1:22">
      <c r="A25" s="290">
        <v>41988</v>
      </c>
      <c r="B25" s="284" t="s">
        <v>390</v>
      </c>
      <c r="C25" s="283">
        <v>16</v>
      </c>
      <c r="D25" s="283" t="s">
        <v>133</v>
      </c>
      <c r="E25" s="283" t="s">
        <v>164</v>
      </c>
      <c r="F25" s="355"/>
      <c r="G25" s="369">
        <v>3000</v>
      </c>
      <c r="H25" s="395" t="s">
        <v>201</v>
      </c>
      <c r="I25" s="355"/>
      <c r="J25" s="369">
        <v>3000</v>
      </c>
      <c r="K25" s="369">
        <f t="shared" si="9"/>
        <v>3000</v>
      </c>
      <c r="L25" s="368"/>
      <c r="M25" s="355"/>
      <c r="N25" s="369"/>
      <c r="O25" s="368"/>
      <c r="P25" s="355"/>
      <c r="Q25" s="368"/>
      <c r="R25" s="368"/>
      <c r="S25" s="355"/>
      <c r="T25" s="368"/>
    </row>
    <row r="26" spans="1:22">
      <c r="A26" s="290">
        <v>42054</v>
      </c>
      <c r="B26" s="575">
        <v>12227</v>
      </c>
      <c r="C26" s="283">
        <v>22</v>
      </c>
      <c r="D26" s="283" t="s">
        <v>369</v>
      </c>
      <c r="E26" s="283" t="s">
        <v>124</v>
      </c>
      <c r="F26" s="355"/>
      <c r="G26" s="286" t="s">
        <v>121</v>
      </c>
      <c r="H26" s="286" t="s">
        <v>119</v>
      </c>
      <c r="I26" s="355"/>
      <c r="J26" s="350">
        <v>2222.2199999999998</v>
      </c>
      <c r="K26" s="350">
        <f t="shared" si="9"/>
        <v>2222.2199999999998</v>
      </c>
      <c r="L26" s="283" t="s">
        <v>366</v>
      </c>
      <c r="M26" s="355"/>
      <c r="N26" s="286" t="s">
        <v>121</v>
      </c>
      <c r="O26" s="283" t="s">
        <v>364</v>
      </c>
      <c r="P26" s="286" t="s">
        <v>100</v>
      </c>
      <c r="Q26" s="286" t="s">
        <v>100</v>
      </c>
      <c r="R26" s="283" t="s">
        <v>365</v>
      </c>
      <c r="S26" s="394"/>
      <c r="T26" s="286" t="s">
        <v>100</v>
      </c>
    </row>
    <row r="27" spans="1:22">
      <c r="A27" s="365">
        <v>42369</v>
      </c>
      <c r="B27" s="575">
        <v>12875</v>
      </c>
      <c r="C27" s="368">
        <v>23</v>
      </c>
      <c r="D27" s="368" t="s">
        <v>521</v>
      </c>
      <c r="E27" s="368" t="s">
        <v>124</v>
      </c>
      <c r="F27" s="355"/>
      <c r="G27" s="286" t="s">
        <v>121</v>
      </c>
      <c r="H27" s="286" t="s">
        <v>119</v>
      </c>
      <c r="I27" s="355"/>
      <c r="J27" s="350">
        <v>3333.33</v>
      </c>
      <c r="K27" s="350">
        <f t="shared" si="9"/>
        <v>3333.33</v>
      </c>
      <c r="L27" s="283" t="s">
        <v>522</v>
      </c>
      <c r="M27" s="355"/>
      <c r="N27" s="286" t="s">
        <v>121</v>
      </c>
      <c r="O27" s="283" t="s">
        <v>524</v>
      </c>
      <c r="P27" s="355"/>
      <c r="Q27" s="286" t="s">
        <v>121</v>
      </c>
      <c r="R27" s="283" t="s">
        <v>523</v>
      </c>
      <c r="S27" s="394"/>
      <c r="T27" s="286" t="s">
        <v>121</v>
      </c>
    </row>
    <row r="28" spans="1:22">
      <c r="A28" s="290"/>
      <c r="B28" s="284"/>
      <c r="C28" s="283"/>
      <c r="D28" s="283"/>
      <c r="E28" s="283"/>
      <c r="F28" s="355"/>
      <c r="G28" s="285"/>
      <c r="H28" s="283"/>
      <c r="I28" s="355"/>
      <c r="J28" s="285"/>
      <c r="K28" s="285"/>
      <c r="L28" s="283"/>
      <c r="M28" s="355"/>
      <c r="N28" s="283"/>
      <c r="O28" s="283"/>
      <c r="P28" s="355"/>
      <c r="Q28" s="285">
        <f t="shared" si="8"/>
        <v>0</v>
      </c>
      <c r="R28" s="283"/>
      <c r="S28" s="355"/>
      <c r="T28" s="283"/>
    </row>
    <row r="29" spans="1:22">
      <c r="A29" s="290"/>
      <c r="B29" s="284"/>
      <c r="C29" s="283"/>
      <c r="D29" s="283"/>
      <c r="E29" s="283"/>
      <c r="F29" s="355"/>
      <c r="G29" s="285"/>
      <c r="H29" s="283"/>
      <c r="I29" s="355"/>
      <c r="J29" s="285"/>
      <c r="K29" s="285"/>
      <c r="L29" s="283"/>
      <c r="M29" s="355"/>
      <c r="N29" s="283"/>
      <c r="O29" s="283"/>
      <c r="P29" s="355"/>
      <c r="Q29" s="285">
        <f t="shared" si="8"/>
        <v>0</v>
      </c>
      <c r="R29" s="283"/>
      <c r="S29" s="355"/>
      <c r="T29" s="283"/>
    </row>
    <row r="30" spans="1:22">
      <c r="A30" s="290"/>
      <c r="B30" s="284"/>
      <c r="C30" s="283"/>
      <c r="D30" s="283"/>
      <c r="E30" s="283"/>
      <c r="F30" s="355"/>
      <c r="G30" s="285"/>
      <c r="H30" s="283"/>
      <c r="I30" s="355"/>
      <c r="J30" s="285"/>
      <c r="K30" s="285"/>
      <c r="L30" s="283"/>
      <c r="M30" s="355"/>
      <c r="N30" s="283"/>
      <c r="O30" s="283"/>
      <c r="P30" s="355"/>
      <c r="Q30" s="285">
        <f t="shared" si="8"/>
        <v>0</v>
      </c>
      <c r="R30" s="283"/>
      <c r="S30" s="355"/>
      <c r="T30" s="283"/>
    </row>
    <row r="33" spans="9:11">
      <c r="I33" s="42">
        <f>3333.33*340.75</f>
        <v>1135832.1975</v>
      </c>
      <c r="K33" s="406" t="s">
        <v>388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42"/>
  <sheetViews>
    <sheetView workbookViewId="0">
      <pane ySplit="1" topLeftCell="A2" activePane="bottomLeft" state="frozen"/>
      <selection pane="bottomLeft" activeCell="A7" sqref="A7:XFD7"/>
    </sheetView>
  </sheetViews>
  <sheetFormatPr defaultRowHeight="11.25"/>
  <cols>
    <col min="1" max="1" width="6.88671875" style="1" bestFit="1" customWidth="1"/>
    <col min="2" max="2" width="6.33203125" style="41" bestFit="1" customWidth="1"/>
    <col min="3" max="3" width="2.77734375" style="1" bestFit="1" customWidth="1"/>
    <col min="4" max="4" width="44.21875" style="1" bestFit="1" customWidth="1"/>
    <col min="5" max="5" width="13.21875" style="1" bestFit="1" customWidth="1"/>
    <col min="6" max="6" width="12.21875" style="1" customWidth="1"/>
    <col min="7" max="7" width="8.6640625" style="1" bestFit="1" customWidth="1"/>
    <col min="8" max="8" width="10.77734375" style="1" customWidth="1"/>
    <col min="9" max="9" width="8" style="1" bestFit="1" customWidth="1"/>
    <col min="10" max="10" width="10.33203125" style="1" bestFit="1" customWidth="1"/>
    <col min="11" max="11" width="8.6640625" style="1" bestFit="1" customWidth="1"/>
    <col min="12" max="12" width="29.88671875" style="1" bestFit="1" customWidth="1"/>
    <col min="13" max="13" width="8.21875" style="1" bestFit="1" customWidth="1"/>
    <col min="14" max="14" width="8.6640625" style="1" bestFit="1" customWidth="1"/>
    <col min="15" max="15" width="18.109375" style="1" bestFit="1" customWidth="1"/>
    <col min="16" max="16" width="12.109375" style="1" bestFit="1" customWidth="1"/>
    <col min="17" max="17" width="8.88671875" style="1"/>
    <col min="18" max="18" width="24.109375" style="1" bestFit="1" customWidth="1"/>
    <col min="19" max="19" width="6.109375" style="1" bestFit="1" customWidth="1"/>
    <col min="20" max="20" width="9.109375" style="1" customWidth="1"/>
    <col min="21" max="21" width="35.5546875" style="1" bestFit="1" customWidth="1"/>
    <col min="22" max="22" width="6.109375" style="1" bestFit="1" customWidth="1"/>
    <col min="23" max="23" width="9.109375" style="1" customWidth="1"/>
    <col min="24" max="16384" width="8.88671875" style="1"/>
  </cols>
  <sheetData>
    <row r="1" spans="1:23" ht="22.5">
      <c r="A1" s="289" t="s">
        <v>107</v>
      </c>
      <c r="B1" s="277" t="s">
        <v>90</v>
      </c>
      <c r="C1" s="276">
        <v>219</v>
      </c>
      <c r="D1" s="276" t="s">
        <v>93</v>
      </c>
      <c r="E1" s="278" t="s">
        <v>91</v>
      </c>
      <c r="F1" s="278" t="s">
        <v>92</v>
      </c>
      <c r="G1" s="278" t="s">
        <v>98</v>
      </c>
      <c r="H1" s="309" t="s">
        <v>118</v>
      </c>
      <c r="I1" s="278" t="s">
        <v>98</v>
      </c>
      <c r="J1" s="288" t="s">
        <v>106</v>
      </c>
      <c r="K1" s="288" t="s">
        <v>98</v>
      </c>
      <c r="L1" s="281" t="s">
        <v>96</v>
      </c>
      <c r="M1" s="282" t="s">
        <v>92</v>
      </c>
      <c r="N1" s="282" t="s">
        <v>98</v>
      </c>
      <c r="O1" s="279" t="s">
        <v>99</v>
      </c>
      <c r="P1" s="280" t="s">
        <v>92</v>
      </c>
      <c r="Q1" s="280" t="s">
        <v>98</v>
      </c>
      <c r="R1" s="281" t="s">
        <v>102</v>
      </c>
      <c r="S1" s="282" t="s">
        <v>92</v>
      </c>
      <c r="T1" s="282" t="s">
        <v>98</v>
      </c>
      <c r="U1" s="279" t="s">
        <v>103</v>
      </c>
      <c r="V1" s="280" t="s">
        <v>92</v>
      </c>
      <c r="W1" s="280" t="s">
        <v>98</v>
      </c>
    </row>
    <row r="2" spans="1:23">
      <c r="A2" s="290"/>
      <c r="B2" s="284"/>
      <c r="C2" s="283"/>
      <c r="D2" s="283"/>
      <c r="E2" s="283"/>
      <c r="F2" s="284"/>
      <c r="G2" s="285">
        <f>F2/340.75</f>
        <v>0</v>
      </c>
      <c r="H2" s="285"/>
      <c r="I2" s="285">
        <f>H2/340.75</f>
        <v>0</v>
      </c>
      <c r="J2" s="283"/>
      <c r="K2" s="285">
        <f>J2/340.75</f>
        <v>0</v>
      </c>
      <c r="L2" s="283"/>
      <c r="M2" s="283"/>
      <c r="N2" s="283"/>
      <c r="O2" s="283"/>
      <c r="P2" s="283"/>
      <c r="Q2" s="285">
        <f>P2/340.75</f>
        <v>0</v>
      </c>
      <c r="R2" s="283"/>
      <c r="S2" s="283"/>
      <c r="T2" s="283"/>
      <c r="U2" s="283"/>
      <c r="V2" s="283"/>
      <c r="W2" s="283"/>
    </row>
    <row r="3" spans="1:23">
      <c r="A3" s="290">
        <v>26158</v>
      </c>
      <c r="B3" s="284">
        <v>363</v>
      </c>
      <c r="C3" s="283">
        <v>24</v>
      </c>
      <c r="D3" s="283" t="s">
        <v>634</v>
      </c>
      <c r="E3" s="283" t="s">
        <v>625</v>
      </c>
      <c r="F3" s="286" t="s">
        <v>100</v>
      </c>
      <c r="G3" s="286" t="s">
        <v>100</v>
      </c>
      <c r="H3" s="286" t="s">
        <v>100</v>
      </c>
      <c r="I3" s="286" t="s">
        <v>100</v>
      </c>
      <c r="J3" s="284">
        <v>555555</v>
      </c>
      <c r="K3" s="285">
        <f>J3/340.75</f>
        <v>1630.3888481291269</v>
      </c>
      <c r="L3" s="286" t="s">
        <v>100</v>
      </c>
      <c r="M3" s="286" t="s">
        <v>100</v>
      </c>
      <c r="N3" s="286" t="s">
        <v>100</v>
      </c>
      <c r="O3" s="286" t="s">
        <v>100</v>
      </c>
      <c r="P3" s="286" t="s">
        <v>100</v>
      </c>
      <c r="Q3" s="286" t="s">
        <v>100</v>
      </c>
      <c r="R3" s="286" t="s">
        <v>100</v>
      </c>
      <c r="S3" s="286" t="s">
        <v>100</v>
      </c>
      <c r="T3" s="286" t="s">
        <v>100</v>
      </c>
      <c r="U3" s="809" t="s">
        <v>632</v>
      </c>
      <c r="V3" s="286" t="s">
        <v>100</v>
      </c>
      <c r="W3" s="286" t="s">
        <v>100</v>
      </c>
    </row>
    <row r="4" spans="1:23">
      <c r="A4" s="290">
        <v>26597</v>
      </c>
      <c r="B4" s="284">
        <v>11111</v>
      </c>
      <c r="C4" s="283">
        <v>27</v>
      </c>
      <c r="D4" s="283" t="s">
        <v>385</v>
      </c>
      <c r="E4" s="283" t="s">
        <v>186</v>
      </c>
      <c r="F4" s="284">
        <v>500000</v>
      </c>
      <c r="G4" s="285">
        <f t="shared" ref="G4" si="0">F4/340.75</f>
        <v>1467.351430667645</v>
      </c>
      <c r="H4" s="286" t="s">
        <v>119</v>
      </c>
      <c r="I4" s="285"/>
      <c r="J4" s="284">
        <v>500000</v>
      </c>
      <c r="K4" s="285">
        <f t="shared" ref="G4:K15" si="1">J4/340.75</f>
        <v>1467.351430667645</v>
      </c>
      <c r="L4" s="286" t="s">
        <v>100</v>
      </c>
      <c r="M4" s="283"/>
      <c r="N4" s="283"/>
      <c r="O4" s="286" t="s">
        <v>100</v>
      </c>
      <c r="P4" s="283"/>
      <c r="Q4" s="285">
        <f t="shared" ref="Q4:Q19" si="2">P4/340.75</f>
        <v>0</v>
      </c>
      <c r="R4" s="286" t="s">
        <v>100</v>
      </c>
      <c r="S4" s="283"/>
      <c r="T4" s="283"/>
      <c r="U4" s="286" t="s">
        <v>100</v>
      </c>
      <c r="V4" s="283"/>
      <c r="W4" s="283"/>
    </row>
    <row r="5" spans="1:23">
      <c r="A5" s="328">
        <v>27106</v>
      </c>
      <c r="B5" s="284">
        <v>11882</v>
      </c>
      <c r="C5" s="283">
        <v>60</v>
      </c>
      <c r="D5" s="283" t="s">
        <v>185</v>
      </c>
      <c r="E5" s="283" t="s">
        <v>186</v>
      </c>
      <c r="F5" s="286" t="s">
        <v>100</v>
      </c>
      <c r="G5" s="285"/>
      <c r="H5" s="286" t="s">
        <v>100</v>
      </c>
      <c r="I5" s="285"/>
      <c r="J5" s="310">
        <v>2222222</v>
      </c>
      <c r="K5" s="285">
        <f t="shared" si="1"/>
        <v>6521.5612619222302</v>
      </c>
      <c r="L5" s="283"/>
      <c r="M5" s="283"/>
      <c r="N5" s="283"/>
      <c r="O5" s="283"/>
      <c r="P5" s="283"/>
      <c r="Q5" s="285">
        <f t="shared" si="2"/>
        <v>0</v>
      </c>
      <c r="R5" s="283"/>
      <c r="S5" s="283"/>
      <c r="T5" s="283"/>
      <c r="U5" s="283"/>
      <c r="V5" s="283"/>
      <c r="W5" s="283"/>
    </row>
    <row r="6" spans="1:23">
      <c r="A6" s="290">
        <v>32394</v>
      </c>
      <c r="B6" s="576" t="s">
        <v>231</v>
      </c>
      <c r="C6" s="283">
        <v>16</v>
      </c>
      <c r="D6" s="283" t="s">
        <v>94</v>
      </c>
      <c r="E6" s="283" t="s">
        <v>95</v>
      </c>
      <c r="F6" s="284">
        <v>10000000</v>
      </c>
      <c r="G6" s="285">
        <f t="shared" si="1"/>
        <v>29347.028613352897</v>
      </c>
      <c r="H6" s="305">
        <v>600000</v>
      </c>
      <c r="I6" s="285">
        <f t="shared" ref="I6:I7" si="3">H6/340.75</f>
        <v>1760.8217168011738</v>
      </c>
      <c r="J6" s="284">
        <v>10000000</v>
      </c>
      <c r="K6" s="285">
        <f t="shared" si="1"/>
        <v>29347.028613352897</v>
      </c>
      <c r="L6" s="283" t="s">
        <v>125</v>
      </c>
      <c r="M6" s="286" t="s">
        <v>121</v>
      </c>
      <c r="N6" s="285"/>
      <c r="O6" s="322" t="s">
        <v>127</v>
      </c>
      <c r="P6" s="284">
        <v>10000000</v>
      </c>
      <c r="Q6" s="285">
        <f t="shared" si="2"/>
        <v>29347.028613352897</v>
      </c>
      <c r="R6" s="286" t="s">
        <v>100</v>
      </c>
      <c r="S6" s="286" t="s">
        <v>100</v>
      </c>
      <c r="T6" s="285"/>
      <c r="U6" s="283" t="s">
        <v>101</v>
      </c>
      <c r="V6" s="286" t="s">
        <v>100</v>
      </c>
      <c r="W6" s="285"/>
    </row>
    <row r="7" spans="1:23" s="104" customFormat="1">
      <c r="A7" s="365">
        <v>32480</v>
      </c>
      <c r="B7" s="576" t="s">
        <v>787</v>
      </c>
      <c r="C7" s="368">
        <v>170</v>
      </c>
      <c r="D7" s="283" t="s">
        <v>788</v>
      </c>
      <c r="E7" s="283" t="s">
        <v>95</v>
      </c>
      <c r="F7" s="284">
        <v>15000000</v>
      </c>
      <c r="G7" s="285">
        <f t="shared" si="1"/>
        <v>44020.542920029344</v>
      </c>
      <c r="H7" s="305">
        <v>600000</v>
      </c>
      <c r="I7" s="285">
        <f t="shared" si="3"/>
        <v>1760.8217168011738</v>
      </c>
      <c r="J7" s="284">
        <v>15000000</v>
      </c>
      <c r="K7" s="285">
        <f t="shared" si="1"/>
        <v>44020.542920029344</v>
      </c>
      <c r="L7" s="368" t="s">
        <v>789</v>
      </c>
      <c r="M7" s="419"/>
      <c r="N7" s="519"/>
      <c r="O7" s="519" t="s">
        <v>552</v>
      </c>
      <c r="P7" s="419"/>
      <c r="Q7" s="519"/>
      <c r="R7" s="519" t="s">
        <v>552</v>
      </c>
      <c r="S7" s="419"/>
      <c r="T7" s="369"/>
      <c r="U7" s="368"/>
      <c r="V7" s="419"/>
      <c r="W7" s="369"/>
    </row>
    <row r="8" spans="1:23" s="104" customFormat="1">
      <c r="A8" s="365">
        <v>32480</v>
      </c>
      <c r="B8" s="576" t="s">
        <v>548</v>
      </c>
      <c r="C8" s="368">
        <v>170</v>
      </c>
      <c r="D8" s="283" t="s">
        <v>549</v>
      </c>
      <c r="E8" s="283" t="s">
        <v>95</v>
      </c>
      <c r="F8" s="284">
        <v>15000000</v>
      </c>
      <c r="G8" s="285">
        <f t="shared" ref="G8" si="4">F8/340.75</f>
        <v>44020.542920029344</v>
      </c>
      <c r="H8" s="305">
        <v>600000</v>
      </c>
      <c r="I8" s="285">
        <f t="shared" ref="I8" si="5">H8/340.75</f>
        <v>1760.8217168011738</v>
      </c>
      <c r="J8" s="284">
        <v>15000000</v>
      </c>
      <c r="K8" s="285">
        <f t="shared" ref="K8" si="6">J8/340.75</f>
        <v>44020.542920029344</v>
      </c>
      <c r="L8" s="368" t="s">
        <v>550</v>
      </c>
      <c r="M8" s="419"/>
      <c r="N8" s="519"/>
      <c r="O8" s="519" t="s">
        <v>552</v>
      </c>
      <c r="P8" s="419"/>
      <c r="Q8" s="519"/>
      <c r="R8" s="519" t="s">
        <v>552</v>
      </c>
      <c r="S8" s="419"/>
      <c r="T8" s="369"/>
      <c r="U8" s="368"/>
      <c r="V8" s="419"/>
      <c r="W8" s="369"/>
    </row>
    <row r="9" spans="1:23">
      <c r="A9" s="290">
        <v>32508</v>
      </c>
      <c r="B9" s="576" t="s">
        <v>346</v>
      </c>
      <c r="C9" s="283">
        <v>21</v>
      </c>
      <c r="D9" s="283" t="s">
        <v>349</v>
      </c>
      <c r="E9" s="283" t="s">
        <v>95</v>
      </c>
      <c r="F9" s="284">
        <v>20000000</v>
      </c>
      <c r="G9" s="285">
        <f t="shared" si="1"/>
        <v>58694.057226705794</v>
      </c>
      <c r="H9" s="305">
        <v>600000</v>
      </c>
      <c r="I9" s="285">
        <f t="shared" ref="I9" si="7">H9/340.75</f>
        <v>1760.8217168011738</v>
      </c>
      <c r="J9" s="284">
        <v>20000000</v>
      </c>
      <c r="K9" s="285">
        <f t="shared" si="1"/>
        <v>58694.057226705794</v>
      </c>
      <c r="L9" s="283" t="s">
        <v>357</v>
      </c>
      <c r="M9" s="286" t="s">
        <v>121</v>
      </c>
      <c r="N9" s="283"/>
      <c r="O9" s="283" t="s">
        <v>358</v>
      </c>
      <c r="P9" s="284">
        <v>20000000</v>
      </c>
      <c r="Q9" s="285">
        <f t="shared" si="2"/>
        <v>58694.057226705794</v>
      </c>
      <c r="R9" s="283"/>
      <c r="S9" s="283"/>
      <c r="T9" s="283"/>
      <c r="U9" s="283"/>
      <c r="V9" s="283"/>
      <c r="W9" s="283"/>
    </row>
    <row r="10" spans="1:23" s="104" customFormat="1">
      <c r="A10" s="682">
        <v>32736</v>
      </c>
      <c r="B10" s="576" t="s">
        <v>757</v>
      </c>
      <c r="C10" s="150">
        <v>173</v>
      </c>
      <c r="D10" s="283" t="s">
        <v>758</v>
      </c>
      <c r="E10" s="283" t="s">
        <v>95</v>
      </c>
      <c r="F10" s="284">
        <v>30000000</v>
      </c>
      <c r="G10" s="285">
        <f t="shared" ref="G10" si="8">F10/340.75</f>
        <v>88041.085840058688</v>
      </c>
      <c r="H10" s="305">
        <v>600000</v>
      </c>
      <c r="I10" s="285">
        <f t="shared" ref="I10" si="9">H10/340.75</f>
        <v>1760.8217168011738</v>
      </c>
      <c r="J10" s="284">
        <v>30000000</v>
      </c>
      <c r="K10" s="285">
        <f t="shared" si="1"/>
        <v>88041.085840058688</v>
      </c>
      <c r="L10" s="150" t="s">
        <v>764</v>
      </c>
      <c r="M10" s="286" t="s">
        <v>100</v>
      </c>
      <c r="N10" s="286" t="s">
        <v>100</v>
      </c>
      <c r="O10" s="150" t="s">
        <v>763</v>
      </c>
      <c r="P10" s="286" t="s">
        <v>121</v>
      </c>
      <c r="Q10" s="286" t="s">
        <v>121</v>
      </c>
      <c r="R10" s="519" t="s">
        <v>759</v>
      </c>
      <c r="S10" s="286" t="s">
        <v>100</v>
      </c>
      <c r="T10" s="286" t="s">
        <v>100</v>
      </c>
      <c r="U10" s="150" t="s">
        <v>762</v>
      </c>
      <c r="V10" s="286" t="s">
        <v>100</v>
      </c>
      <c r="W10" s="368"/>
    </row>
    <row r="11" spans="1:23">
      <c r="A11" s="290">
        <v>32754</v>
      </c>
      <c r="B11" s="576" t="s">
        <v>427</v>
      </c>
      <c r="C11" s="283">
        <v>29</v>
      </c>
      <c r="D11" s="283" t="s">
        <v>425</v>
      </c>
      <c r="E11" s="283" t="s">
        <v>95</v>
      </c>
      <c r="F11" s="284">
        <v>20000000</v>
      </c>
      <c r="G11" s="285">
        <f t="shared" ref="G11:G13" si="10">F11/340.75</f>
        <v>58694.057226705794</v>
      </c>
      <c r="H11" s="305">
        <v>600000</v>
      </c>
      <c r="I11" s="285">
        <f t="shared" ref="I11" si="11">H11/340.75</f>
        <v>1760.8217168011738</v>
      </c>
      <c r="J11" s="284">
        <v>20000000</v>
      </c>
      <c r="K11" s="285">
        <f t="shared" ref="K11" si="12">J11/340.75</f>
        <v>58694.057226705794</v>
      </c>
      <c r="L11" s="283" t="s">
        <v>426</v>
      </c>
      <c r="M11" s="286" t="s">
        <v>100</v>
      </c>
      <c r="N11" s="283"/>
      <c r="O11" s="286" t="s">
        <v>100</v>
      </c>
      <c r="P11" s="286" t="s">
        <v>100</v>
      </c>
      <c r="Q11" s="285"/>
      <c r="R11" s="286" t="s">
        <v>100</v>
      </c>
      <c r="S11" s="283"/>
      <c r="T11" s="283"/>
      <c r="U11" s="286" t="s">
        <v>100</v>
      </c>
      <c r="V11" s="283"/>
      <c r="W11" s="283"/>
    </row>
    <row r="12" spans="1:23">
      <c r="A12" s="290">
        <v>33042</v>
      </c>
      <c r="B12" s="576" t="s">
        <v>471</v>
      </c>
      <c r="C12" s="283">
        <v>23</v>
      </c>
      <c r="D12" s="283" t="s">
        <v>472</v>
      </c>
      <c r="E12" s="283" t="s">
        <v>95</v>
      </c>
      <c r="F12" s="284">
        <v>20000000</v>
      </c>
      <c r="G12" s="285">
        <f t="shared" si="10"/>
        <v>58694.057226705794</v>
      </c>
      <c r="H12" s="305">
        <v>600000</v>
      </c>
      <c r="I12" s="285">
        <f t="shared" ref="I12:I13" si="13">H12/340.75</f>
        <v>1760.8217168011738</v>
      </c>
      <c r="J12" s="284">
        <v>20000000</v>
      </c>
      <c r="K12" s="285">
        <f t="shared" ref="K12:K13" si="14">J12/340.75</f>
        <v>58694.057226705794</v>
      </c>
      <c r="L12" s="283" t="s">
        <v>473</v>
      </c>
      <c r="M12" s="286" t="s">
        <v>100</v>
      </c>
      <c r="N12" s="283"/>
      <c r="O12" s="283" t="s">
        <v>474</v>
      </c>
      <c r="P12" s="284">
        <v>20000000</v>
      </c>
      <c r="Q12" s="285"/>
      <c r="R12" s="286" t="s">
        <v>100</v>
      </c>
      <c r="S12" s="283"/>
      <c r="T12" s="283"/>
      <c r="U12" s="286" t="s">
        <v>100</v>
      </c>
      <c r="V12" s="286" t="s">
        <v>100</v>
      </c>
      <c r="W12" s="286" t="s">
        <v>100</v>
      </c>
    </row>
    <row r="13" spans="1:23" s="583" customFormat="1">
      <c r="A13" s="290">
        <v>34962</v>
      </c>
      <c r="B13" s="576" t="s">
        <v>682</v>
      </c>
      <c r="C13" s="150">
        <v>30</v>
      </c>
      <c r="D13" s="368" t="s">
        <v>687</v>
      </c>
      <c r="E13" s="368" t="s">
        <v>95</v>
      </c>
      <c r="F13" s="582">
        <v>300000000</v>
      </c>
      <c r="G13" s="582">
        <f t="shared" si="10"/>
        <v>880410.85840058699</v>
      </c>
      <c r="H13" s="649">
        <v>600000</v>
      </c>
      <c r="I13" s="285">
        <f t="shared" si="13"/>
        <v>1760.8217168011738</v>
      </c>
      <c r="J13" s="581">
        <v>300000000</v>
      </c>
      <c r="K13" s="582">
        <f t="shared" si="14"/>
        <v>880410.85840058699</v>
      </c>
      <c r="L13" s="368" t="s">
        <v>688</v>
      </c>
      <c r="M13" s="286" t="s">
        <v>100</v>
      </c>
      <c r="N13" s="150"/>
      <c r="O13" s="368" t="s">
        <v>689</v>
      </c>
      <c r="P13" s="286" t="s">
        <v>100</v>
      </c>
      <c r="Q13" s="286" t="s">
        <v>100</v>
      </c>
      <c r="R13" s="519" t="s">
        <v>690</v>
      </c>
      <c r="S13" s="286" t="s">
        <v>100</v>
      </c>
      <c r="T13" s="286" t="s">
        <v>100</v>
      </c>
      <c r="U13" s="368" t="s">
        <v>691</v>
      </c>
      <c r="V13" s="286" t="s">
        <v>100</v>
      </c>
      <c r="W13" s="519"/>
    </row>
    <row r="14" spans="1:23">
      <c r="A14" s="290">
        <v>34962</v>
      </c>
      <c r="B14" s="576">
        <v>12428</v>
      </c>
      <c r="C14" s="283">
        <v>16</v>
      </c>
      <c r="D14" s="283" t="s">
        <v>122</v>
      </c>
      <c r="E14" s="283" t="s">
        <v>95</v>
      </c>
      <c r="F14" s="284">
        <v>50000000</v>
      </c>
      <c r="G14" s="285">
        <f t="shared" si="1"/>
        <v>146735.14306676449</v>
      </c>
      <c r="H14" s="649">
        <v>600000</v>
      </c>
      <c r="I14" s="285">
        <f t="shared" ref="I14" si="15">H14/340.75</f>
        <v>1760.8217168011738</v>
      </c>
      <c r="J14" s="284">
        <v>50000000</v>
      </c>
      <c r="K14" s="285">
        <f t="shared" si="1"/>
        <v>146735.14306676449</v>
      </c>
      <c r="L14" s="283" t="s">
        <v>162</v>
      </c>
      <c r="M14" s="286" t="s">
        <v>121</v>
      </c>
      <c r="N14" s="283"/>
      <c r="O14" s="283" t="s">
        <v>163</v>
      </c>
      <c r="P14" s="286" t="s">
        <v>100</v>
      </c>
      <c r="Q14" s="285"/>
      <c r="R14" s="283" t="s">
        <v>161</v>
      </c>
      <c r="S14" s="286" t="s">
        <v>100</v>
      </c>
      <c r="T14" s="283"/>
      <c r="U14" s="283" t="s">
        <v>123</v>
      </c>
      <c r="V14" s="286" t="s">
        <v>100</v>
      </c>
      <c r="W14" s="283"/>
    </row>
    <row r="15" spans="1:23" s="583" customFormat="1">
      <c r="A15" s="292">
        <v>36788</v>
      </c>
      <c r="B15" s="649">
        <v>27556</v>
      </c>
      <c r="C15" s="809">
        <v>24</v>
      </c>
      <c r="D15" s="809" t="s">
        <v>655</v>
      </c>
      <c r="E15" s="809" t="s">
        <v>656</v>
      </c>
      <c r="F15" s="581">
        <v>30000000</v>
      </c>
      <c r="G15" s="582">
        <f t="shared" si="1"/>
        <v>88041.085840058688</v>
      </c>
      <c r="H15" s="286" t="s">
        <v>119</v>
      </c>
      <c r="I15" s="286" t="s">
        <v>119</v>
      </c>
      <c r="J15" s="581">
        <v>30000000</v>
      </c>
      <c r="K15" s="582">
        <f t="shared" ref="K15" si="16">J15/340.75</f>
        <v>88041.085840058688</v>
      </c>
      <c r="L15" s="286" t="s">
        <v>100</v>
      </c>
      <c r="M15" s="286" t="s">
        <v>100</v>
      </c>
      <c r="N15" s="286" t="s">
        <v>100</v>
      </c>
      <c r="O15" s="355"/>
      <c r="P15" s="355"/>
      <c r="Q15" s="355"/>
      <c r="R15" s="809" t="s">
        <v>657</v>
      </c>
      <c r="S15" s="286" t="s">
        <v>100</v>
      </c>
      <c r="T15" s="286" t="s">
        <v>100</v>
      </c>
      <c r="U15" s="809" t="s">
        <v>658</v>
      </c>
      <c r="V15" s="286" t="s">
        <v>100</v>
      </c>
      <c r="W15" s="286" t="s">
        <v>100</v>
      </c>
    </row>
    <row r="16" spans="1:23" s="583" customFormat="1">
      <c r="A16" s="682">
        <v>38191</v>
      </c>
      <c r="B16" s="826">
        <v>4059</v>
      </c>
      <c r="C16" s="150">
        <v>30</v>
      </c>
      <c r="D16" s="150" t="s">
        <v>703</v>
      </c>
      <c r="E16" s="150" t="s">
        <v>124</v>
      </c>
      <c r="F16" s="286" t="s">
        <v>121</v>
      </c>
      <c r="G16" s="286" t="s">
        <v>121</v>
      </c>
      <c r="H16" s="286" t="s">
        <v>119</v>
      </c>
      <c r="I16" s="286" t="s">
        <v>119</v>
      </c>
      <c r="J16" s="355"/>
      <c r="K16" s="818">
        <v>66666.66</v>
      </c>
      <c r="L16" s="808" t="s">
        <v>702</v>
      </c>
      <c r="M16" s="394"/>
      <c r="N16" s="286" t="s">
        <v>121</v>
      </c>
      <c r="O16" s="355"/>
      <c r="P16" s="355"/>
      <c r="Q16" s="355"/>
      <c r="R16" s="286" t="s">
        <v>100</v>
      </c>
      <c r="S16" s="355"/>
      <c r="T16" s="286" t="s">
        <v>100</v>
      </c>
      <c r="U16" s="808" t="s">
        <v>701</v>
      </c>
      <c r="V16" s="355"/>
      <c r="W16" s="286" t="s">
        <v>121</v>
      </c>
    </row>
    <row r="17" spans="1:23" s="583" customFormat="1">
      <c r="A17" s="682">
        <v>38198</v>
      </c>
      <c r="B17" s="826">
        <v>4070</v>
      </c>
      <c r="C17" s="150">
        <v>30</v>
      </c>
      <c r="D17" s="150" t="s">
        <v>668</v>
      </c>
      <c r="E17" s="150" t="s">
        <v>124</v>
      </c>
      <c r="F17" s="855"/>
      <c r="G17" s="582">
        <v>76000</v>
      </c>
      <c r="H17" s="855"/>
      <c r="I17" s="322" t="s">
        <v>119</v>
      </c>
      <c r="J17" s="814"/>
      <c r="K17" s="582">
        <v>76000</v>
      </c>
      <c r="L17" s="519" t="s">
        <v>709</v>
      </c>
      <c r="M17" s="855"/>
      <c r="N17" s="286" t="s">
        <v>121</v>
      </c>
      <c r="O17" s="150" t="s">
        <v>708</v>
      </c>
      <c r="P17" s="814"/>
      <c r="Q17" s="582">
        <v>76000</v>
      </c>
      <c r="R17" s="150" t="s">
        <v>710</v>
      </c>
      <c r="S17" s="814"/>
      <c r="T17" s="582">
        <v>76000</v>
      </c>
      <c r="U17" s="150"/>
      <c r="V17" s="814"/>
      <c r="W17" s="519"/>
    </row>
    <row r="18" spans="1:23" s="583" customFormat="1">
      <c r="A18" s="682">
        <v>38198</v>
      </c>
      <c r="B18" s="575">
        <v>4070</v>
      </c>
      <c r="C18" s="150">
        <v>30</v>
      </c>
      <c r="D18" s="150" t="s">
        <v>713</v>
      </c>
      <c r="E18" s="150" t="s">
        <v>124</v>
      </c>
      <c r="F18" s="855"/>
      <c r="G18" s="814"/>
      <c r="H18" s="815"/>
      <c r="I18" s="855"/>
      <c r="J18" s="814"/>
      <c r="K18" s="815"/>
      <c r="L18" s="286" t="s">
        <v>100</v>
      </c>
      <c r="M18" s="394"/>
      <c r="N18" s="286" t="s">
        <v>100</v>
      </c>
      <c r="O18" s="814"/>
      <c r="P18" s="814"/>
      <c r="Q18" s="815"/>
      <c r="R18" s="286" t="s">
        <v>100</v>
      </c>
      <c r="S18" s="355"/>
      <c r="T18" s="286" t="s">
        <v>100</v>
      </c>
      <c r="U18" s="286" t="s">
        <v>100</v>
      </c>
      <c r="V18" s="355"/>
      <c r="W18" s="286" t="s">
        <v>100</v>
      </c>
    </row>
    <row r="19" spans="1:23">
      <c r="A19" s="290">
        <v>38707</v>
      </c>
      <c r="B19" s="284" t="s">
        <v>591</v>
      </c>
      <c r="C19" s="283">
        <v>25</v>
      </c>
      <c r="D19" s="368" t="s">
        <v>592</v>
      </c>
      <c r="E19" s="283" t="s">
        <v>593</v>
      </c>
      <c r="F19" s="419" t="s">
        <v>596</v>
      </c>
      <c r="G19" s="369">
        <v>15000</v>
      </c>
      <c r="H19" s="394"/>
      <c r="I19" s="286" t="s">
        <v>119</v>
      </c>
      <c r="J19" s="355"/>
      <c r="K19" s="350">
        <f>15000+7777.77</f>
        <v>22777.77</v>
      </c>
      <c r="L19" s="283" t="s">
        <v>594</v>
      </c>
      <c r="M19" s="394"/>
      <c r="N19" s="286" t="s">
        <v>121</v>
      </c>
      <c r="O19" s="283"/>
      <c r="P19" s="355"/>
      <c r="Q19" s="285">
        <f t="shared" si="2"/>
        <v>0</v>
      </c>
      <c r="R19" s="283"/>
      <c r="S19" s="355"/>
      <c r="T19" s="283"/>
      <c r="U19" s="283"/>
      <c r="V19" s="355"/>
      <c r="W19" s="283"/>
    </row>
    <row r="20" spans="1:23">
      <c r="A20" s="290">
        <v>39073</v>
      </c>
      <c r="B20" s="284">
        <v>5125</v>
      </c>
      <c r="C20" s="283">
        <v>16</v>
      </c>
      <c r="D20" s="283" t="s">
        <v>259</v>
      </c>
      <c r="E20" s="283" t="s">
        <v>187</v>
      </c>
      <c r="F20" s="394"/>
      <c r="G20" s="286" t="s">
        <v>100</v>
      </c>
      <c r="H20" s="394"/>
      <c r="I20" s="286" t="s">
        <v>100</v>
      </c>
      <c r="J20" s="355"/>
      <c r="K20" s="350">
        <v>33333.33</v>
      </c>
      <c r="L20" s="283"/>
      <c r="M20" s="355"/>
      <c r="N20" s="283"/>
      <c r="O20" s="283"/>
      <c r="P20" s="355"/>
      <c r="Q20" s="285"/>
      <c r="R20" s="283"/>
      <c r="S20" s="355"/>
      <c r="T20" s="283"/>
      <c r="U20" s="283"/>
      <c r="V20" s="355"/>
      <c r="W20" s="283"/>
    </row>
    <row r="21" spans="1:23">
      <c r="A21" s="290">
        <v>39639</v>
      </c>
      <c r="B21" s="575">
        <v>7952</v>
      </c>
      <c r="C21" s="283">
        <v>26</v>
      </c>
      <c r="D21" s="283" t="s">
        <v>530</v>
      </c>
      <c r="E21" s="283" t="s">
        <v>124</v>
      </c>
      <c r="F21" s="394"/>
      <c r="G21" s="369">
        <v>120000</v>
      </c>
      <c r="H21" s="394"/>
      <c r="I21" s="286" t="s">
        <v>119</v>
      </c>
      <c r="J21" s="354"/>
      <c r="K21" s="369">
        <v>120000</v>
      </c>
      <c r="L21" s="283" t="s">
        <v>531</v>
      </c>
      <c r="M21" s="355"/>
      <c r="N21" s="369">
        <v>120000</v>
      </c>
      <c r="O21" s="283" t="s">
        <v>525</v>
      </c>
      <c r="P21" s="355"/>
      <c r="Q21" s="355"/>
      <c r="R21" s="283" t="s">
        <v>532</v>
      </c>
      <c r="S21" s="355"/>
      <c r="T21" s="286" t="s">
        <v>121</v>
      </c>
      <c r="U21" s="286" t="s">
        <v>151</v>
      </c>
      <c r="V21" s="355"/>
      <c r="W21" s="286" t="s">
        <v>121</v>
      </c>
    </row>
    <row r="22" spans="1:23">
      <c r="A22" s="290">
        <v>39902</v>
      </c>
      <c r="B22" s="575">
        <v>8546</v>
      </c>
      <c r="C22" s="283">
        <v>27</v>
      </c>
      <c r="D22" s="283" t="s">
        <v>405</v>
      </c>
      <c r="E22" s="283" t="s">
        <v>124</v>
      </c>
      <c r="F22" s="394"/>
      <c r="G22" s="369">
        <v>120000</v>
      </c>
      <c r="H22" s="394"/>
      <c r="I22" s="286" t="s">
        <v>119</v>
      </c>
      <c r="J22" s="355"/>
      <c r="K22" s="369">
        <v>120000</v>
      </c>
      <c r="L22" s="368" t="s">
        <v>408</v>
      </c>
      <c r="M22" s="355"/>
      <c r="N22" s="369">
        <v>120000</v>
      </c>
      <c r="O22" s="286" t="s">
        <v>100</v>
      </c>
      <c r="P22" s="355"/>
      <c r="Q22" s="286" t="s">
        <v>100</v>
      </c>
      <c r="R22" s="286" t="s">
        <v>100</v>
      </c>
      <c r="S22" s="355"/>
      <c r="T22" s="286" t="s">
        <v>100</v>
      </c>
      <c r="U22" s="286" t="s">
        <v>100</v>
      </c>
      <c r="V22" s="355"/>
    </row>
    <row r="23" spans="1:23" s="583" customFormat="1">
      <c r="A23" s="682">
        <v>40063</v>
      </c>
      <c r="B23" s="575">
        <v>8922</v>
      </c>
      <c r="C23" s="150">
        <v>30</v>
      </c>
      <c r="D23" s="150" t="s">
        <v>717</v>
      </c>
      <c r="E23" s="283" t="s">
        <v>124</v>
      </c>
      <c r="F23" s="419" t="s">
        <v>596</v>
      </c>
      <c r="G23" s="582">
        <v>75000</v>
      </c>
      <c r="H23" s="394"/>
      <c r="I23" s="286" t="s">
        <v>119</v>
      </c>
      <c r="J23" s="862" t="s">
        <v>719</v>
      </c>
      <c r="K23" s="582">
        <v>97222.22</v>
      </c>
      <c r="L23" s="286" t="s">
        <v>100</v>
      </c>
      <c r="M23" s="286" t="s">
        <v>100</v>
      </c>
      <c r="N23" s="582"/>
      <c r="O23" s="150" t="s">
        <v>722</v>
      </c>
      <c r="P23" s="150" t="s">
        <v>723</v>
      </c>
      <c r="Q23" s="586">
        <v>75000</v>
      </c>
      <c r="R23" s="286" t="s">
        <v>100</v>
      </c>
      <c r="S23" s="286" t="s">
        <v>100</v>
      </c>
      <c r="T23" s="519"/>
      <c r="U23" s="150" t="s">
        <v>721</v>
      </c>
      <c r="V23" s="581" t="s">
        <v>725</v>
      </c>
      <c r="W23" s="586">
        <v>75000</v>
      </c>
    </row>
    <row r="24" spans="1:23">
      <c r="A24" s="681">
        <v>41969</v>
      </c>
      <c r="B24" s="575">
        <v>12098</v>
      </c>
      <c r="C24" s="368">
        <v>25</v>
      </c>
      <c r="D24" s="283" t="s">
        <v>604</v>
      </c>
      <c r="E24" s="283" t="s">
        <v>124</v>
      </c>
      <c r="F24" s="355"/>
      <c r="G24" s="285">
        <v>15000</v>
      </c>
      <c r="H24" s="394"/>
      <c r="I24" s="286" t="s">
        <v>119</v>
      </c>
      <c r="J24" s="355"/>
      <c r="K24" s="285">
        <v>15000</v>
      </c>
      <c r="L24" s="283" t="s">
        <v>606</v>
      </c>
      <c r="M24" s="355"/>
      <c r="N24" s="286" t="s">
        <v>121</v>
      </c>
      <c r="O24" s="519" t="s">
        <v>609</v>
      </c>
      <c r="P24" s="355"/>
      <c r="Q24" s="285"/>
      <c r="R24" s="519" t="s">
        <v>611</v>
      </c>
      <c r="S24" s="355"/>
      <c r="T24" s="286" t="s">
        <v>121</v>
      </c>
      <c r="U24" s="519" t="s">
        <v>610</v>
      </c>
      <c r="V24" s="355"/>
      <c r="W24" s="283"/>
    </row>
    <row r="25" spans="1:23">
      <c r="A25" s="290">
        <v>41988</v>
      </c>
      <c r="B25" s="284">
        <v>9307</v>
      </c>
      <c r="C25" s="283">
        <v>16</v>
      </c>
      <c r="D25" s="283" t="s">
        <v>133</v>
      </c>
      <c r="E25" s="283" t="s">
        <v>164</v>
      </c>
      <c r="F25" s="355"/>
      <c r="G25" s="369">
        <v>15000</v>
      </c>
      <c r="H25" s="394"/>
      <c r="I25" s="286" t="s">
        <v>119</v>
      </c>
      <c r="J25" s="355"/>
      <c r="K25" s="369">
        <v>15000</v>
      </c>
      <c r="L25" s="368"/>
      <c r="M25" s="355"/>
      <c r="N25" s="283"/>
      <c r="O25" s="283"/>
      <c r="P25" s="355"/>
      <c r="Q25" s="285"/>
      <c r="R25" s="283"/>
      <c r="S25" s="355"/>
      <c r="T25" s="283"/>
      <c r="U25" s="283"/>
      <c r="V25" s="355"/>
      <c r="W25" s="283"/>
    </row>
    <row r="26" spans="1:23">
      <c r="A26" s="290">
        <v>42054</v>
      </c>
      <c r="B26" s="575">
        <v>12227</v>
      </c>
      <c r="C26" s="283">
        <v>22</v>
      </c>
      <c r="D26" s="283" t="s">
        <v>369</v>
      </c>
      <c r="E26" s="283" t="s">
        <v>124</v>
      </c>
      <c r="F26" s="355"/>
      <c r="G26" s="369">
        <v>30000</v>
      </c>
      <c r="H26" s="394"/>
      <c r="I26" s="286" t="s">
        <v>119</v>
      </c>
      <c r="J26" s="354"/>
      <c r="K26" s="369">
        <v>30000</v>
      </c>
      <c r="L26" s="283" t="s">
        <v>366</v>
      </c>
      <c r="M26" s="354"/>
      <c r="N26" s="286" t="s">
        <v>121</v>
      </c>
      <c r="O26" s="283" t="s">
        <v>364</v>
      </c>
      <c r="P26" s="354"/>
      <c r="Q26" s="286" t="s">
        <v>100</v>
      </c>
      <c r="R26" s="283" t="s">
        <v>365</v>
      </c>
      <c r="S26" s="354"/>
      <c r="T26" s="286" t="s">
        <v>100</v>
      </c>
      <c r="U26" s="286" t="s">
        <v>100</v>
      </c>
      <c r="V26" s="355"/>
      <c r="W26" s="286" t="s">
        <v>100</v>
      </c>
    </row>
    <row r="27" spans="1:23">
      <c r="A27" s="365">
        <v>42369</v>
      </c>
      <c r="B27" s="575">
        <v>12875</v>
      </c>
      <c r="C27" s="368">
        <v>23</v>
      </c>
      <c r="D27" s="368" t="s">
        <v>521</v>
      </c>
      <c r="E27" s="368" t="s">
        <v>124</v>
      </c>
      <c r="F27" s="355"/>
      <c r="G27" s="369">
        <v>30000</v>
      </c>
      <c r="H27" s="394"/>
      <c r="I27" s="286" t="s">
        <v>119</v>
      </c>
      <c r="J27" s="354"/>
      <c r="K27" s="369">
        <v>30000</v>
      </c>
      <c r="L27" s="283" t="s">
        <v>522</v>
      </c>
      <c r="M27" s="355"/>
      <c r="N27" s="369">
        <v>30000</v>
      </c>
      <c r="O27" s="283" t="s">
        <v>526</v>
      </c>
      <c r="P27" s="355"/>
      <c r="Q27" s="369"/>
      <c r="R27" s="283" t="s">
        <v>524</v>
      </c>
      <c r="S27" s="355"/>
      <c r="T27" s="369">
        <v>30000</v>
      </c>
      <c r="U27" s="283" t="s">
        <v>523</v>
      </c>
      <c r="V27" s="355"/>
      <c r="W27" s="369">
        <v>30000</v>
      </c>
    </row>
    <row r="28" spans="1:23">
      <c r="A28" s="290"/>
      <c r="B28" s="284"/>
      <c r="C28" s="283"/>
      <c r="D28" s="283"/>
      <c r="E28" s="283"/>
      <c r="F28" s="354"/>
      <c r="G28" s="285"/>
      <c r="H28" s="394"/>
      <c r="I28" s="285"/>
      <c r="J28" s="354"/>
      <c r="K28" s="285"/>
      <c r="L28" s="283"/>
      <c r="M28" s="354"/>
      <c r="N28" s="283"/>
      <c r="O28" s="283"/>
      <c r="P28" s="354"/>
      <c r="Q28" s="285"/>
      <c r="R28" s="283"/>
      <c r="S28" s="354"/>
      <c r="T28" s="283"/>
      <c r="U28" s="283"/>
      <c r="V28" s="283"/>
      <c r="W28" s="283"/>
    </row>
    <row r="29" spans="1:23">
      <c r="A29" s="290"/>
      <c r="B29" s="284"/>
      <c r="C29" s="283"/>
      <c r="D29" s="283"/>
      <c r="E29" s="283"/>
      <c r="F29" s="354"/>
      <c r="G29" s="285"/>
      <c r="H29" s="394"/>
      <c r="I29" s="285"/>
      <c r="J29" s="354"/>
      <c r="K29" s="285"/>
      <c r="L29" s="283"/>
      <c r="M29" s="354"/>
      <c r="N29" s="283"/>
      <c r="O29" s="283"/>
      <c r="P29" s="354"/>
      <c r="Q29" s="285"/>
      <c r="R29" s="283"/>
      <c r="S29" s="354"/>
      <c r="T29" s="283"/>
      <c r="U29" s="283"/>
      <c r="V29" s="283"/>
      <c r="W29" s="283"/>
    </row>
    <row r="30" spans="1:23">
      <c r="A30" s="290"/>
      <c r="B30" s="284"/>
      <c r="C30" s="283"/>
      <c r="D30" s="283"/>
      <c r="E30" s="283"/>
      <c r="F30" s="354"/>
      <c r="G30" s="285"/>
      <c r="H30" s="394"/>
      <c r="I30" s="285"/>
      <c r="J30" s="354"/>
      <c r="K30" s="285"/>
      <c r="L30" s="283"/>
      <c r="M30" s="354"/>
      <c r="N30" s="283"/>
      <c r="O30" s="283"/>
      <c r="P30" s="354"/>
      <c r="Q30" s="285"/>
      <c r="R30" s="283"/>
      <c r="S30" s="354"/>
      <c r="T30" s="283"/>
      <c r="U30" s="283"/>
      <c r="V30" s="283"/>
      <c r="W30" s="283"/>
    </row>
    <row r="36" spans="6:10">
      <c r="F36" s="1" t="s">
        <v>383</v>
      </c>
    </row>
    <row r="37" spans="6:10">
      <c r="J37" s="863" t="s">
        <v>720</v>
      </c>
    </row>
    <row r="42" spans="6:10">
      <c r="F42" s="4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Z66"/>
  <sheetViews>
    <sheetView workbookViewId="0">
      <pane ySplit="1" topLeftCell="A2" activePane="bottomLeft" state="frozen"/>
      <selection pane="bottomLeft" activeCell="A9" sqref="A9:XFD9"/>
    </sheetView>
  </sheetViews>
  <sheetFormatPr defaultRowHeight="11.25"/>
  <cols>
    <col min="1" max="1" width="6.88671875" style="1" bestFit="1" customWidth="1"/>
    <col min="2" max="2" width="6.6640625" style="41" customWidth="1"/>
    <col min="3" max="3" width="9.5546875" style="41" bestFit="1" customWidth="1"/>
    <col min="4" max="4" width="9.6640625" style="41" bestFit="1" customWidth="1"/>
    <col min="5" max="5" width="6.88671875" style="1" bestFit="1" customWidth="1"/>
    <col min="6" max="6" width="44.21875" style="1" bestFit="1" customWidth="1"/>
    <col min="7" max="7" width="13.21875" style="1" bestFit="1" customWidth="1"/>
    <col min="8" max="8" width="9.6640625" style="1" bestFit="1" customWidth="1"/>
    <col min="9" max="9" width="16.6640625" style="1" customWidth="1"/>
    <col min="10" max="10" width="10.77734375" style="1" customWidth="1"/>
    <col min="11" max="11" width="7.33203125" style="1" bestFit="1" customWidth="1"/>
    <col min="12" max="12" width="9.6640625" style="1" bestFit="1" customWidth="1"/>
    <col min="13" max="13" width="9.5546875" style="1" customWidth="1"/>
    <col min="14" max="14" width="9.109375" style="1" customWidth="1"/>
    <col min="15" max="15" width="29.88671875" style="1" bestFit="1" customWidth="1"/>
    <col min="16" max="16" width="16.21875" style="1" bestFit="1" customWidth="1"/>
    <col min="17" max="17" width="8.21875" style="1" bestFit="1" customWidth="1"/>
    <col min="18" max="18" width="18.109375" style="1" bestFit="1" customWidth="1"/>
    <col min="19" max="19" width="12.109375" style="1" bestFit="1" customWidth="1"/>
    <col min="20" max="20" width="8.88671875" style="1"/>
    <col min="21" max="21" width="24.109375" style="1" bestFit="1" customWidth="1"/>
    <col min="22" max="22" width="8.21875" style="1" bestFit="1" customWidth="1"/>
    <col min="23" max="23" width="8" style="1" bestFit="1" customWidth="1"/>
    <col min="24" max="24" width="35.5546875" style="1" bestFit="1" customWidth="1"/>
    <col min="25" max="25" width="6.109375" style="1" bestFit="1" customWidth="1"/>
    <col min="26" max="26" width="10.77734375" style="1" customWidth="1"/>
    <col min="27" max="16384" width="8.88671875" style="1"/>
  </cols>
  <sheetData>
    <row r="1" spans="1:26" ht="23.25" thickBot="1">
      <c r="A1" s="296" t="s">
        <v>107</v>
      </c>
      <c r="B1" s="297" t="s">
        <v>90</v>
      </c>
      <c r="C1" s="297" t="s">
        <v>225</v>
      </c>
      <c r="D1" s="297" t="s">
        <v>107</v>
      </c>
      <c r="E1" s="298">
        <v>219</v>
      </c>
      <c r="F1" s="298" t="s">
        <v>93</v>
      </c>
      <c r="G1" s="299" t="s">
        <v>91</v>
      </c>
      <c r="H1" s="299" t="s">
        <v>92</v>
      </c>
      <c r="I1" s="299" t="s">
        <v>98</v>
      </c>
      <c r="J1" s="412" t="s">
        <v>118</v>
      </c>
      <c r="K1" s="299" t="s">
        <v>98</v>
      </c>
      <c r="L1" s="300" t="s">
        <v>106</v>
      </c>
      <c r="M1" s="300" t="s">
        <v>98</v>
      </c>
      <c r="N1" s="413" t="s">
        <v>217</v>
      </c>
      <c r="O1" s="301" t="s">
        <v>96</v>
      </c>
      <c r="P1" s="414" t="s">
        <v>92</v>
      </c>
      <c r="Q1" s="414" t="s">
        <v>98</v>
      </c>
      <c r="R1" s="302" t="s">
        <v>99</v>
      </c>
      <c r="S1" s="415" t="s">
        <v>92</v>
      </c>
      <c r="T1" s="415" t="s">
        <v>98</v>
      </c>
      <c r="U1" s="301" t="s">
        <v>102</v>
      </c>
      <c r="V1" s="414" t="s">
        <v>92</v>
      </c>
      <c r="W1" s="414" t="s">
        <v>98</v>
      </c>
      <c r="X1" s="302" t="s">
        <v>103</v>
      </c>
      <c r="Y1" s="415" t="s">
        <v>92</v>
      </c>
      <c r="Z1" s="415" t="s">
        <v>98</v>
      </c>
    </row>
    <row r="2" spans="1:26">
      <c r="A2" s="293"/>
      <c r="B2" s="294"/>
      <c r="C2" s="294"/>
      <c r="D2" s="381"/>
      <c r="E2" s="295"/>
      <c r="F2" s="295"/>
      <c r="G2" s="295"/>
      <c r="H2" s="294"/>
      <c r="I2" s="330">
        <f>H2/340.75</f>
        <v>0</v>
      </c>
      <c r="J2" s="330"/>
      <c r="K2" s="330">
        <f>J2/340.75</f>
        <v>0</v>
      </c>
      <c r="L2" s="294"/>
      <c r="M2" s="330">
        <f>L2/340.75</f>
        <v>0</v>
      </c>
      <c r="N2" s="330"/>
      <c r="O2" s="295"/>
      <c r="P2" s="295"/>
      <c r="Q2" s="295"/>
      <c r="R2" s="295"/>
      <c r="S2" s="295"/>
      <c r="T2" s="330">
        <f>S2/340.75</f>
        <v>0</v>
      </c>
      <c r="U2" s="295"/>
      <c r="V2" s="295"/>
      <c r="W2" s="295"/>
      <c r="X2" s="295"/>
      <c r="Y2" s="295"/>
      <c r="Z2" s="295"/>
    </row>
    <row r="3" spans="1:26">
      <c r="A3" s="290">
        <v>26158</v>
      </c>
      <c r="B3" s="391"/>
      <c r="C3" s="284" t="s">
        <v>626</v>
      </c>
      <c r="D3" s="391"/>
      <c r="E3" s="283">
        <v>24</v>
      </c>
      <c r="F3" s="283" t="s">
        <v>634</v>
      </c>
      <c r="G3" s="283" t="s">
        <v>625</v>
      </c>
      <c r="H3" s="286" t="s">
        <v>100</v>
      </c>
      <c r="I3" s="286" t="s">
        <v>100</v>
      </c>
      <c r="J3" s="286" t="s">
        <v>100</v>
      </c>
      <c r="K3" s="330"/>
      <c r="L3" s="310">
        <v>1111111</v>
      </c>
      <c r="M3" s="350">
        <f t="shared" ref="M3" si="0">L3/340.75</f>
        <v>3260.7806309611151</v>
      </c>
      <c r="N3" s="401">
        <f>M3</f>
        <v>3260.7806309611151</v>
      </c>
      <c r="O3" s="295"/>
      <c r="P3" s="295"/>
      <c r="Q3" s="295"/>
      <c r="R3" s="295"/>
      <c r="S3" s="295"/>
      <c r="T3" s="330"/>
      <c r="U3" s="295"/>
      <c r="V3" s="295"/>
      <c r="W3" s="295"/>
      <c r="X3" s="809" t="s">
        <v>632</v>
      </c>
      <c r="Y3" s="295"/>
      <c r="Z3" s="295"/>
    </row>
    <row r="4" spans="1:26">
      <c r="A4" s="290">
        <v>26597</v>
      </c>
      <c r="B4" s="391"/>
      <c r="C4" s="284">
        <v>11111</v>
      </c>
      <c r="D4" s="391"/>
      <c r="E4" s="283">
        <v>27</v>
      </c>
      <c r="F4" s="283" t="s">
        <v>385</v>
      </c>
      <c r="G4" s="283" t="s">
        <v>186</v>
      </c>
      <c r="H4" s="286" t="s">
        <v>121</v>
      </c>
      <c r="I4" s="285"/>
      <c r="J4" s="286" t="s">
        <v>119</v>
      </c>
      <c r="K4" s="285"/>
      <c r="L4" s="310">
        <v>2222222</v>
      </c>
      <c r="M4" s="350">
        <f t="shared" ref="M4" si="1">L4/340.75</f>
        <v>6521.5612619222302</v>
      </c>
      <c r="N4" s="350">
        <f>M4</f>
        <v>6521.5612619222302</v>
      </c>
      <c r="O4" s="286" t="s">
        <v>100</v>
      </c>
      <c r="P4" s="283"/>
      <c r="Q4" s="283"/>
      <c r="R4" s="286" t="s">
        <v>100</v>
      </c>
      <c r="S4" s="283"/>
      <c r="T4" s="285">
        <f t="shared" ref="T4:T60" si="2">S4/340.75</f>
        <v>0</v>
      </c>
      <c r="U4" s="286" t="s">
        <v>100</v>
      </c>
      <c r="V4" s="283"/>
      <c r="W4" s="283"/>
      <c r="X4" s="286" t="s">
        <v>100</v>
      </c>
      <c r="Y4" s="283"/>
      <c r="Z4" s="283"/>
    </row>
    <row r="5" spans="1:26">
      <c r="A5" s="328">
        <v>27106</v>
      </c>
      <c r="B5" s="355"/>
      <c r="C5" s="284" t="s">
        <v>199</v>
      </c>
      <c r="D5" s="328">
        <v>27106</v>
      </c>
      <c r="E5" s="283">
        <v>60</v>
      </c>
      <c r="F5" s="283" t="s">
        <v>185</v>
      </c>
      <c r="G5" s="283" t="s">
        <v>186</v>
      </c>
      <c r="H5" s="286" t="s">
        <v>100</v>
      </c>
      <c r="I5" s="285"/>
      <c r="J5" s="285"/>
      <c r="K5" s="285">
        <f t="shared" ref="K5:K38" si="3">J5/340.75</f>
        <v>0</v>
      </c>
      <c r="L5" s="310">
        <v>1111111</v>
      </c>
      <c r="M5" s="350">
        <f t="shared" ref="I5:M20" si="4">L5/340.75</f>
        <v>3260.7806309611151</v>
      </c>
      <c r="N5" s="350">
        <f>M5</f>
        <v>3260.7806309611151</v>
      </c>
      <c r="O5" s="283"/>
      <c r="P5" s="283"/>
      <c r="Q5" s="283"/>
      <c r="R5" s="283"/>
      <c r="S5" s="283"/>
      <c r="T5" s="285">
        <f t="shared" si="2"/>
        <v>0</v>
      </c>
      <c r="U5" s="283"/>
      <c r="V5" s="283"/>
      <c r="W5" s="283"/>
      <c r="X5" s="283"/>
      <c r="Y5" s="283"/>
      <c r="Z5" s="283"/>
    </row>
    <row r="6" spans="1:26">
      <c r="A6" s="417">
        <v>30887</v>
      </c>
      <c r="B6" s="416" t="s">
        <v>151</v>
      </c>
      <c r="C6" s="284" t="s">
        <v>396</v>
      </c>
      <c r="D6" s="290">
        <v>26597</v>
      </c>
      <c r="E6" s="368">
        <v>27</v>
      </c>
      <c r="F6" s="279" t="s">
        <v>398</v>
      </c>
      <c r="G6" s="286" t="s">
        <v>100</v>
      </c>
      <c r="H6" s="286" t="s">
        <v>100</v>
      </c>
      <c r="I6" s="283"/>
      <c r="J6" s="286" t="s">
        <v>119</v>
      </c>
      <c r="K6" s="285"/>
      <c r="L6" s="310">
        <f>L4/3*2</f>
        <v>1481481.3333333333</v>
      </c>
      <c r="M6" s="350">
        <f t="shared" ref="M6:M7" si="5">L6/340.75</f>
        <v>4347.7075079481538</v>
      </c>
      <c r="N6" s="350">
        <f>N4+M6</f>
        <v>10869.268769870385</v>
      </c>
      <c r="O6" s="286" t="s">
        <v>100</v>
      </c>
      <c r="P6" s="283"/>
      <c r="Q6" s="286"/>
      <c r="R6" s="286" t="s">
        <v>100</v>
      </c>
      <c r="S6" s="283"/>
      <c r="T6" s="286"/>
      <c r="U6" s="286" t="s">
        <v>100</v>
      </c>
      <c r="V6" s="283"/>
      <c r="W6" s="283"/>
      <c r="X6" s="286" t="s">
        <v>100</v>
      </c>
    </row>
    <row r="7" spans="1:26" s="583" customFormat="1">
      <c r="A7" s="580">
        <v>31629</v>
      </c>
      <c r="B7" s="576" t="s">
        <v>630</v>
      </c>
      <c r="C7" s="284" t="s">
        <v>626</v>
      </c>
      <c r="D7" s="290">
        <v>26158</v>
      </c>
      <c r="E7" s="283">
        <v>24</v>
      </c>
      <c r="F7" s="283" t="s">
        <v>636</v>
      </c>
      <c r="G7" s="808" t="s">
        <v>95</v>
      </c>
      <c r="H7" s="286" t="s">
        <v>121</v>
      </c>
      <c r="I7" s="150"/>
      <c r="J7" s="286" t="s">
        <v>119</v>
      </c>
      <c r="K7" s="582"/>
      <c r="L7" s="817">
        <f>L3/15*10</f>
        <v>740740.66666666663</v>
      </c>
      <c r="M7" s="818">
        <f t="shared" si="5"/>
        <v>2173.8537539740769</v>
      </c>
      <c r="N7" s="818">
        <f>N3+M7</f>
        <v>5434.6343849351924</v>
      </c>
      <c r="O7" s="286" t="s">
        <v>100</v>
      </c>
      <c r="P7" s="286" t="s">
        <v>100</v>
      </c>
      <c r="Q7" s="286" t="s">
        <v>100</v>
      </c>
      <c r="R7" s="286" t="s">
        <v>100</v>
      </c>
      <c r="S7" s="286" t="s">
        <v>100</v>
      </c>
      <c r="T7" s="286" t="s">
        <v>100</v>
      </c>
      <c r="U7" s="368" t="s">
        <v>631</v>
      </c>
      <c r="V7" s="286" t="s">
        <v>121</v>
      </c>
      <c r="W7" s="150"/>
      <c r="X7" s="286" t="s">
        <v>100</v>
      </c>
      <c r="Y7" s="286" t="s">
        <v>100</v>
      </c>
      <c r="Z7" s="286" t="s">
        <v>100</v>
      </c>
    </row>
    <row r="8" spans="1:26">
      <c r="A8" s="290">
        <v>32394</v>
      </c>
      <c r="B8" s="355"/>
      <c r="C8" s="576" t="s">
        <v>231</v>
      </c>
      <c r="D8" s="328">
        <v>32394</v>
      </c>
      <c r="E8" s="283">
        <v>16</v>
      </c>
      <c r="F8" s="283" t="s">
        <v>94</v>
      </c>
      <c r="G8" s="283" t="s">
        <v>95</v>
      </c>
      <c r="H8" s="286" t="s">
        <v>121</v>
      </c>
      <c r="I8" s="285"/>
      <c r="J8" s="286" t="s">
        <v>119</v>
      </c>
      <c r="K8" s="285"/>
      <c r="L8" s="310">
        <v>1111111</v>
      </c>
      <c r="M8" s="350">
        <f t="shared" si="4"/>
        <v>3260.7806309611151</v>
      </c>
      <c r="N8" s="350">
        <f>M8</f>
        <v>3260.7806309611151</v>
      </c>
      <c r="O8" s="283" t="s">
        <v>125</v>
      </c>
      <c r="P8" s="286" t="s">
        <v>121</v>
      </c>
      <c r="Q8" s="285"/>
      <c r="R8" s="322" t="s">
        <v>127</v>
      </c>
      <c r="S8" s="286" t="s">
        <v>121</v>
      </c>
      <c r="T8" s="285"/>
      <c r="U8" s="286" t="s">
        <v>100</v>
      </c>
      <c r="V8" s="286" t="s">
        <v>100</v>
      </c>
      <c r="W8" s="285"/>
      <c r="X8" s="283" t="s">
        <v>101</v>
      </c>
      <c r="Y8" s="286" t="s">
        <v>100</v>
      </c>
      <c r="Z8" s="285"/>
    </row>
    <row r="9" spans="1:26" s="104" customFormat="1">
      <c r="A9" s="365">
        <v>32480</v>
      </c>
      <c r="B9" s="355"/>
      <c r="C9" s="576" t="s">
        <v>787</v>
      </c>
      <c r="D9" s="365">
        <v>32480</v>
      </c>
      <c r="E9" s="368">
        <v>170</v>
      </c>
      <c r="F9" s="283" t="s">
        <v>788</v>
      </c>
      <c r="G9" s="283" t="s">
        <v>95</v>
      </c>
      <c r="H9" s="286" t="s">
        <v>121</v>
      </c>
      <c r="I9" s="285"/>
      <c r="J9" s="286" t="s">
        <v>119</v>
      </c>
      <c r="K9" s="285"/>
      <c r="L9" s="310">
        <v>1111111</v>
      </c>
      <c r="M9" s="350">
        <f t="shared" si="4"/>
        <v>3260.7806309611151</v>
      </c>
      <c r="N9" s="350">
        <f>M9</f>
        <v>3260.7806309611151</v>
      </c>
      <c r="O9" s="368" t="s">
        <v>789</v>
      </c>
      <c r="P9" s="419"/>
      <c r="Q9" s="519"/>
      <c r="R9" s="519" t="s">
        <v>552</v>
      </c>
      <c r="S9" s="419"/>
      <c r="T9" s="519"/>
      <c r="U9" s="519" t="s">
        <v>552</v>
      </c>
      <c r="V9" s="419"/>
      <c r="W9" s="369"/>
      <c r="X9" s="368"/>
      <c r="Y9" s="419"/>
      <c r="Z9" s="369"/>
    </row>
    <row r="10" spans="1:26" s="104" customFormat="1">
      <c r="A10" s="365">
        <v>32480</v>
      </c>
      <c r="B10" s="355"/>
      <c r="C10" s="576" t="s">
        <v>548</v>
      </c>
      <c r="D10" s="365">
        <v>32480</v>
      </c>
      <c r="E10" s="368">
        <v>170</v>
      </c>
      <c r="F10" s="283" t="s">
        <v>549</v>
      </c>
      <c r="G10" s="283" t="s">
        <v>95</v>
      </c>
      <c r="H10" s="286" t="s">
        <v>121</v>
      </c>
      <c r="I10" s="285"/>
      <c r="J10" s="286" t="s">
        <v>119</v>
      </c>
      <c r="K10" s="285"/>
      <c r="L10" s="310">
        <v>1111111</v>
      </c>
      <c r="M10" s="350">
        <f t="shared" ref="M10" si="6">L10/340.75</f>
        <v>3260.7806309611151</v>
      </c>
      <c r="N10" s="350">
        <f>M10</f>
        <v>3260.7806309611151</v>
      </c>
      <c r="O10" s="368" t="s">
        <v>550</v>
      </c>
      <c r="P10" s="419"/>
      <c r="Q10" s="519"/>
      <c r="R10" s="519" t="s">
        <v>552</v>
      </c>
      <c r="S10" s="419"/>
      <c r="T10" s="519"/>
      <c r="U10" s="519" t="s">
        <v>552</v>
      </c>
      <c r="V10" s="419"/>
      <c r="W10" s="369"/>
      <c r="X10" s="368"/>
      <c r="Y10" s="419"/>
      <c r="Z10" s="369"/>
    </row>
    <row r="11" spans="1:26">
      <c r="A11" s="290">
        <v>32508</v>
      </c>
      <c r="B11" s="355"/>
      <c r="C11" s="576" t="s">
        <v>346</v>
      </c>
      <c r="D11" s="290">
        <v>32508</v>
      </c>
      <c r="E11" s="283">
        <v>21</v>
      </c>
      <c r="F11" s="283" t="s">
        <v>349</v>
      </c>
      <c r="G11" s="283" t="s">
        <v>95</v>
      </c>
      <c r="H11" s="286" t="s">
        <v>121</v>
      </c>
      <c r="I11" s="285"/>
      <c r="J11" s="286" t="s">
        <v>119</v>
      </c>
      <c r="K11" s="285"/>
      <c r="L11" s="310">
        <v>1111111</v>
      </c>
      <c r="M11" s="350">
        <f t="shared" ref="M11" si="7">L11/340.75</f>
        <v>3260.7806309611151</v>
      </c>
      <c r="N11" s="350">
        <v>3260.78</v>
      </c>
      <c r="O11" s="283" t="s">
        <v>357</v>
      </c>
      <c r="P11" s="286" t="s">
        <v>121</v>
      </c>
      <c r="Q11" s="283"/>
      <c r="R11" s="283" t="s">
        <v>358</v>
      </c>
      <c r="S11" s="286" t="s">
        <v>121</v>
      </c>
      <c r="T11" s="285" t="e">
        <f t="shared" si="2"/>
        <v>#VALUE!</v>
      </c>
      <c r="U11" s="283"/>
      <c r="V11" s="283"/>
      <c r="W11" s="283"/>
      <c r="X11" s="283"/>
      <c r="Y11" s="283"/>
      <c r="Z11" s="283"/>
    </row>
    <row r="12" spans="1:26">
      <c r="A12" s="290">
        <v>32583</v>
      </c>
      <c r="B12" s="284">
        <v>11827</v>
      </c>
      <c r="C12" s="418" t="s">
        <v>199</v>
      </c>
      <c r="D12" s="328">
        <v>27106</v>
      </c>
      <c r="E12" s="283">
        <v>60</v>
      </c>
      <c r="F12" s="283" t="s">
        <v>190</v>
      </c>
      <c r="G12" s="283" t="s">
        <v>191</v>
      </c>
      <c r="H12" s="286" t="s">
        <v>100</v>
      </c>
      <c r="I12" s="286"/>
      <c r="J12" s="285"/>
      <c r="K12" s="285">
        <f t="shared" si="3"/>
        <v>0</v>
      </c>
      <c r="L12" s="310">
        <v>3333333</v>
      </c>
      <c r="M12" s="350">
        <f t="shared" si="4"/>
        <v>9782.3418928833453</v>
      </c>
      <c r="N12" s="350">
        <f>N5+M12</f>
        <v>13043.12252384446</v>
      </c>
      <c r="O12" s="283"/>
      <c r="P12" s="283"/>
      <c r="Q12" s="283"/>
      <c r="R12" s="283"/>
      <c r="S12" s="283"/>
      <c r="T12" s="285">
        <f t="shared" si="2"/>
        <v>0</v>
      </c>
      <c r="U12" s="283"/>
      <c r="V12" s="283"/>
      <c r="W12" s="283"/>
      <c r="X12" s="283"/>
      <c r="Y12" s="283"/>
      <c r="Z12" s="283"/>
    </row>
    <row r="13" spans="1:26" s="583" customFormat="1">
      <c r="A13" s="682">
        <v>32736</v>
      </c>
      <c r="B13" s="391"/>
      <c r="C13" s="576" t="s">
        <v>757</v>
      </c>
      <c r="D13" s="391"/>
      <c r="E13" s="150">
        <v>173</v>
      </c>
      <c r="F13" s="283" t="s">
        <v>758</v>
      </c>
      <c r="G13" s="283" t="s">
        <v>95</v>
      </c>
      <c r="H13" s="286" t="s">
        <v>121</v>
      </c>
      <c r="I13" s="285"/>
      <c r="J13" s="286" t="s">
        <v>119</v>
      </c>
      <c r="K13" s="582"/>
      <c r="L13" s="310">
        <v>3333333</v>
      </c>
      <c r="M13" s="350">
        <f t="shared" si="4"/>
        <v>9782.3418928833453</v>
      </c>
      <c r="N13" s="818">
        <f>M13</f>
        <v>9782.3418928833453</v>
      </c>
      <c r="O13" s="150" t="s">
        <v>764</v>
      </c>
      <c r="P13" s="286" t="s">
        <v>100</v>
      </c>
      <c r="Q13" s="286" t="s">
        <v>100</v>
      </c>
      <c r="R13" s="150" t="s">
        <v>763</v>
      </c>
      <c r="S13" s="286" t="s">
        <v>121</v>
      </c>
      <c r="T13" s="286" t="s">
        <v>121</v>
      </c>
      <c r="U13" s="519" t="s">
        <v>759</v>
      </c>
      <c r="V13" s="286" t="s">
        <v>100</v>
      </c>
      <c r="W13" s="286" t="s">
        <v>100</v>
      </c>
      <c r="X13" s="150" t="s">
        <v>762</v>
      </c>
      <c r="Y13" s="286" t="s">
        <v>100</v>
      </c>
      <c r="Z13" s="150"/>
    </row>
    <row r="14" spans="1:26">
      <c r="A14" s="290">
        <v>32754</v>
      </c>
      <c r="B14" s="391"/>
      <c r="C14" s="576" t="s">
        <v>427</v>
      </c>
      <c r="D14" s="290">
        <v>32754</v>
      </c>
      <c r="E14" s="283">
        <v>29</v>
      </c>
      <c r="F14" s="283" t="s">
        <v>425</v>
      </c>
      <c r="G14" s="283" t="s">
        <v>95</v>
      </c>
      <c r="H14" s="286" t="s">
        <v>121</v>
      </c>
      <c r="I14" s="285"/>
      <c r="J14" s="286" t="s">
        <v>119</v>
      </c>
      <c r="K14" s="285"/>
      <c r="L14" s="310">
        <v>3333333</v>
      </c>
      <c r="M14" s="350">
        <f t="shared" ref="M14" si="8">L14/340.75</f>
        <v>9782.3418928833453</v>
      </c>
      <c r="N14" s="648">
        <f>M14</f>
        <v>9782.3418928833453</v>
      </c>
      <c r="O14" s="283" t="s">
        <v>426</v>
      </c>
      <c r="P14" s="286" t="s">
        <v>100</v>
      </c>
      <c r="Q14" s="285"/>
      <c r="R14" s="286" t="s">
        <v>100</v>
      </c>
      <c r="S14" s="283"/>
      <c r="T14" s="285">
        <f t="shared" si="2"/>
        <v>0</v>
      </c>
      <c r="U14" s="286" t="s">
        <v>100</v>
      </c>
      <c r="V14" s="283"/>
      <c r="W14" s="283"/>
      <c r="X14" s="286" t="s">
        <v>100</v>
      </c>
      <c r="Y14" s="283"/>
      <c r="Z14" s="283"/>
    </row>
    <row r="15" spans="1:26">
      <c r="A15" s="290">
        <v>33042</v>
      </c>
      <c r="B15" s="391"/>
      <c r="C15" s="576" t="s">
        <v>471</v>
      </c>
      <c r="D15" s="290">
        <v>33042</v>
      </c>
      <c r="E15" s="283">
        <v>23</v>
      </c>
      <c r="F15" s="283" t="s">
        <v>472</v>
      </c>
      <c r="G15" s="283" t="s">
        <v>95</v>
      </c>
      <c r="H15" s="286" t="s">
        <v>121</v>
      </c>
      <c r="I15" s="403"/>
      <c r="J15" s="286" t="s">
        <v>119</v>
      </c>
      <c r="K15" s="369"/>
      <c r="L15" s="310">
        <v>3333333</v>
      </c>
      <c r="M15" s="350">
        <f t="shared" ref="M15:M16" si="9">L15/340.75</f>
        <v>9782.3418928833453</v>
      </c>
      <c r="N15" s="350">
        <f>M15</f>
        <v>9782.3418928833453</v>
      </c>
      <c r="O15" s="283" t="s">
        <v>473</v>
      </c>
      <c r="P15" s="286" t="s">
        <v>100</v>
      </c>
      <c r="Q15" s="283"/>
      <c r="R15" s="283" t="s">
        <v>474</v>
      </c>
      <c r="S15" s="286" t="s">
        <v>121</v>
      </c>
      <c r="T15" s="283"/>
      <c r="U15" s="286" t="s">
        <v>100</v>
      </c>
      <c r="V15" s="286" t="s">
        <v>100</v>
      </c>
      <c r="W15" s="283"/>
      <c r="X15" s="286" t="s">
        <v>100</v>
      </c>
    </row>
    <row r="16" spans="1:26" s="583" customFormat="1">
      <c r="A16" s="290">
        <v>34962</v>
      </c>
      <c r="B16" s="391"/>
      <c r="C16" s="576" t="s">
        <v>682</v>
      </c>
      <c r="D16" s="354"/>
      <c r="E16" s="150">
        <v>30</v>
      </c>
      <c r="F16" s="368" t="s">
        <v>687</v>
      </c>
      <c r="G16" s="368" t="s">
        <v>95</v>
      </c>
      <c r="H16" s="286" t="s">
        <v>121</v>
      </c>
      <c r="I16" s="519"/>
      <c r="J16" s="286" t="s">
        <v>119</v>
      </c>
      <c r="K16" s="582"/>
      <c r="L16" s="581">
        <v>15000000</v>
      </c>
      <c r="M16" s="582">
        <f t="shared" si="9"/>
        <v>44020.542920029344</v>
      </c>
      <c r="N16" s="582">
        <f>M15:M16</f>
        <v>44020.542920029344</v>
      </c>
      <c r="O16" s="368" t="s">
        <v>688</v>
      </c>
      <c r="P16" s="286" t="s">
        <v>100</v>
      </c>
      <c r="Q16" s="150"/>
      <c r="R16" s="368" t="s">
        <v>689</v>
      </c>
      <c r="S16" s="286" t="s">
        <v>100</v>
      </c>
      <c r="T16" s="286" t="s">
        <v>100</v>
      </c>
      <c r="U16" s="519" t="s">
        <v>690</v>
      </c>
      <c r="V16" s="286" t="s">
        <v>100</v>
      </c>
      <c r="W16" s="286" t="s">
        <v>100</v>
      </c>
      <c r="X16" s="368" t="s">
        <v>691</v>
      </c>
      <c r="Y16" s="286" t="s">
        <v>100</v>
      </c>
    </row>
    <row r="17" spans="1:26">
      <c r="A17" s="290">
        <v>34962</v>
      </c>
      <c r="B17" s="355"/>
      <c r="C17" s="576" t="s">
        <v>198</v>
      </c>
      <c r="D17" s="328">
        <v>34962</v>
      </c>
      <c r="E17" s="283">
        <v>16</v>
      </c>
      <c r="F17" s="283" t="s">
        <v>122</v>
      </c>
      <c r="G17" s="283" t="s">
        <v>95</v>
      </c>
      <c r="H17" s="284">
        <v>6000000</v>
      </c>
      <c r="I17" s="285">
        <f t="shared" si="4"/>
        <v>17608.217168011739</v>
      </c>
      <c r="J17" s="286" t="s">
        <v>119</v>
      </c>
      <c r="K17" s="285"/>
      <c r="L17" s="284">
        <v>6000000</v>
      </c>
      <c r="M17" s="285">
        <f t="shared" si="4"/>
        <v>17608.217168011739</v>
      </c>
      <c r="N17" s="285">
        <f>M17</f>
        <v>17608.217168011739</v>
      </c>
      <c r="O17" s="283" t="s">
        <v>162</v>
      </c>
      <c r="P17" s="286" t="s">
        <v>121</v>
      </c>
      <c r="Q17" s="283"/>
      <c r="R17" s="283" t="s">
        <v>163</v>
      </c>
      <c r="S17" s="286" t="s">
        <v>100</v>
      </c>
      <c r="T17" s="285"/>
      <c r="U17" s="283" t="s">
        <v>160</v>
      </c>
      <c r="V17" s="286" t="s">
        <v>100</v>
      </c>
      <c r="W17" s="283"/>
      <c r="X17" s="283" t="s">
        <v>123</v>
      </c>
      <c r="Y17" s="286" t="s">
        <v>100</v>
      </c>
      <c r="Z17" s="283"/>
    </row>
    <row r="18" spans="1:26" s="583" customFormat="1">
      <c r="A18" s="682">
        <v>34978</v>
      </c>
      <c r="B18" s="576" t="s">
        <v>637</v>
      </c>
      <c r="C18" s="284" t="s">
        <v>626</v>
      </c>
      <c r="D18" s="290">
        <v>26158</v>
      </c>
      <c r="E18" s="283">
        <v>24</v>
      </c>
      <c r="F18" s="283" t="s">
        <v>638</v>
      </c>
      <c r="G18" s="808" t="s">
        <v>95</v>
      </c>
      <c r="H18" s="286" t="s">
        <v>121</v>
      </c>
      <c r="I18" s="285"/>
      <c r="J18" s="286" t="s">
        <v>119</v>
      </c>
      <c r="K18" s="582"/>
      <c r="L18" s="817">
        <v>370370</v>
      </c>
      <c r="M18" s="818">
        <f t="shared" si="4"/>
        <v>1086.9258987527512</v>
      </c>
      <c r="N18" s="818">
        <f>N7+M18</f>
        <v>6521.5602836879434</v>
      </c>
      <c r="O18" s="286" t="s">
        <v>100</v>
      </c>
      <c r="P18" s="286" t="s">
        <v>100</v>
      </c>
      <c r="Q18" s="286" t="s">
        <v>100</v>
      </c>
      <c r="R18" s="286" t="s">
        <v>100</v>
      </c>
      <c r="S18" s="286" t="s">
        <v>100</v>
      </c>
      <c r="T18" s="286" t="s">
        <v>100</v>
      </c>
      <c r="U18" s="368" t="s">
        <v>640</v>
      </c>
      <c r="V18" s="286" t="s">
        <v>121</v>
      </c>
      <c r="W18" s="286" t="s">
        <v>121</v>
      </c>
      <c r="X18" s="808" t="s">
        <v>639</v>
      </c>
      <c r="Y18" s="286" t="s">
        <v>121</v>
      </c>
      <c r="Z18" s="286" t="s">
        <v>121</v>
      </c>
    </row>
    <row r="19" spans="1:26">
      <c r="A19" s="290">
        <v>36236</v>
      </c>
      <c r="B19" s="284">
        <v>18939</v>
      </c>
      <c r="C19" s="284" t="s">
        <v>199</v>
      </c>
      <c r="D19" s="328">
        <v>27106</v>
      </c>
      <c r="E19" s="283">
        <v>60</v>
      </c>
      <c r="F19" s="283" t="s">
        <v>192</v>
      </c>
      <c r="G19" s="283" t="s">
        <v>193</v>
      </c>
      <c r="H19" s="286" t="s">
        <v>100</v>
      </c>
      <c r="I19" s="285"/>
      <c r="J19" s="285"/>
      <c r="K19" s="285">
        <f t="shared" si="3"/>
        <v>0</v>
      </c>
      <c r="L19" s="539">
        <v>2222222</v>
      </c>
      <c r="M19" s="350">
        <f t="shared" si="4"/>
        <v>6521.5612619222302</v>
      </c>
      <c r="N19" s="350">
        <f>N12+M19</f>
        <v>19564.683785766691</v>
      </c>
      <c r="O19" s="283"/>
      <c r="P19" s="283"/>
      <c r="Q19" s="283"/>
      <c r="R19" s="283"/>
      <c r="S19" s="283"/>
      <c r="T19" s="285">
        <f t="shared" si="2"/>
        <v>0</v>
      </c>
      <c r="U19" s="283"/>
      <c r="V19" s="283"/>
      <c r="W19" s="283"/>
      <c r="X19" s="283"/>
      <c r="Y19" s="283"/>
      <c r="Z19" s="283"/>
    </row>
    <row r="20" spans="1:26" s="583" customFormat="1">
      <c r="A20" s="292">
        <v>36788</v>
      </c>
      <c r="B20" s="355"/>
      <c r="C20" s="649" t="s">
        <v>654</v>
      </c>
      <c r="D20" s="292">
        <v>36788</v>
      </c>
      <c r="E20" s="809">
        <v>24</v>
      </c>
      <c r="F20" s="809" t="s">
        <v>655</v>
      </c>
      <c r="G20" s="809" t="s">
        <v>656</v>
      </c>
      <c r="H20" s="284">
        <v>6000000</v>
      </c>
      <c r="I20" s="285">
        <f t="shared" si="4"/>
        <v>17608.217168011739</v>
      </c>
      <c r="J20" s="286" t="s">
        <v>119</v>
      </c>
      <c r="K20" s="582"/>
      <c r="L20" s="284">
        <v>6000000</v>
      </c>
      <c r="M20" s="285">
        <f t="shared" ref="M20" si="10">L20/340.75</f>
        <v>17608.217168011739</v>
      </c>
      <c r="N20" s="582">
        <f>M20</f>
        <v>17608.217168011739</v>
      </c>
      <c r="O20" s="286" t="s">
        <v>100</v>
      </c>
      <c r="P20" s="286" t="s">
        <v>100</v>
      </c>
      <c r="Q20" s="286" t="s">
        <v>100</v>
      </c>
      <c r="R20" s="354"/>
      <c r="S20" s="354"/>
      <c r="T20" s="354"/>
      <c r="U20" s="809" t="s">
        <v>657</v>
      </c>
      <c r="V20" s="286" t="s">
        <v>100</v>
      </c>
      <c r="W20" s="286" t="s">
        <v>100</v>
      </c>
      <c r="X20" s="809" t="s">
        <v>658</v>
      </c>
      <c r="Y20" s="286" t="s">
        <v>100</v>
      </c>
      <c r="Z20" s="286" t="s">
        <v>100</v>
      </c>
    </row>
    <row r="21" spans="1:26">
      <c r="A21" s="416">
        <v>37683</v>
      </c>
      <c r="B21" s="277" t="s">
        <v>151</v>
      </c>
      <c r="C21" s="284" t="s">
        <v>231</v>
      </c>
      <c r="D21" s="290">
        <v>32394</v>
      </c>
      <c r="E21" s="283">
        <v>16</v>
      </c>
      <c r="F21" s="283" t="s">
        <v>226</v>
      </c>
      <c r="G21" s="286" t="s">
        <v>100</v>
      </c>
      <c r="H21" s="355"/>
      <c r="I21" s="286" t="s">
        <v>100</v>
      </c>
      <c r="J21" s="355"/>
      <c r="K21" s="285"/>
      <c r="L21" s="355"/>
      <c r="M21" s="492">
        <v>19999.990000000002</v>
      </c>
      <c r="N21" s="350">
        <f>M8+M21</f>
        <v>23260.770630961117</v>
      </c>
      <c r="O21" s="283"/>
      <c r="P21" s="354"/>
      <c r="Q21" s="283"/>
      <c r="R21" s="283"/>
      <c r="S21" s="354"/>
      <c r="T21" s="285"/>
      <c r="U21" s="283"/>
      <c r="V21" s="354"/>
      <c r="W21" s="283"/>
      <c r="X21" s="283"/>
      <c r="Y21" s="354"/>
      <c r="Z21" s="283"/>
    </row>
    <row r="22" spans="1:26" s="104" customFormat="1">
      <c r="A22" s="290">
        <v>37796</v>
      </c>
      <c r="B22" s="575">
        <v>2944</v>
      </c>
      <c r="C22" s="284" t="s">
        <v>346</v>
      </c>
      <c r="D22" s="290">
        <v>32508</v>
      </c>
      <c r="E22" s="283">
        <v>21</v>
      </c>
      <c r="F22" s="283" t="s">
        <v>350</v>
      </c>
      <c r="G22" s="283" t="s">
        <v>124</v>
      </c>
      <c r="H22" s="355"/>
      <c r="I22" s="287" t="s">
        <v>105</v>
      </c>
      <c r="J22" s="355"/>
      <c r="K22" s="369"/>
      <c r="L22" s="355"/>
      <c r="M22" s="350">
        <v>19999.990000000002</v>
      </c>
      <c r="N22" s="350">
        <f>N11+M22</f>
        <v>23260.77</v>
      </c>
      <c r="O22" s="368"/>
      <c r="P22" s="354"/>
      <c r="Q22" s="368"/>
      <c r="R22" s="368"/>
      <c r="S22" s="354"/>
      <c r="T22" s="369"/>
      <c r="U22" s="368"/>
      <c r="V22" s="354"/>
      <c r="W22" s="368"/>
      <c r="X22" s="368"/>
      <c r="Y22" s="354"/>
      <c r="Z22" s="368"/>
    </row>
    <row r="23" spans="1:26" s="583" customFormat="1">
      <c r="A23" s="682">
        <v>38191</v>
      </c>
      <c r="B23" s="355"/>
      <c r="C23" s="826">
        <v>4059</v>
      </c>
      <c r="D23" s="682">
        <v>38191</v>
      </c>
      <c r="E23" s="150">
        <v>30</v>
      </c>
      <c r="F23" s="150" t="s">
        <v>703</v>
      </c>
      <c r="G23" s="150" t="s">
        <v>124</v>
      </c>
      <c r="H23" s="286" t="s">
        <v>700</v>
      </c>
      <c r="I23" s="287" t="s">
        <v>105</v>
      </c>
      <c r="J23" s="354"/>
      <c r="K23" s="286" t="s">
        <v>119</v>
      </c>
      <c r="L23" s="355"/>
      <c r="M23" s="582">
        <v>15000</v>
      </c>
      <c r="N23" s="582">
        <f>M23</f>
        <v>15000</v>
      </c>
      <c r="O23" s="808" t="s">
        <v>702</v>
      </c>
      <c r="P23" s="394"/>
      <c r="Q23" s="582">
        <v>15000</v>
      </c>
      <c r="R23" s="355"/>
      <c r="S23" s="355"/>
      <c r="T23" s="355"/>
      <c r="U23" s="286" t="s">
        <v>100</v>
      </c>
      <c r="V23" s="355"/>
      <c r="W23" s="286" t="s">
        <v>100</v>
      </c>
      <c r="X23" s="808" t="s">
        <v>701</v>
      </c>
      <c r="Y23" s="355"/>
      <c r="Z23" s="582">
        <v>15000</v>
      </c>
    </row>
    <row r="24" spans="1:26" s="583" customFormat="1">
      <c r="A24" s="682">
        <v>38198</v>
      </c>
      <c r="B24" s="814"/>
      <c r="C24" s="826">
        <v>4070</v>
      </c>
      <c r="D24" s="814"/>
      <c r="E24" s="150">
        <v>30</v>
      </c>
      <c r="F24" s="150" t="s">
        <v>668</v>
      </c>
      <c r="G24" s="150" t="s">
        <v>124</v>
      </c>
      <c r="H24" s="286" t="s">
        <v>121</v>
      </c>
      <c r="I24" s="287" t="s">
        <v>105</v>
      </c>
      <c r="J24" s="816"/>
      <c r="K24" s="286" t="s">
        <v>119</v>
      </c>
      <c r="L24" s="814"/>
      <c r="M24" s="582">
        <v>16000</v>
      </c>
      <c r="N24" s="582">
        <f>M24</f>
        <v>16000</v>
      </c>
      <c r="O24" s="519" t="s">
        <v>709</v>
      </c>
      <c r="P24" s="519" t="s">
        <v>711</v>
      </c>
      <c r="Q24" s="582">
        <v>16000</v>
      </c>
      <c r="R24" s="150" t="s">
        <v>708</v>
      </c>
      <c r="S24" s="814"/>
      <c r="T24" s="582">
        <v>16000</v>
      </c>
      <c r="U24" s="150" t="s">
        <v>710</v>
      </c>
      <c r="V24" s="814"/>
      <c r="W24" s="582">
        <v>16000</v>
      </c>
      <c r="X24" s="150"/>
      <c r="Y24" s="581"/>
      <c r="Z24" s="150"/>
    </row>
    <row r="25" spans="1:26" s="583" customFormat="1">
      <c r="A25" s="682">
        <v>38198</v>
      </c>
      <c r="B25" s="391"/>
      <c r="C25" s="575">
        <v>4070</v>
      </c>
      <c r="D25" s="391"/>
      <c r="E25" s="150">
        <v>30</v>
      </c>
      <c r="F25" s="150" t="s">
        <v>713</v>
      </c>
      <c r="G25" s="150" t="s">
        <v>124</v>
      </c>
      <c r="H25" s="857"/>
      <c r="I25" s="816"/>
      <c r="J25" s="855"/>
      <c r="K25" s="814"/>
      <c r="L25" s="814"/>
      <c r="M25" s="815"/>
      <c r="N25" s="815"/>
      <c r="O25" s="286" t="s">
        <v>100</v>
      </c>
      <c r="P25" s="394"/>
      <c r="Q25" s="286" t="s">
        <v>100</v>
      </c>
      <c r="R25" s="814"/>
      <c r="S25" s="814"/>
      <c r="T25" s="815"/>
      <c r="U25" s="286" t="s">
        <v>100</v>
      </c>
      <c r="V25" s="355"/>
      <c r="W25" s="286" t="s">
        <v>100</v>
      </c>
      <c r="X25" s="286" t="s">
        <v>100</v>
      </c>
      <c r="Y25" s="355"/>
      <c r="Z25" s="286" t="s">
        <v>100</v>
      </c>
    </row>
    <row r="26" spans="1:26">
      <c r="A26" s="417">
        <v>38338</v>
      </c>
      <c r="B26" s="277" t="s">
        <v>151</v>
      </c>
      <c r="C26" s="284" t="s">
        <v>199</v>
      </c>
      <c r="D26" s="328">
        <v>27106</v>
      </c>
      <c r="E26" s="283">
        <v>60</v>
      </c>
      <c r="F26" s="283" t="s">
        <v>189</v>
      </c>
      <c r="G26" s="286" t="s">
        <v>100</v>
      </c>
      <c r="H26" s="355"/>
      <c r="I26" s="285"/>
      <c r="J26" s="355"/>
      <c r="K26" s="285"/>
      <c r="L26" s="355"/>
      <c r="M26" s="492">
        <v>4444.4399999999996</v>
      </c>
      <c r="N26" s="350">
        <f>N19+M26</f>
        <v>24009.123785766689</v>
      </c>
      <c r="O26" s="283"/>
      <c r="P26" s="394"/>
      <c r="Q26" s="283"/>
      <c r="R26" s="283"/>
      <c r="S26" s="355"/>
      <c r="T26" s="285"/>
      <c r="U26" s="283"/>
      <c r="V26" s="355"/>
      <c r="W26" s="283"/>
      <c r="X26" s="283"/>
      <c r="Y26" s="354"/>
      <c r="Z26" s="283"/>
    </row>
    <row r="27" spans="1:26">
      <c r="A27" s="290">
        <v>38671</v>
      </c>
      <c r="B27" s="575">
        <v>5435</v>
      </c>
      <c r="C27" s="365" t="s">
        <v>554</v>
      </c>
      <c r="D27" s="365">
        <v>32480</v>
      </c>
      <c r="E27" s="368">
        <v>25</v>
      </c>
      <c r="F27" s="283" t="s">
        <v>589</v>
      </c>
      <c r="G27" s="283" t="s">
        <v>124</v>
      </c>
      <c r="H27" s="286" t="s">
        <v>121</v>
      </c>
      <c r="I27" s="287" t="s">
        <v>105</v>
      </c>
      <c r="J27" s="354"/>
      <c r="K27" s="286" t="s">
        <v>119</v>
      </c>
      <c r="L27" s="355"/>
      <c r="M27" s="350">
        <v>2173.33</v>
      </c>
      <c r="N27" s="350">
        <f>N10+M27</f>
        <v>5434.110630961115</v>
      </c>
      <c r="O27" s="286"/>
      <c r="P27" s="394"/>
      <c r="Q27" s="283"/>
      <c r="R27" s="283"/>
      <c r="S27" s="355"/>
      <c r="T27" s="285"/>
      <c r="U27" s="283" t="s">
        <v>588</v>
      </c>
      <c r="V27" s="355"/>
      <c r="W27" s="286" t="s">
        <v>100</v>
      </c>
      <c r="X27" s="283" t="s">
        <v>587</v>
      </c>
      <c r="Y27" s="354"/>
      <c r="Z27" s="286" t="s">
        <v>121</v>
      </c>
    </row>
    <row r="28" spans="1:26" s="104" customFormat="1">
      <c r="A28" s="290">
        <v>38707</v>
      </c>
      <c r="B28" s="355"/>
      <c r="C28" s="284" t="s">
        <v>591</v>
      </c>
      <c r="D28" s="355"/>
      <c r="E28" s="283">
        <v>25</v>
      </c>
      <c r="F28" s="368" t="s">
        <v>592</v>
      </c>
      <c r="G28" s="283" t="s">
        <v>593</v>
      </c>
      <c r="H28" s="419" t="s">
        <v>597</v>
      </c>
      <c r="I28" s="586">
        <v>27880</v>
      </c>
      <c r="J28" s="354"/>
      <c r="K28" s="286" t="s">
        <v>119</v>
      </c>
      <c r="L28" s="355"/>
      <c r="M28" s="369">
        <v>27880</v>
      </c>
      <c r="N28" s="369">
        <f>M28</f>
        <v>27880</v>
      </c>
      <c r="O28" s="283" t="s">
        <v>594</v>
      </c>
      <c r="P28" s="394"/>
      <c r="Q28" s="286" t="s">
        <v>121</v>
      </c>
      <c r="R28" s="368"/>
      <c r="S28" s="355"/>
      <c r="T28" s="369"/>
      <c r="U28" s="368"/>
      <c r="V28" s="355"/>
      <c r="W28" s="419"/>
      <c r="X28" s="368"/>
      <c r="Y28" s="418"/>
      <c r="Z28" s="419"/>
    </row>
    <row r="29" spans="1:26">
      <c r="A29" s="290">
        <v>39073</v>
      </c>
      <c r="B29" s="355"/>
      <c r="C29" s="284">
        <v>5125</v>
      </c>
      <c r="D29" s="355"/>
      <c r="E29" s="283">
        <v>16</v>
      </c>
      <c r="F29" s="283" t="s">
        <v>360</v>
      </c>
      <c r="G29" s="283" t="s">
        <v>187</v>
      </c>
      <c r="H29" s="355"/>
      <c r="I29" s="286" t="s">
        <v>100</v>
      </c>
      <c r="J29" s="355"/>
      <c r="K29" s="285"/>
      <c r="L29" s="355"/>
      <c r="M29" s="492">
        <v>33333.33</v>
      </c>
      <c r="N29" s="350"/>
      <c r="O29" s="283"/>
      <c r="P29" s="394"/>
      <c r="Q29" s="283"/>
      <c r="R29" s="283"/>
      <c r="S29" s="355"/>
      <c r="T29" s="285"/>
      <c r="U29" s="283"/>
      <c r="V29" s="355"/>
      <c r="W29" s="283"/>
      <c r="X29" s="283"/>
      <c r="Y29" s="354"/>
      <c r="Z29" s="283"/>
    </row>
    <row r="30" spans="1:26">
      <c r="A30" s="292">
        <v>39430</v>
      </c>
      <c r="B30" s="284">
        <v>6330</v>
      </c>
      <c r="C30" s="284" t="s">
        <v>199</v>
      </c>
      <c r="D30" s="328">
        <v>27106</v>
      </c>
      <c r="E30" s="283">
        <v>60</v>
      </c>
      <c r="F30" s="283" t="s">
        <v>190</v>
      </c>
      <c r="G30" s="283" t="s">
        <v>194</v>
      </c>
      <c r="H30" s="355"/>
      <c r="I30" s="286" t="s">
        <v>100</v>
      </c>
      <c r="J30" s="355"/>
      <c r="K30" s="285"/>
      <c r="L30" s="355"/>
      <c r="M30" s="350">
        <v>22222.22</v>
      </c>
      <c r="N30" s="350" t="e">
        <f>#REF!+M30</f>
        <v>#REF!</v>
      </c>
      <c r="O30" s="283"/>
      <c r="P30" s="394"/>
      <c r="Q30" s="283"/>
      <c r="R30" s="283"/>
      <c r="S30" s="355"/>
      <c r="T30" s="285"/>
      <c r="U30" s="283"/>
      <c r="V30" s="355"/>
      <c r="W30" s="283"/>
      <c r="X30" s="283"/>
      <c r="Y30" s="354"/>
      <c r="Z30" s="283"/>
    </row>
    <row r="31" spans="1:26" s="104" customFormat="1">
      <c r="A31" s="290">
        <v>39639</v>
      </c>
      <c r="B31" s="575">
        <v>7952</v>
      </c>
      <c r="C31" s="354"/>
      <c r="D31" s="290">
        <v>39639</v>
      </c>
      <c r="E31" s="283">
        <v>26</v>
      </c>
      <c r="F31" s="283" t="s">
        <v>530</v>
      </c>
      <c r="G31" s="283" t="s">
        <v>124</v>
      </c>
      <c r="H31" s="355"/>
      <c r="I31" s="369">
        <v>21000</v>
      </c>
      <c r="J31" s="354"/>
      <c r="K31" s="286" t="s">
        <v>119</v>
      </c>
      <c r="L31" s="355"/>
      <c r="M31" s="369">
        <v>21000</v>
      </c>
      <c r="N31" s="369">
        <f>M31</f>
        <v>21000</v>
      </c>
      <c r="O31" s="283" t="s">
        <v>531</v>
      </c>
      <c r="P31" s="394"/>
      <c r="Q31" s="369">
        <v>21000</v>
      </c>
      <c r="R31" s="283" t="s">
        <v>525</v>
      </c>
      <c r="S31" s="355"/>
      <c r="T31" s="285"/>
      <c r="U31" s="283" t="s">
        <v>532</v>
      </c>
      <c r="V31" s="355"/>
      <c r="W31" s="369">
        <v>21000</v>
      </c>
      <c r="X31" s="286" t="s">
        <v>151</v>
      </c>
      <c r="Y31" s="354"/>
      <c r="Z31" s="369">
        <v>21000</v>
      </c>
    </row>
    <row r="32" spans="1:26" s="104" customFormat="1">
      <c r="A32" s="678">
        <v>39750</v>
      </c>
      <c r="B32" s="679">
        <v>8261</v>
      </c>
      <c r="C32" s="284" t="s">
        <v>427</v>
      </c>
      <c r="D32" s="328">
        <v>32754</v>
      </c>
      <c r="E32" s="283">
        <v>29</v>
      </c>
      <c r="F32" s="283" t="s">
        <v>459</v>
      </c>
      <c r="G32" s="283" t="s">
        <v>124</v>
      </c>
      <c r="H32" s="355"/>
      <c r="I32" s="286" t="s">
        <v>121</v>
      </c>
      <c r="J32" s="355"/>
      <c r="K32" s="286" t="s">
        <v>119</v>
      </c>
      <c r="L32" s="355"/>
      <c r="M32" s="350">
        <v>9782.34</v>
      </c>
      <c r="N32" s="350">
        <f>N14+M32</f>
        <v>19564.681892883345</v>
      </c>
      <c r="O32" s="368"/>
      <c r="P32" s="394"/>
      <c r="Q32" s="368"/>
      <c r="R32" s="368"/>
      <c r="S32" s="355"/>
      <c r="T32" s="285"/>
      <c r="U32" s="368"/>
      <c r="V32" s="355"/>
      <c r="W32" s="368"/>
      <c r="X32" s="368"/>
      <c r="Y32" s="354"/>
      <c r="Z32" s="368"/>
    </row>
    <row r="33" spans="1:26" s="104" customFormat="1">
      <c r="A33" s="290">
        <v>39801</v>
      </c>
      <c r="B33" s="575">
        <v>8389</v>
      </c>
      <c r="C33" s="365" t="s">
        <v>554</v>
      </c>
      <c r="D33" s="365">
        <v>32480</v>
      </c>
      <c r="E33" s="368">
        <v>25</v>
      </c>
      <c r="F33" s="283" t="s">
        <v>590</v>
      </c>
      <c r="G33" s="283" t="s">
        <v>124</v>
      </c>
      <c r="H33" s="355"/>
      <c r="I33" s="286" t="s">
        <v>121</v>
      </c>
      <c r="J33" s="355"/>
      <c r="K33" s="286" t="s">
        <v>119</v>
      </c>
      <c r="L33" s="355"/>
      <c r="M33" s="350">
        <v>1086.67</v>
      </c>
      <c r="N33" s="350">
        <f>N27+M33</f>
        <v>6520.7806309611151</v>
      </c>
      <c r="O33" s="368"/>
      <c r="P33" s="394"/>
      <c r="Q33" s="368"/>
      <c r="R33" s="368"/>
      <c r="S33" s="355"/>
      <c r="T33" s="369"/>
      <c r="U33" s="283" t="s">
        <v>588</v>
      </c>
      <c r="V33" s="355"/>
      <c r="W33" s="286" t="s">
        <v>100</v>
      </c>
      <c r="X33" s="283" t="s">
        <v>587</v>
      </c>
      <c r="Y33" s="354"/>
      <c r="Z33" s="286" t="s">
        <v>121</v>
      </c>
    </row>
    <row r="34" spans="1:26" s="104" customFormat="1">
      <c r="A34" s="290">
        <v>39902</v>
      </c>
      <c r="B34" s="355"/>
      <c r="C34" s="575">
        <v>8546</v>
      </c>
      <c r="D34" s="355"/>
      <c r="E34" s="283">
        <v>27</v>
      </c>
      <c r="F34" s="283" t="s">
        <v>405</v>
      </c>
      <c r="G34" s="283" t="s">
        <v>124</v>
      </c>
      <c r="H34" s="355"/>
      <c r="I34" s="369">
        <f>31897.29*2.5</f>
        <v>79743.225000000006</v>
      </c>
      <c r="J34" s="355"/>
      <c r="K34" s="286" t="s">
        <v>119</v>
      </c>
      <c r="L34" s="355"/>
      <c r="M34" s="369">
        <f>31897.29*2.5</f>
        <v>79743.225000000006</v>
      </c>
      <c r="N34" s="369">
        <f>M34</f>
        <v>79743.225000000006</v>
      </c>
      <c r="O34" s="368" t="s">
        <v>408</v>
      </c>
      <c r="P34" s="394"/>
      <c r="Q34" s="369">
        <f>31897.29*2.5</f>
        <v>79743.225000000006</v>
      </c>
      <c r="R34" s="286" t="s">
        <v>100</v>
      </c>
      <c r="S34" s="355"/>
      <c r="T34" s="285"/>
      <c r="U34" s="286" t="s">
        <v>100</v>
      </c>
      <c r="V34" s="355"/>
      <c r="W34" s="368"/>
      <c r="X34" s="286" t="s">
        <v>100</v>
      </c>
      <c r="Y34" s="354"/>
      <c r="Z34" s="368"/>
    </row>
    <row r="35" spans="1:26" s="104" customFormat="1">
      <c r="A35" s="678">
        <v>39968</v>
      </c>
      <c r="B35" s="418">
        <v>8687</v>
      </c>
      <c r="C35" s="284" t="s">
        <v>471</v>
      </c>
      <c r="D35" s="290">
        <v>33042</v>
      </c>
      <c r="E35" s="283">
        <v>23</v>
      </c>
      <c r="F35" s="283" t="s">
        <v>472</v>
      </c>
      <c r="G35" s="283" t="s">
        <v>124</v>
      </c>
      <c r="H35" s="355"/>
      <c r="I35" s="286" t="s">
        <v>121</v>
      </c>
      <c r="J35" s="355"/>
      <c r="K35" s="286" t="s">
        <v>119</v>
      </c>
      <c r="L35" s="355"/>
      <c r="M35" s="369">
        <v>9782.34</v>
      </c>
      <c r="N35" s="369">
        <f>N15+M35</f>
        <v>19564.681892883345</v>
      </c>
      <c r="O35" s="368"/>
      <c r="P35" s="354"/>
      <c r="Q35" s="369"/>
      <c r="R35" s="419"/>
      <c r="S35" s="355"/>
      <c r="T35" s="285"/>
      <c r="U35" s="419"/>
      <c r="V35" s="355"/>
      <c r="W35" s="368"/>
      <c r="X35" s="419"/>
      <c r="Y35" s="354"/>
      <c r="Z35" s="368"/>
    </row>
    <row r="36" spans="1:26" s="583" customFormat="1">
      <c r="A36" s="682">
        <v>40063</v>
      </c>
      <c r="B36" s="354"/>
      <c r="C36" s="575">
        <v>8922</v>
      </c>
      <c r="D36" s="682">
        <v>40063</v>
      </c>
      <c r="E36" s="150">
        <v>30</v>
      </c>
      <c r="F36" s="150" t="s">
        <v>717</v>
      </c>
      <c r="G36" s="283" t="s">
        <v>124</v>
      </c>
      <c r="H36" s="355"/>
      <c r="I36" s="286" t="s">
        <v>121</v>
      </c>
      <c r="J36" s="355"/>
      <c r="K36" s="519"/>
      <c r="L36" s="355"/>
      <c r="M36" s="818">
        <v>15000</v>
      </c>
      <c r="N36" s="818">
        <f>M36</f>
        <v>15000</v>
      </c>
      <c r="O36" s="286" t="s">
        <v>100</v>
      </c>
      <c r="P36" s="286" t="s">
        <v>100</v>
      </c>
      <c r="Q36" s="582"/>
      <c r="R36" s="150" t="s">
        <v>722</v>
      </c>
      <c r="S36" s="150" t="s">
        <v>723</v>
      </c>
      <c r="T36" s="286" t="s">
        <v>121</v>
      </c>
      <c r="U36" s="286" t="s">
        <v>100</v>
      </c>
      <c r="V36" s="286" t="s">
        <v>100</v>
      </c>
      <c r="W36" s="150"/>
      <c r="X36" s="150" t="s">
        <v>721</v>
      </c>
      <c r="Y36" s="581" t="s">
        <v>725</v>
      </c>
      <c r="Z36" s="286" t="s">
        <v>121</v>
      </c>
    </row>
    <row r="37" spans="1:26">
      <c r="A37" s="290">
        <v>40423</v>
      </c>
      <c r="B37" s="575">
        <v>9681</v>
      </c>
      <c r="C37" s="284">
        <v>12428</v>
      </c>
      <c r="D37" s="328">
        <v>34962</v>
      </c>
      <c r="E37" s="283">
        <v>16</v>
      </c>
      <c r="F37" s="283" t="s">
        <v>269</v>
      </c>
      <c r="G37" s="283" t="s">
        <v>124</v>
      </c>
      <c r="H37" s="355"/>
      <c r="I37" s="286" t="s">
        <v>121</v>
      </c>
      <c r="J37" s="355"/>
      <c r="K37" s="286" t="s">
        <v>119</v>
      </c>
      <c r="L37" s="355"/>
      <c r="M37" s="350">
        <f>M17/15*10</f>
        <v>11738.81144534116</v>
      </c>
      <c r="N37" s="350">
        <f>N17+M37</f>
        <v>29347.028613352901</v>
      </c>
      <c r="O37" s="283"/>
      <c r="P37" s="354"/>
      <c r="Q37" s="283"/>
      <c r="R37" s="283"/>
      <c r="S37" s="355"/>
      <c r="T37" s="285"/>
      <c r="U37" s="283"/>
      <c r="V37" s="355"/>
      <c r="W37" s="283"/>
      <c r="X37" s="283"/>
      <c r="Y37" s="354"/>
      <c r="Z37" s="283"/>
    </row>
    <row r="38" spans="1:26">
      <c r="A38" s="416">
        <v>41336</v>
      </c>
      <c r="B38" s="277" t="s">
        <v>151</v>
      </c>
      <c r="C38" s="284" t="s">
        <v>231</v>
      </c>
      <c r="D38" s="290">
        <v>32394</v>
      </c>
      <c r="E38" s="283">
        <v>16</v>
      </c>
      <c r="F38" s="283" t="s">
        <v>227</v>
      </c>
      <c r="G38" s="286" t="s">
        <v>100</v>
      </c>
      <c r="H38" s="355"/>
      <c r="I38" s="285"/>
      <c r="J38" s="355"/>
      <c r="K38" s="285">
        <f t="shared" si="3"/>
        <v>0</v>
      </c>
      <c r="L38" s="355"/>
      <c r="M38" s="350">
        <f>M8/15*40</f>
        <v>8695.4150158963075</v>
      </c>
      <c r="N38" s="350">
        <f>N21+M38</f>
        <v>31956.185646857426</v>
      </c>
      <c r="O38" s="283"/>
      <c r="P38" s="354"/>
      <c r="Q38" s="283"/>
      <c r="R38" s="283"/>
      <c r="S38" s="355"/>
      <c r="T38" s="285"/>
      <c r="U38" s="283"/>
      <c r="V38" s="355"/>
      <c r="W38" s="283"/>
      <c r="X38" s="283"/>
      <c r="Y38" s="354"/>
      <c r="Z38" s="283"/>
    </row>
    <row r="39" spans="1:26" s="104" customFormat="1">
      <c r="A39" s="681">
        <v>41816</v>
      </c>
      <c r="B39" s="683">
        <v>11775</v>
      </c>
      <c r="C39" s="284" t="s">
        <v>427</v>
      </c>
      <c r="D39" s="328">
        <v>32754</v>
      </c>
      <c r="E39" s="283">
        <v>29</v>
      </c>
      <c r="F39" s="283" t="s">
        <v>463</v>
      </c>
      <c r="G39" s="283" t="s">
        <v>124</v>
      </c>
      <c r="H39" s="355"/>
      <c r="I39" s="286" t="s">
        <v>121</v>
      </c>
      <c r="J39" s="355"/>
      <c r="K39" s="286" t="s">
        <v>119</v>
      </c>
      <c r="L39" s="355"/>
      <c r="M39" s="285">
        <v>45600</v>
      </c>
      <c r="N39" s="672">
        <f>N32+M39</f>
        <v>65164.681892883345</v>
      </c>
      <c r="O39" s="368" t="s">
        <v>465</v>
      </c>
      <c r="P39" s="286" t="s">
        <v>467</v>
      </c>
      <c r="Q39" s="419"/>
      <c r="R39" s="286"/>
      <c r="S39" s="355"/>
      <c r="T39" s="368"/>
      <c r="U39" s="286" t="s">
        <v>100</v>
      </c>
      <c r="V39" s="355"/>
      <c r="W39" s="368"/>
      <c r="X39" s="286" t="s">
        <v>100</v>
      </c>
      <c r="Y39" s="354"/>
    </row>
    <row r="40" spans="1:26" s="104" customFormat="1">
      <c r="A40" s="681">
        <v>41969</v>
      </c>
      <c r="B40" s="355"/>
      <c r="C40" s="575">
        <v>12098</v>
      </c>
      <c r="D40" s="681">
        <v>41969</v>
      </c>
      <c r="E40" s="368">
        <v>25</v>
      </c>
      <c r="F40" s="283" t="s">
        <v>604</v>
      </c>
      <c r="G40" s="283" t="s">
        <v>124</v>
      </c>
      <c r="H40" s="355"/>
      <c r="I40" s="286" t="s">
        <v>605</v>
      </c>
      <c r="J40" s="355"/>
      <c r="K40" s="286" t="s">
        <v>119</v>
      </c>
      <c r="L40" s="355"/>
      <c r="M40" s="369">
        <v>35168</v>
      </c>
      <c r="N40" s="672">
        <f>M40</f>
        <v>35168</v>
      </c>
      <c r="O40" s="283" t="s">
        <v>606</v>
      </c>
      <c r="P40" s="286" t="s">
        <v>607</v>
      </c>
      <c r="Q40" s="419"/>
      <c r="R40" s="519" t="s">
        <v>609</v>
      </c>
      <c r="S40" s="355"/>
      <c r="T40" s="368"/>
      <c r="U40" s="519" t="s">
        <v>611</v>
      </c>
      <c r="V40" s="355"/>
      <c r="W40" s="286" t="s">
        <v>121</v>
      </c>
      <c r="X40" s="519" t="s">
        <v>610</v>
      </c>
      <c r="Y40" s="418"/>
    </row>
    <row r="41" spans="1:26">
      <c r="A41" s="290">
        <v>41988</v>
      </c>
      <c r="B41" s="355"/>
      <c r="C41" s="284">
        <v>9307</v>
      </c>
      <c r="D41" s="290">
        <v>41988</v>
      </c>
      <c r="E41" s="283">
        <v>16</v>
      </c>
      <c r="F41" s="283" t="s">
        <v>133</v>
      </c>
      <c r="G41" s="283" t="s">
        <v>164</v>
      </c>
      <c r="H41" s="355"/>
      <c r="I41" s="369">
        <v>40903</v>
      </c>
      <c r="J41" s="355"/>
      <c r="K41" s="286" t="s">
        <v>119</v>
      </c>
      <c r="L41" s="355"/>
      <c r="M41" s="369">
        <v>40903</v>
      </c>
      <c r="N41" s="369">
        <f>M41</f>
        <v>40903</v>
      </c>
      <c r="O41" s="368"/>
      <c r="P41" s="354"/>
      <c r="Q41" s="283"/>
      <c r="R41" s="283"/>
      <c r="S41" s="355"/>
      <c r="T41" s="285"/>
      <c r="U41" s="283"/>
      <c r="V41" s="355"/>
      <c r="W41" s="283"/>
      <c r="X41" s="283"/>
      <c r="Y41" s="354"/>
      <c r="Z41" s="283"/>
    </row>
    <row r="42" spans="1:26">
      <c r="A42" s="290">
        <v>42054</v>
      </c>
      <c r="B42" s="354"/>
      <c r="C42" s="575">
        <v>12227</v>
      </c>
      <c r="D42" s="355"/>
      <c r="E42" s="283">
        <v>22</v>
      </c>
      <c r="F42" s="283" t="s">
        <v>369</v>
      </c>
      <c r="G42" s="283" t="s">
        <v>124</v>
      </c>
      <c r="H42" s="355"/>
      <c r="I42" s="369">
        <v>53400</v>
      </c>
      <c r="J42" s="355"/>
      <c r="K42" s="286" t="s">
        <v>119</v>
      </c>
      <c r="L42" s="355"/>
      <c r="M42" s="285">
        <v>53400</v>
      </c>
      <c r="N42" s="285">
        <v>53400</v>
      </c>
      <c r="O42" s="283" t="s">
        <v>366</v>
      </c>
      <c r="P42" s="354"/>
      <c r="Q42" s="286" t="s">
        <v>121</v>
      </c>
      <c r="R42" s="283" t="s">
        <v>364</v>
      </c>
      <c r="S42" s="355"/>
      <c r="T42" s="286"/>
      <c r="U42" s="286" t="s">
        <v>100</v>
      </c>
      <c r="V42" s="355"/>
      <c r="W42" s="286"/>
      <c r="X42" s="286"/>
      <c r="Y42" s="354"/>
      <c r="Z42" s="283"/>
    </row>
    <row r="43" spans="1:26" s="104" customFormat="1">
      <c r="A43" s="365">
        <v>42369</v>
      </c>
      <c r="B43" s="354"/>
      <c r="C43" s="575">
        <v>12875</v>
      </c>
      <c r="D43" s="354"/>
      <c r="E43" s="368">
        <v>23</v>
      </c>
      <c r="F43" s="283" t="s">
        <v>521</v>
      </c>
      <c r="G43" s="283" t="s">
        <v>124</v>
      </c>
      <c r="H43" s="355"/>
      <c r="I43" s="369">
        <v>65000</v>
      </c>
      <c r="J43" s="354"/>
      <c r="K43" s="286" t="s">
        <v>119</v>
      </c>
      <c r="L43" s="355"/>
      <c r="M43" s="285">
        <v>65000</v>
      </c>
      <c r="N43" s="285">
        <f>M43</f>
        <v>65000</v>
      </c>
      <c r="O43" s="283" t="s">
        <v>522</v>
      </c>
      <c r="P43" s="354"/>
      <c r="Q43" s="286" t="s">
        <v>121</v>
      </c>
      <c r="R43" s="283" t="s">
        <v>525</v>
      </c>
      <c r="S43" s="355"/>
      <c r="T43" s="283"/>
      <c r="U43" s="283" t="s">
        <v>524</v>
      </c>
      <c r="V43" s="355"/>
      <c r="W43" s="285">
        <v>65000</v>
      </c>
      <c r="X43" s="283" t="s">
        <v>523</v>
      </c>
      <c r="Y43" s="354"/>
      <c r="Z43" s="285">
        <v>65000</v>
      </c>
    </row>
    <row r="44" spans="1:26" s="104" customFormat="1">
      <c r="A44" s="365">
        <v>42734</v>
      </c>
      <c r="B44" s="575">
        <v>13577</v>
      </c>
      <c r="C44" s="365" t="s">
        <v>554</v>
      </c>
      <c r="D44" s="365">
        <v>32480</v>
      </c>
      <c r="E44" s="368">
        <v>25</v>
      </c>
      <c r="F44" s="283" t="s">
        <v>612</v>
      </c>
      <c r="G44" s="283" t="s">
        <v>124</v>
      </c>
      <c r="H44" s="355"/>
      <c r="I44" s="286" t="s">
        <v>121</v>
      </c>
      <c r="J44" s="355"/>
      <c r="K44" s="286" t="s">
        <v>119</v>
      </c>
      <c r="L44" s="355"/>
      <c r="M44" s="350">
        <v>2173.33</v>
      </c>
      <c r="N44" s="350">
        <f>N33+M44</f>
        <v>8694.110630961115</v>
      </c>
      <c r="O44" s="368"/>
      <c r="P44" s="354"/>
      <c r="Q44" s="419"/>
      <c r="R44" s="368"/>
      <c r="S44" s="355"/>
      <c r="T44" s="368"/>
      <c r="U44" s="368"/>
      <c r="V44" s="355"/>
      <c r="W44" s="369"/>
      <c r="X44" s="368"/>
      <c r="Y44" s="418"/>
      <c r="Z44" s="369"/>
    </row>
    <row r="45" spans="1:26">
      <c r="A45" s="289">
        <v>43086</v>
      </c>
      <c r="B45" s="277" t="s">
        <v>151</v>
      </c>
      <c r="C45" s="284" t="s">
        <v>199</v>
      </c>
      <c r="D45" s="328">
        <v>27106</v>
      </c>
      <c r="E45" s="283">
        <v>60</v>
      </c>
      <c r="F45" s="283" t="s">
        <v>271</v>
      </c>
      <c r="G45" s="286" t="s">
        <v>100</v>
      </c>
      <c r="H45" s="355"/>
      <c r="I45" s="286" t="s">
        <v>100</v>
      </c>
      <c r="J45" s="354"/>
      <c r="K45" s="285"/>
      <c r="L45" s="355"/>
      <c r="M45" s="350">
        <v>22222.22</v>
      </c>
      <c r="N45" s="350" t="e">
        <f>#REF!+M45</f>
        <v>#REF!</v>
      </c>
      <c r="O45" s="283"/>
      <c r="P45" s="354"/>
      <c r="Q45" s="283"/>
      <c r="R45" s="283"/>
      <c r="S45" s="355"/>
      <c r="T45" s="285"/>
      <c r="U45" s="283"/>
      <c r="V45" s="355"/>
      <c r="W45" s="283"/>
      <c r="X45" s="283"/>
      <c r="Y45" s="354"/>
      <c r="Z45" s="283"/>
    </row>
    <row r="46" spans="1:26">
      <c r="A46" s="290">
        <v>43241</v>
      </c>
      <c r="B46" s="575">
        <v>14533</v>
      </c>
      <c r="C46" s="284" t="s">
        <v>346</v>
      </c>
      <c r="D46" s="290">
        <v>32508</v>
      </c>
      <c r="E46" s="283">
        <v>21</v>
      </c>
      <c r="F46" s="283" t="s">
        <v>351</v>
      </c>
      <c r="G46" s="283" t="s">
        <v>124</v>
      </c>
      <c r="H46" s="355"/>
      <c r="I46" s="286" t="s">
        <v>121</v>
      </c>
      <c r="J46" s="354"/>
      <c r="K46" s="286" t="s">
        <v>119</v>
      </c>
      <c r="L46" s="354"/>
      <c r="M46" s="350">
        <v>13333.33</v>
      </c>
      <c r="N46" s="350">
        <f>N22+M46</f>
        <v>36594.1</v>
      </c>
      <c r="O46" s="283"/>
      <c r="P46" s="354"/>
      <c r="Q46" s="283"/>
      <c r="R46" s="283"/>
      <c r="S46" s="355"/>
      <c r="T46" s="285"/>
      <c r="U46" s="283"/>
      <c r="V46" s="355"/>
      <c r="W46" s="283"/>
      <c r="X46" s="283"/>
      <c r="Y46" s="354"/>
      <c r="Z46" s="283"/>
    </row>
    <row r="47" spans="1:26">
      <c r="A47" s="290">
        <v>43269</v>
      </c>
      <c r="B47" s="575">
        <v>14566</v>
      </c>
      <c r="C47" s="284" t="s">
        <v>346</v>
      </c>
      <c r="D47" s="290">
        <v>32508</v>
      </c>
      <c r="E47" s="283">
        <v>21</v>
      </c>
      <c r="F47" s="283" t="s">
        <v>352</v>
      </c>
      <c r="G47" s="283" t="s">
        <v>124</v>
      </c>
      <c r="H47" s="355"/>
      <c r="I47" s="286" t="s">
        <v>121</v>
      </c>
      <c r="J47" s="354"/>
      <c r="K47" s="286" t="s">
        <v>119</v>
      </c>
      <c r="L47" s="354"/>
      <c r="M47" s="350">
        <v>39999.99</v>
      </c>
      <c r="N47" s="350">
        <f>N46+M47</f>
        <v>76594.09</v>
      </c>
      <c r="O47" s="283"/>
      <c r="P47" s="354"/>
      <c r="Q47" s="283"/>
      <c r="R47" s="283"/>
      <c r="S47" s="355"/>
      <c r="T47" s="285"/>
      <c r="U47" s="283"/>
      <c r="V47" s="355"/>
      <c r="W47" s="283"/>
      <c r="X47" s="283"/>
      <c r="Y47" s="354"/>
      <c r="Z47" s="283"/>
    </row>
    <row r="48" spans="1:26">
      <c r="A48" s="290">
        <v>44061</v>
      </c>
      <c r="B48" s="575">
        <v>15884</v>
      </c>
      <c r="C48" s="284">
        <v>12428</v>
      </c>
      <c r="D48" s="328">
        <v>34962</v>
      </c>
      <c r="E48" s="283">
        <v>16</v>
      </c>
      <c r="F48" s="283" t="s">
        <v>270</v>
      </c>
      <c r="G48" s="283" t="s">
        <v>124</v>
      </c>
      <c r="H48" s="354"/>
      <c r="I48" s="286" t="s">
        <v>121</v>
      </c>
      <c r="J48" s="354"/>
      <c r="K48" s="286" t="s">
        <v>119</v>
      </c>
      <c r="L48" s="354"/>
      <c r="M48" s="285"/>
      <c r="N48" s="285"/>
      <c r="O48" s="283"/>
      <c r="P48" s="354"/>
      <c r="Q48" s="283"/>
      <c r="R48" s="283"/>
      <c r="S48" s="354"/>
      <c r="T48" s="285"/>
      <c r="U48" s="283"/>
      <c r="V48" s="354"/>
      <c r="W48" s="283"/>
      <c r="X48" s="283"/>
      <c r="Y48" s="354"/>
      <c r="Z48" s="283"/>
    </row>
    <row r="49" spans="1:26">
      <c r="A49" s="290">
        <v>44224</v>
      </c>
      <c r="B49" s="575">
        <v>16079</v>
      </c>
      <c r="C49" s="284">
        <v>12227</v>
      </c>
      <c r="D49" s="290">
        <v>42054</v>
      </c>
      <c r="E49" s="283">
        <v>22</v>
      </c>
      <c r="F49" s="283" t="s">
        <v>372</v>
      </c>
      <c r="G49" s="283" t="s">
        <v>124</v>
      </c>
      <c r="H49" s="354"/>
      <c r="I49" s="286" t="s">
        <v>121</v>
      </c>
      <c r="J49" s="354"/>
      <c r="K49" s="286" t="s">
        <v>119</v>
      </c>
      <c r="L49" s="355"/>
      <c r="M49" s="285">
        <v>2136</v>
      </c>
      <c r="N49" s="285">
        <f>N42+M49</f>
        <v>55536</v>
      </c>
      <c r="O49" s="286" t="s">
        <v>100</v>
      </c>
      <c r="P49" s="354"/>
      <c r="Q49" s="286" t="s">
        <v>100</v>
      </c>
      <c r="R49" s="286" t="s">
        <v>100</v>
      </c>
      <c r="S49" s="354"/>
      <c r="T49" s="286" t="s">
        <v>100</v>
      </c>
      <c r="U49" s="286" t="s">
        <v>100</v>
      </c>
      <c r="V49" s="354"/>
      <c r="W49" s="286"/>
      <c r="X49" s="286" t="s">
        <v>100</v>
      </c>
      <c r="Y49" s="354"/>
      <c r="Z49" s="286" t="s">
        <v>100</v>
      </c>
    </row>
    <row r="50" spans="1:26">
      <c r="A50" s="417">
        <v>44552</v>
      </c>
      <c r="B50" s="277" t="s">
        <v>151</v>
      </c>
      <c r="C50" s="284">
        <v>5125</v>
      </c>
      <c r="D50" s="290">
        <v>39073</v>
      </c>
      <c r="E50" s="283">
        <v>16</v>
      </c>
      <c r="F50" s="283" t="s">
        <v>258</v>
      </c>
      <c r="G50" s="277" t="s">
        <v>151</v>
      </c>
      <c r="H50" s="354"/>
      <c r="I50" s="285"/>
      <c r="J50" s="354"/>
      <c r="K50" s="285"/>
      <c r="L50" s="354"/>
      <c r="M50" s="492"/>
      <c r="N50" s="350">
        <f>N29+M50</f>
        <v>0</v>
      </c>
      <c r="O50" s="283"/>
      <c r="P50" s="354"/>
      <c r="Q50" s="283"/>
      <c r="R50" s="283"/>
      <c r="S50" s="354"/>
      <c r="T50" s="285"/>
      <c r="U50" s="283"/>
      <c r="V50" s="354"/>
      <c r="W50" s="283"/>
      <c r="X50" s="283"/>
      <c r="Y50" s="354"/>
      <c r="Z50" s="283"/>
    </row>
    <row r="51" spans="1:26">
      <c r="A51" s="303">
        <v>45174</v>
      </c>
      <c r="B51" s="575">
        <v>17246</v>
      </c>
      <c r="C51" s="418">
        <v>8546</v>
      </c>
      <c r="D51" s="365">
        <v>39902</v>
      </c>
      <c r="E51" s="283">
        <v>27</v>
      </c>
      <c r="F51" s="283" t="s">
        <v>422</v>
      </c>
      <c r="G51" s="283" t="s">
        <v>124</v>
      </c>
      <c r="H51" s="354"/>
      <c r="I51" s="286" t="s">
        <v>121</v>
      </c>
      <c r="J51" s="354"/>
      <c r="K51" s="286" t="s">
        <v>119</v>
      </c>
      <c r="L51" s="354"/>
      <c r="M51" s="285">
        <v>26581.08</v>
      </c>
      <c r="N51" s="336">
        <f>N34+M51</f>
        <v>106324.30500000001</v>
      </c>
      <c r="O51" s="286" t="s">
        <v>100</v>
      </c>
      <c r="P51" s="354"/>
      <c r="Q51" s="283"/>
      <c r="R51" s="283"/>
      <c r="S51" s="354"/>
      <c r="T51" s="283"/>
      <c r="U51" s="286" t="s">
        <v>100</v>
      </c>
      <c r="V51" s="354"/>
      <c r="W51" s="283"/>
      <c r="X51" s="286" t="s">
        <v>100</v>
      </c>
      <c r="Y51" s="354"/>
    </row>
    <row r="52" spans="1:26">
      <c r="A52" s="416">
        <v>45719</v>
      </c>
      <c r="B52" s="284"/>
      <c r="C52" s="284">
        <v>12428</v>
      </c>
      <c r="D52" s="328">
        <v>34962</v>
      </c>
      <c r="E52" s="283">
        <v>16</v>
      </c>
      <c r="F52" s="283" t="s">
        <v>230</v>
      </c>
      <c r="G52" s="283"/>
      <c r="H52" s="354"/>
      <c r="I52" s="285"/>
      <c r="J52" s="354"/>
      <c r="K52" s="285"/>
      <c r="L52" s="354"/>
      <c r="M52" s="350">
        <f>M37/10*40</f>
        <v>46955.24578136464</v>
      </c>
      <c r="N52" s="350">
        <f>N37+M52</f>
        <v>76302.274394717533</v>
      </c>
      <c r="O52" s="283"/>
      <c r="P52" s="354"/>
      <c r="Q52" s="283"/>
      <c r="R52" s="283"/>
      <c r="S52" s="354"/>
      <c r="T52" s="285"/>
      <c r="U52" s="283"/>
      <c r="V52" s="354"/>
      <c r="W52" s="283"/>
      <c r="X52" s="283"/>
      <c r="Y52" s="354"/>
      <c r="Z52" s="283"/>
    </row>
    <row r="53" spans="1:26">
      <c r="A53" s="290">
        <v>45979</v>
      </c>
      <c r="B53" s="277" t="s">
        <v>151</v>
      </c>
      <c r="C53" s="284">
        <v>12227</v>
      </c>
      <c r="D53" s="290">
        <v>42054</v>
      </c>
      <c r="E53" s="283">
        <v>22</v>
      </c>
      <c r="F53" s="283" t="s">
        <v>373</v>
      </c>
      <c r="G53" s="277" t="s">
        <v>151</v>
      </c>
      <c r="H53" s="354"/>
      <c r="I53" s="286"/>
      <c r="J53" s="354"/>
      <c r="K53" s="286"/>
      <c r="L53" s="355"/>
      <c r="M53" s="285"/>
      <c r="N53" s="285"/>
      <c r="O53" s="286"/>
      <c r="P53" s="354"/>
      <c r="Q53" s="286"/>
      <c r="R53" s="286"/>
      <c r="S53" s="354"/>
      <c r="T53" s="286"/>
      <c r="U53" s="286"/>
      <c r="V53" s="354"/>
      <c r="W53" s="286"/>
      <c r="X53" s="286"/>
      <c r="Y53" s="354"/>
      <c r="Z53" s="286"/>
    </row>
    <row r="54" spans="1:26">
      <c r="A54" s="453">
        <v>46738</v>
      </c>
      <c r="B54" s="277" t="s">
        <v>151</v>
      </c>
      <c r="C54" s="284" t="s">
        <v>199</v>
      </c>
      <c r="D54" s="328">
        <v>27106</v>
      </c>
      <c r="E54" s="283">
        <v>60</v>
      </c>
      <c r="F54" s="283" t="s">
        <v>271</v>
      </c>
      <c r="G54" s="283"/>
      <c r="H54" s="354"/>
      <c r="I54" s="285"/>
      <c r="J54" s="354"/>
      <c r="K54" s="285"/>
      <c r="L54" s="354"/>
      <c r="M54" s="350"/>
      <c r="N54" s="350"/>
      <c r="O54" s="283"/>
      <c r="P54" s="354"/>
      <c r="Q54" s="283"/>
      <c r="R54" s="283"/>
      <c r="S54" s="354"/>
      <c r="T54" s="285"/>
      <c r="U54" s="283"/>
      <c r="V54" s="354"/>
      <c r="W54" s="283"/>
      <c r="X54" s="283"/>
      <c r="Y54" s="354"/>
      <c r="Z54" s="283"/>
    </row>
    <row r="55" spans="1:26">
      <c r="A55" s="417">
        <v>47467</v>
      </c>
      <c r="B55" s="277" t="s">
        <v>151</v>
      </c>
      <c r="C55" s="284">
        <v>9307</v>
      </c>
      <c r="D55" s="290">
        <v>41988</v>
      </c>
      <c r="E55" s="283">
        <v>16</v>
      </c>
      <c r="F55" s="283" t="s">
        <v>240</v>
      </c>
      <c r="G55" s="283"/>
      <c r="H55" s="354"/>
      <c r="I55" s="285"/>
      <c r="J55" s="354"/>
      <c r="K55" s="285"/>
      <c r="L55" s="354"/>
      <c r="M55" s="350">
        <v>40903</v>
      </c>
      <c r="N55" s="350">
        <f>N41+M55*10</f>
        <v>449933</v>
      </c>
      <c r="O55" s="283"/>
      <c r="P55" s="354"/>
      <c r="Q55" s="283"/>
      <c r="R55" s="283"/>
      <c r="S55" s="354"/>
      <c r="T55" s="285"/>
      <c r="U55" s="283"/>
      <c r="V55" s="354"/>
      <c r="W55" s="283"/>
      <c r="X55" s="283"/>
      <c r="Y55" s="354"/>
      <c r="Z55" s="283"/>
    </row>
    <row r="56" spans="1:26">
      <c r="A56" s="417">
        <v>48204</v>
      </c>
      <c r="B56" s="277" t="s">
        <v>151</v>
      </c>
      <c r="C56" s="284">
        <v>5125</v>
      </c>
      <c r="D56" s="290">
        <v>39073</v>
      </c>
      <c r="E56" s="283">
        <v>16</v>
      </c>
      <c r="F56" s="283" t="s">
        <v>233</v>
      </c>
      <c r="G56" s="277" t="s">
        <v>151</v>
      </c>
      <c r="H56" s="354"/>
      <c r="I56" s="285"/>
      <c r="J56" s="354"/>
      <c r="K56" s="285"/>
      <c r="L56" s="354"/>
      <c r="M56" s="350">
        <f>M41/15*40</f>
        <v>109074.66666666667</v>
      </c>
      <c r="N56" s="350">
        <f>N50+M56</f>
        <v>109074.66666666667</v>
      </c>
      <c r="O56" s="283"/>
      <c r="P56" s="354"/>
      <c r="Q56" s="283"/>
      <c r="R56" s="283"/>
      <c r="S56" s="354"/>
      <c r="T56" s="285">
        <f t="shared" si="2"/>
        <v>0</v>
      </c>
      <c r="U56" s="283"/>
      <c r="V56" s="354"/>
      <c r="W56" s="283"/>
      <c r="X56" s="283"/>
      <c r="Y56" s="354"/>
      <c r="Z56" s="283"/>
    </row>
    <row r="57" spans="1:26">
      <c r="A57" s="290"/>
      <c r="B57" s="284"/>
      <c r="C57" s="284"/>
      <c r="D57" s="284"/>
      <c r="E57" s="283"/>
      <c r="F57" s="283"/>
      <c r="G57" s="283"/>
      <c r="H57" s="354"/>
      <c r="I57" s="285">
        <f>35216.43*340.75</f>
        <v>11999998.522500001</v>
      </c>
      <c r="J57" s="354"/>
      <c r="K57" s="285"/>
      <c r="L57" s="354"/>
      <c r="M57" s="285"/>
      <c r="N57" s="285"/>
      <c r="O57" s="283"/>
      <c r="P57" s="354"/>
      <c r="Q57" s="283"/>
      <c r="R57" s="283"/>
      <c r="S57" s="354"/>
      <c r="T57" s="285">
        <f t="shared" si="2"/>
        <v>0</v>
      </c>
      <c r="U57" s="283"/>
      <c r="V57" s="354"/>
      <c r="W57" s="283"/>
      <c r="X57" s="283"/>
      <c r="Y57" s="354"/>
      <c r="Z57" s="283"/>
    </row>
    <row r="58" spans="1:26">
      <c r="A58" s="416">
        <v>55946</v>
      </c>
      <c r="B58" s="277" t="s">
        <v>151</v>
      </c>
      <c r="C58" s="284" t="s">
        <v>231</v>
      </c>
      <c r="D58" s="290">
        <v>32394</v>
      </c>
      <c r="E58" s="283">
        <v>16</v>
      </c>
      <c r="F58" s="283" t="s">
        <v>229</v>
      </c>
      <c r="G58" s="277" t="s">
        <v>151</v>
      </c>
      <c r="H58" s="354"/>
      <c r="I58" s="285"/>
      <c r="J58" s="354"/>
      <c r="K58" s="285"/>
      <c r="L58" s="354"/>
      <c r="M58" s="350"/>
      <c r="N58" s="350"/>
      <c r="O58" s="283"/>
      <c r="P58" s="354"/>
      <c r="Q58" s="283"/>
      <c r="R58" s="283"/>
      <c r="S58" s="354"/>
      <c r="T58" s="285">
        <f t="shared" si="2"/>
        <v>0</v>
      </c>
      <c r="U58" s="283"/>
      <c r="V58" s="354"/>
      <c r="W58" s="283"/>
      <c r="X58" s="283"/>
      <c r="Y58" s="354"/>
      <c r="Z58" s="283"/>
    </row>
    <row r="59" spans="1:26">
      <c r="A59" s="416">
        <v>60329</v>
      </c>
      <c r="B59" s="284"/>
      <c r="C59" s="284">
        <v>12428</v>
      </c>
      <c r="D59" s="328">
        <v>34962</v>
      </c>
      <c r="E59" s="283">
        <v>16</v>
      </c>
      <c r="F59" s="283" t="s">
        <v>230</v>
      </c>
      <c r="G59" s="277"/>
      <c r="H59" s="354"/>
      <c r="I59" s="285"/>
      <c r="J59" s="354"/>
      <c r="K59" s="285"/>
      <c r="L59" s="354"/>
      <c r="M59" s="350"/>
      <c r="N59" s="350"/>
      <c r="O59" s="283"/>
      <c r="P59" s="354"/>
      <c r="Q59" s="283"/>
      <c r="R59" s="283"/>
      <c r="S59" s="354"/>
      <c r="T59" s="285"/>
      <c r="U59" s="283"/>
      <c r="V59" s="354"/>
      <c r="W59" s="283"/>
      <c r="X59" s="283"/>
      <c r="Y59" s="354"/>
      <c r="Z59" s="283"/>
    </row>
    <row r="60" spans="1:26">
      <c r="A60" s="290"/>
      <c r="B60" s="284"/>
      <c r="C60" s="284"/>
      <c r="D60" s="284"/>
      <c r="E60" s="283"/>
      <c r="F60" s="283"/>
      <c r="G60" s="283"/>
      <c r="H60" s="354"/>
      <c r="I60" s="285"/>
      <c r="J60" s="354"/>
      <c r="K60" s="285"/>
      <c r="L60" s="354"/>
      <c r="M60" s="285"/>
      <c r="N60" s="285"/>
      <c r="O60" s="283"/>
      <c r="P60" s="354"/>
      <c r="Q60" s="283"/>
      <c r="R60" s="283"/>
      <c r="S60" s="354"/>
      <c r="T60" s="285">
        <f t="shared" si="2"/>
        <v>0</v>
      </c>
      <c r="U60" s="283"/>
      <c r="V60" s="283"/>
      <c r="W60" s="283"/>
      <c r="X60" s="283"/>
      <c r="Y60" s="283"/>
      <c r="Z60" s="283"/>
    </row>
    <row r="62" spans="1:26">
      <c r="N62" s="406" t="s">
        <v>411</v>
      </c>
    </row>
    <row r="66" spans="9:9">
      <c r="I66" s="1" t="s">
        <v>371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J17"/>
  <sheetViews>
    <sheetView workbookViewId="0">
      <pane ySplit="1" topLeftCell="A2" activePane="bottomLeft" state="frozen"/>
      <selection pane="bottomLeft" activeCell="C18" sqref="C18"/>
    </sheetView>
  </sheetViews>
  <sheetFormatPr defaultRowHeight="11.25"/>
  <cols>
    <col min="1" max="1" width="6.88671875" style="291" bestFit="1" customWidth="1"/>
    <col min="2" max="2" width="6.33203125" style="41" bestFit="1" customWidth="1"/>
    <col min="3" max="3" width="6.33203125" style="41" customWidth="1"/>
    <col min="4" max="4" width="2.77734375" style="1" bestFit="1" customWidth="1"/>
    <col min="5" max="5" width="44.6640625" style="1" bestFit="1" customWidth="1"/>
    <col min="6" max="6" width="9.77734375" style="1" customWidth="1"/>
    <col min="7" max="7" width="8.21875" style="1" bestFit="1" customWidth="1"/>
    <col min="8" max="9" width="8" style="1" bestFit="1" customWidth="1"/>
    <col min="10" max="10" width="7.33203125" style="1" bestFit="1" customWidth="1"/>
    <col min="11" max="11" width="8" style="1" bestFit="1" customWidth="1"/>
    <col min="12" max="12" width="7.33203125" style="1" bestFit="1" customWidth="1"/>
    <col min="13" max="13" width="10.77734375" style="1" customWidth="1"/>
    <col min="14" max="14" width="17.109375" style="1" bestFit="1" customWidth="1"/>
    <col min="15" max="15" width="9.6640625" style="1" bestFit="1" customWidth="1"/>
    <col min="16" max="16" width="8" style="1" bestFit="1" customWidth="1"/>
    <col min="17" max="17" width="21.77734375" style="1" bestFit="1" customWidth="1"/>
    <col min="18" max="19" width="8" style="1" bestFit="1" customWidth="1"/>
    <col min="20" max="20" width="19.6640625" style="1" bestFit="1" customWidth="1"/>
    <col min="21" max="21" width="9.6640625" style="1" bestFit="1" customWidth="1"/>
    <col min="22" max="22" width="8.88671875" style="1"/>
    <col min="23" max="23" width="17" style="1" bestFit="1" customWidth="1"/>
    <col min="24" max="25" width="8.88671875" style="1"/>
    <col min="26" max="26" width="12.6640625" style="1" bestFit="1" customWidth="1"/>
    <col min="27" max="28" width="8.88671875" style="1"/>
    <col min="29" max="29" width="11" style="1" bestFit="1" customWidth="1"/>
    <col min="30" max="16384" width="8.88671875" style="1"/>
  </cols>
  <sheetData>
    <row r="1" spans="1:36" ht="22.5">
      <c r="A1" s="289" t="s">
        <v>107</v>
      </c>
      <c r="B1" s="277" t="s">
        <v>90</v>
      </c>
      <c r="C1" s="277" t="s">
        <v>104</v>
      </c>
      <c r="D1" s="276">
        <v>219</v>
      </c>
      <c r="E1" s="276" t="s">
        <v>93</v>
      </c>
      <c r="F1" s="278" t="s">
        <v>91</v>
      </c>
      <c r="G1" s="278" t="s">
        <v>92</v>
      </c>
      <c r="H1" s="278" t="s">
        <v>98</v>
      </c>
      <c r="I1" s="278" t="s">
        <v>92</v>
      </c>
      <c r="J1" s="278" t="s">
        <v>98</v>
      </c>
      <c r="K1" s="278" t="s">
        <v>92</v>
      </c>
      <c r="L1" s="278" t="s">
        <v>98</v>
      </c>
      <c r="M1" s="309" t="s">
        <v>118</v>
      </c>
      <c r="N1" s="309" t="s">
        <v>126</v>
      </c>
      <c r="O1" s="288" t="s">
        <v>106</v>
      </c>
      <c r="P1" s="288" t="s">
        <v>98</v>
      </c>
      <c r="Q1" s="279" t="s">
        <v>120</v>
      </c>
      <c r="R1" s="280" t="s">
        <v>92</v>
      </c>
      <c r="S1" s="280" t="s">
        <v>98</v>
      </c>
      <c r="T1" s="279" t="s">
        <v>120</v>
      </c>
      <c r="U1" s="280" t="s">
        <v>92</v>
      </c>
      <c r="V1" s="280" t="s">
        <v>98</v>
      </c>
      <c r="W1" s="279" t="s">
        <v>120</v>
      </c>
      <c r="X1" s="280" t="s">
        <v>92</v>
      </c>
      <c r="Y1" s="280" t="s">
        <v>98</v>
      </c>
      <c r="Z1" s="279" t="s">
        <v>120</v>
      </c>
      <c r="AA1" s="280" t="s">
        <v>92</v>
      </c>
      <c r="AB1" s="280" t="s">
        <v>98</v>
      </c>
      <c r="AC1" s="279" t="s">
        <v>120</v>
      </c>
      <c r="AD1" s="280" t="s">
        <v>92</v>
      </c>
      <c r="AE1" s="280" t="s">
        <v>98</v>
      </c>
      <c r="AF1" s="283"/>
      <c r="AG1" s="283"/>
      <c r="AH1" s="283"/>
      <c r="AI1" s="283"/>
      <c r="AJ1" s="283"/>
    </row>
    <row r="2" spans="1:36">
      <c r="A2" s="290"/>
      <c r="B2" s="284"/>
      <c r="C2" s="284"/>
      <c r="D2" s="283"/>
      <c r="E2" s="283"/>
      <c r="F2" s="283"/>
      <c r="G2" s="283"/>
      <c r="H2" s="285">
        <f>G2/340.75</f>
        <v>0</v>
      </c>
      <c r="I2" s="284"/>
      <c r="J2" s="285">
        <f t="shared" ref="J2:L6" si="0">I2/340.75</f>
        <v>0</v>
      </c>
      <c r="K2" s="284"/>
      <c r="L2" s="285">
        <f t="shared" si="0"/>
        <v>0</v>
      </c>
      <c r="M2" s="285"/>
      <c r="N2" s="285"/>
      <c r="O2" s="284"/>
      <c r="P2" s="285">
        <f t="shared" ref="P2:P4" si="1">O2/340.75</f>
        <v>0</v>
      </c>
      <c r="Q2" s="285" t="s">
        <v>387</v>
      </c>
      <c r="R2" s="284">
        <v>40000</v>
      </c>
      <c r="S2" s="285">
        <f>R2/340.75</f>
        <v>117.38811445341159</v>
      </c>
      <c r="T2" s="283"/>
      <c r="U2" s="283"/>
      <c r="V2" s="283"/>
      <c r="W2" s="283"/>
      <c r="X2" s="283"/>
      <c r="Y2" s="285">
        <f>X2/340.75</f>
        <v>0</v>
      </c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</row>
    <row r="3" spans="1:36">
      <c r="A3" s="290">
        <v>26597</v>
      </c>
      <c r="B3" s="284">
        <v>11111</v>
      </c>
      <c r="C3" s="391"/>
      <c r="D3" s="283">
        <v>27</v>
      </c>
      <c r="E3" s="283" t="s">
        <v>385</v>
      </c>
      <c r="F3" s="283" t="s">
        <v>186</v>
      </c>
      <c r="G3" s="284">
        <v>40000</v>
      </c>
      <c r="H3" s="285">
        <f>G3/340.75</f>
        <v>117.38811445341159</v>
      </c>
      <c r="I3" s="284"/>
      <c r="J3" s="285">
        <f t="shared" si="0"/>
        <v>0</v>
      </c>
      <c r="K3" s="284"/>
      <c r="L3" s="285">
        <f t="shared" si="0"/>
        <v>0</v>
      </c>
      <c r="M3" s="286" t="s">
        <v>119</v>
      </c>
      <c r="N3" s="285"/>
      <c r="O3" s="284"/>
      <c r="P3" s="285">
        <f t="shared" si="1"/>
        <v>0</v>
      </c>
      <c r="Q3" s="285"/>
      <c r="R3" s="284"/>
      <c r="S3" s="285">
        <f t="shared" ref="S3:S4" si="2">R3/340.75</f>
        <v>0</v>
      </c>
      <c r="T3" s="283"/>
      <c r="U3" s="283"/>
      <c r="V3" s="283"/>
      <c r="W3" s="283"/>
      <c r="X3" s="283"/>
      <c r="Y3" s="285">
        <f t="shared" ref="Y3:Y12" si="3">X3/340.75</f>
        <v>0</v>
      </c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</row>
    <row r="4" spans="1:36">
      <c r="A4" s="290">
        <v>33042</v>
      </c>
      <c r="B4" s="576" t="s">
        <v>471</v>
      </c>
      <c r="C4" s="391"/>
      <c r="D4" s="283">
        <v>23</v>
      </c>
      <c r="E4" s="283" t="s">
        <v>472</v>
      </c>
      <c r="F4" s="283" t="s">
        <v>95</v>
      </c>
      <c r="G4" s="284">
        <v>15000</v>
      </c>
      <c r="H4" s="285">
        <f>G4/340.75</f>
        <v>44.020542920029349</v>
      </c>
      <c r="I4" s="418">
        <v>1000000</v>
      </c>
      <c r="J4" s="369">
        <f t="shared" si="0"/>
        <v>2934.70286133529</v>
      </c>
      <c r="K4" s="369">
        <v>47920</v>
      </c>
      <c r="L4" s="285">
        <f t="shared" si="0"/>
        <v>140.63096111518709</v>
      </c>
      <c r="M4" s="286" t="s">
        <v>119</v>
      </c>
      <c r="N4" s="283"/>
      <c r="O4" s="284">
        <v>1062920</v>
      </c>
      <c r="P4" s="285">
        <f t="shared" si="1"/>
        <v>3119.3543653705065</v>
      </c>
      <c r="Q4" s="285" t="s">
        <v>477</v>
      </c>
      <c r="R4" s="284">
        <v>15000</v>
      </c>
      <c r="S4" s="285">
        <f t="shared" si="2"/>
        <v>44.020542920029349</v>
      </c>
      <c r="T4" s="322" t="s">
        <v>476</v>
      </c>
      <c r="U4" s="284">
        <v>1000000</v>
      </c>
      <c r="V4" s="285">
        <f t="shared" ref="V4" si="4">U4/340.75</f>
        <v>2934.70286133529</v>
      </c>
      <c r="W4" s="322" t="s">
        <v>478</v>
      </c>
      <c r="X4" s="284">
        <v>47920</v>
      </c>
      <c r="Y4" s="285">
        <f t="shared" si="3"/>
        <v>140.63096111518709</v>
      </c>
      <c r="Z4" s="283"/>
      <c r="AA4" s="283"/>
      <c r="AB4" s="283"/>
      <c r="AC4" s="283"/>
      <c r="AD4" s="283"/>
      <c r="AE4" s="283"/>
      <c r="AF4" s="283"/>
      <c r="AG4" s="283"/>
      <c r="AH4" s="283"/>
    </row>
    <row r="5" spans="1:36">
      <c r="A5" s="290"/>
      <c r="B5" s="284"/>
      <c r="C5" s="284"/>
      <c r="D5" s="283"/>
      <c r="E5" s="283"/>
      <c r="F5" s="283"/>
      <c r="G5" s="355"/>
      <c r="H5" s="283"/>
      <c r="I5" s="355"/>
      <c r="J5" s="285"/>
      <c r="K5" s="355"/>
      <c r="L5" s="285">
        <f t="shared" si="0"/>
        <v>0</v>
      </c>
      <c r="M5" s="285"/>
      <c r="N5" s="285"/>
      <c r="O5" s="349"/>
      <c r="P5" s="285"/>
      <c r="Q5" s="285"/>
      <c r="R5" s="349"/>
      <c r="S5" s="285"/>
      <c r="T5" s="283"/>
      <c r="U5" s="283"/>
      <c r="V5" s="283"/>
      <c r="W5" s="283"/>
      <c r="X5" s="283"/>
      <c r="Y5" s="285"/>
      <c r="Z5" s="283"/>
      <c r="AA5" s="283"/>
      <c r="AB5" s="283"/>
      <c r="AC5" s="283"/>
      <c r="AD5" s="283"/>
      <c r="AE5" s="283"/>
      <c r="AF5" s="283"/>
      <c r="AG5" s="283"/>
      <c r="AH5" s="283"/>
      <c r="AI5" s="691"/>
      <c r="AJ5" s="283"/>
    </row>
    <row r="6" spans="1:36">
      <c r="A6" s="290"/>
      <c r="B6" s="284"/>
      <c r="C6" s="284"/>
      <c r="D6" s="283"/>
      <c r="E6" s="283"/>
      <c r="F6" s="283"/>
      <c r="G6" s="355"/>
      <c r="H6" s="283"/>
      <c r="I6" s="355"/>
      <c r="J6" s="285"/>
      <c r="K6" s="355"/>
      <c r="L6" s="285">
        <f t="shared" si="0"/>
        <v>0</v>
      </c>
      <c r="M6" s="285"/>
      <c r="N6" s="285"/>
      <c r="O6" s="349"/>
      <c r="P6" s="285"/>
      <c r="Q6" s="285"/>
      <c r="R6" s="349"/>
      <c r="S6" s="285"/>
      <c r="T6" s="283"/>
      <c r="U6" s="283"/>
      <c r="V6" s="283"/>
      <c r="W6" s="283"/>
      <c r="X6" s="283"/>
      <c r="Y6" s="285"/>
      <c r="Z6" s="283"/>
      <c r="AA6" s="283"/>
      <c r="AB6" s="283"/>
      <c r="AC6" s="283"/>
      <c r="AD6" s="283"/>
      <c r="AE6" s="283"/>
      <c r="AF6" s="283"/>
      <c r="AG6" s="283"/>
      <c r="AH6" s="283"/>
      <c r="AI6" s="691"/>
      <c r="AJ6" s="283"/>
    </row>
    <row r="7" spans="1:36">
      <c r="A7" s="290">
        <v>39902</v>
      </c>
      <c r="B7" s="284">
        <v>8546</v>
      </c>
      <c r="C7" s="391"/>
      <c r="D7" s="283">
        <v>27</v>
      </c>
      <c r="E7" s="283" t="s">
        <v>405</v>
      </c>
      <c r="F7" s="283" t="s">
        <v>124</v>
      </c>
      <c r="G7" s="403"/>
      <c r="H7" s="285">
        <v>31897.29</v>
      </c>
      <c r="I7" s="403"/>
      <c r="J7" s="285"/>
      <c r="K7" s="403"/>
      <c r="L7" s="285"/>
      <c r="M7" s="286" t="s">
        <v>119</v>
      </c>
      <c r="N7" s="285" t="s">
        <v>407</v>
      </c>
      <c r="O7" s="349"/>
      <c r="P7" s="285">
        <v>31897.29</v>
      </c>
      <c r="Q7" s="285" t="s">
        <v>406</v>
      </c>
      <c r="R7" s="349"/>
      <c r="S7" s="285">
        <v>31897.29</v>
      </c>
      <c r="T7" s="283"/>
      <c r="U7" s="283"/>
      <c r="V7" s="283"/>
      <c r="W7" s="283"/>
      <c r="X7" s="283"/>
      <c r="Y7" s="285"/>
      <c r="Z7" s="283"/>
      <c r="AA7" s="283"/>
      <c r="AB7" s="283"/>
      <c r="AC7" s="283"/>
      <c r="AD7" s="283"/>
      <c r="AE7" s="283"/>
      <c r="AF7" s="283"/>
      <c r="AG7" s="283"/>
      <c r="AH7" s="283"/>
      <c r="AI7" s="283"/>
      <c r="AJ7" s="283"/>
    </row>
    <row r="8" spans="1:36">
      <c r="A8" s="290"/>
      <c r="B8" s="284"/>
      <c r="C8" s="284"/>
      <c r="D8" s="283"/>
      <c r="E8" s="283"/>
      <c r="F8" s="283"/>
      <c r="G8" s="355"/>
      <c r="H8" s="283"/>
      <c r="I8" s="355"/>
      <c r="J8" s="285"/>
      <c r="K8" s="355"/>
      <c r="L8" s="285"/>
      <c r="M8" s="285"/>
      <c r="N8" s="285"/>
      <c r="O8" s="349"/>
      <c r="P8" s="285"/>
      <c r="Q8" s="285"/>
      <c r="R8" s="349"/>
      <c r="S8" s="285"/>
      <c r="T8" s="283"/>
      <c r="U8" s="283"/>
      <c r="V8" s="283"/>
      <c r="W8" s="283"/>
      <c r="X8" s="283"/>
      <c r="Y8" s="285">
        <f t="shared" si="3"/>
        <v>0</v>
      </c>
      <c r="Z8" s="283"/>
      <c r="AA8" s="283"/>
      <c r="AB8" s="283"/>
      <c r="AC8" s="283"/>
      <c r="AD8" s="283"/>
      <c r="AE8" s="283"/>
      <c r="AF8" s="283"/>
      <c r="AG8" s="283"/>
      <c r="AH8" s="283"/>
      <c r="AI8" s="283"/>
      <c r="AJ8" s="283"/>
    </row>
    <row r="9" spans="1:36">
      <c r="A9" s="290">
        <v>44061</v>
      </c>
      <c r="B9" s="284">
        <v>15884</v>
      </c>
      <c r="C9" s="284">
        <v>12428</v>
      </c>
      <c r="D9" s="283">
        <v>16</v>
      </c>
      <c r="E9" s="283" t="s">
        <v>122</v>
      </c>
      <c r="F9" s="283" t="s">
        <v>124</v>
      </c>
      <c r="G9" s="402"/>
      <c r="H9" s="287" t="s">
        <v>105</v>
      </c>
      <c r="I9" s="402"/>
      <c r="J9" s="285">
        <v>7336.76</v>
      </c>
      <c r="K9" s="402"/>
      <c r="L9" s="285">
        <v>71.98</v>
      </c>
      <c r="M9" s="286" t="s">
        <v>119</v>
      </c>
      <c r="N9" s="285" t="s">
        <v>215</v>
      </c>
      <c r="O9" s="349"/>
      <c r="P9" s="369">
        <v>7408.74</v>
      </c>
      <c r="Q9" s="285" t="s">
        <v>216</v>
      </c>
      <c r="R9" s="349"/>
      <c r="S9" s="369">
        <v>7408.74</v>
      </c>
      <c r="T9" s="283" t="s">
        <v>162</v>
      </c>
      <c r="U9" s="286" t="s">
        <v>121</v>
      </c>
      <c r="V9" s="283"/>
      <c r="W9" s="283" t="s">
        <v>163</v>
      </c>
      <c r="X9" s="286" t="s">
        <v>100</v>
      </c>
      <c r="Y9" s="285"/>
      <c r="Z9" s="283" t="s">
        <v>214</v>
      </c>
      <c r="AA9" s="286" t="s">
        <v>121</v>
      </c>
      <c r="AB9" s="283"/>
      <c r="AC9" s="286" t="s">
        <v>100</v>
      </c>
      <c r="AD9" s="286"/>
      <c r="AE9" s="283"/>
      <c r="AF9" s="283"/>
      <c r="AG9" s="283"/>
      <c r="AH9" s="283"/>
      <c r="AI9" s="283"/>
      <c r="AJ9" s="283"/>
    </row>
    <row r="10" spans="1:36">
      <c r="A10" s="290"/>
      <c r="B10" s="284"/>
      <c r="C10" s="284"/>
      <c r="D10" s="283"/>
      <c r="E10" s="283"/>
      <c r="F10" s="283"/>
      <c r="G10" s="355"/>
      <c r="H10" s="283"/>
      <c r="I10" s="355"/>
      <c r="J10" s="285"/>
      <c r="K10" s="355"/>
      <c r="L10" s="285"/>
      <c r="M10" s="285"/>
      <c r="N10" s="285"/>
      <c r="O10" s="349"/>
      <c r="P10" s="285"/>
      <c r="Q10" s="285"/>
      <c r="R10" s="349"/>
      <c r="S10" s="285"/>
      <c r="T10" s="283"/>
      <c r="U10" s="283"/>
      <c r="V10" s="283"/>
      <c r="W10" s="283"/>
      <c r="X10" s="283"/>
      <c r="Y10" s="285">
        <f t="shared" si="3"/>
        <v>0</v>
      </c>
      <c r="Z10" s="283"/>
      <c r="AA10" s="283"/>
      <c r="AB10" s="283"/>
      <c r="AC10" s="283"/>
      <c r="AD10" s="283"/>
      <c r="AE10" s="283"/>
      <c r="AF10" s="283"/>
      <c r="AG10" s="283"/>
      <c r="AH10" s="283"/>
      <c r="AI10" s="283"/>
      <c r="AJ10" s="283"/>
    </row>
    <row r="11" spans="1:36">
      <c r="A11" s="290"/>
      <c r="B11" s="284"/>
      <c r="C11" s="284"/>
      <c r="D11" s="283"/>
      <c r="E11" s="283"/>
      <c r="F11" s="283"/>
      <c r="G11" s="355"/>
      <c r="H11" s="283"/>
      <c r="I11" s="355"/>
      <c r="J11" s="285"/>
      <c r="K11" s="355"/>
      <c r="L11" s="285"/>
      <c r="M11" s="285"/>
      <c r="N11" s="285"/>
      <c r="O11" s="349"/>
      <c r="P11" s="285"/>
      <c r="Q11" s="285"/>
      <c r="R11" s="349"/>
      <c r="S11" s="285"/>
      <c r="T11" s="283"/>
      <c r="U11" s="283"/>
      <c r="V11" s="283"/>
      <c r="W11" s="283"/>
      <c r="X11" s="283"/>
      <c r="Y11" s="285">
        <f t="shared" si="3"/>
        <v>0</v>
      </c>
      <c r="Z11" s="283"/>
      <c r="AA11" s="283"/>
      <c r="AB11" s="283"/>
      <c r="AC11" s="283"/>
      <c r="AD11" s="283"/>
      <c r="AE11" s="283"/>
      <c r="AF11" s="283"/>
      <c r="AG11" s="283"/>
      <c r="AH11" s="283"/>
      <c r="AI11" s="283"/>
      <c r="AJ11" s="283"/>
    </row>
    <row r="12" spans="1:36">
      <c r="A12" s="290"/>
      <c r="B12" s="284"/>
      <c r="C12" s="284"/>
      <c r="D12" s="283"/>
      <c r="E12" s="283"/>
      <c r="F12" s="283"/>
      <c r="G12" s="355"/>
      <c r="H12" s="283"/>
      <c r="I12" s="355"/>
      <c r="J12" s="285"/>
      <c r="K12" s="355"/>
      <c r="L12" s="285"/>
      <c r="M12" s="285"/>
      <c r="N12" s="285"/>
      <c r="O12" s="349"/>
      <c r="P12" s="285"/>
      <c r="Q12" s="285"/>
      <c r="R12" s="349"/>
      <c r="S12" s="285"/>
      <c r="T12" s="283"/>
      <c r="U12" s="283"/>
      <c r="V12" s="283"/>
      <c r="W12" s="283"/>
      <c r="X12" s="283"/>
      <c r="Y12" s="285">
        <f t="shared" si="3"/>
        <v>0</v>
      </c>
      <c r="Z12" s="283"/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</row>
    <row r="17" spans="5:18">
      <c r="E17" s="343" t="s">
        <v>168</v>
      </c>
      <c r="R17" s="692">
        <f>R4+U4+X4</f>
        <v>1062920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42"/>
  <sheetViews>
    <sheetView workbookViewId="0">
      <pane ySplit="2" topLeftCell="A3" activePane="bottomLeft" state="frozen"/>
      <selection pane="bottomLeft" activeCell="D28" sqref="D28"/>
    </sheetView>
  </sheetViews>
  <sheetFormatPr defaultRowHeight="11.25"/>
  <cols>
    <col min="1" max="1" width="27.109375" style="1" bestFit="1" customWidth="1"/>
    <col min="2" max="2" width="6.88671875" style="1" customWidth="1"/>
    <col min="3" max="3" width="10.109375" style="1" customWidth="1"/>
    <col min="4" max="4" width="11.33203125" style="1" customWidth="1"/>
    <col min="5" max="5" width="7.33203125" style="1" customWidth="1"/>
    <col min="6" max="6" width="8" style="1" customWidth="1"/>
    <col min="7" max="7" width="6.88671875" style="1" bestFit="1" customWidth="1"/>
    <col min="8" max="9" width="11.109375" style="1" customWidth="1"/>
    <col min="10" max="10" width="9.33203125" style="1" customWidth="1"/>
    <col min="11" max="11" width="23.33203125" style="1" bestFit="1" customWidth="1"/>
    <col min="12" max="12" width="28.88671875" style="1" bestFit="1" customWidth="1"/>
    <col min="13" max="13" width="11.33203125" style="1" bestFit="1" customWidth="1"/>
    <col min="14" max="14" width="6.88671875" style="1" bestFit="1" customWidth="1"/>
    <col min="15" max="15" width="11.109375" style="1" customWidth="1"/>
    <col min="16" max="16" width="27.5546875" style="1" bestFit="1" customWidth="1"/>
    <col min="17" max="17" width="7.5546875" style="1" customWidth="1"/>
    <col min="18" max="18" width="8.33203125" style="1" bestFit="1" customWidth="1"/>
    <col min="19" max="19" width="8.77734375" style="1" customWidth="1"/>
    <col min="20" max="20" width="21.88671875" style="1" bestFit="1" customWidth="1"/>
    <col min="21" max="21" width="28.88671875" style="1" bestFit="1" customWidth="1"/>
    <col min="22" max="22" width="39.21875" style="1" bestFit="1" customWidth="1"/>
    <col min="23" max="23" width="29" style="1" bestFit="1" customWidth="1"/>
    <col min="24" max="16384" width="8.88671875" style="1"/>
  </cols>
  <sheetData>
    <row r="1" spans="1:26">
      <c r="A1" s="1364" t="s">
        <v>93</v>
      </c>
      <c r="B1" s="1358" t="s">
        <v>128</v>
      </c>
      <c r="C1" s="1359"/>
      <c r="D1" s="1359"/>
      <c r="E1" s="1359"/>
      <c r="F1" s="1360"/>
      <c r="G1" s="1361" t="s">
        <v>159</v>
      </c>
      <c r="H1" s="1362"/>
      <c r="I1" s="1362"/>
      <c r="J1" s="1362"/>
      <c r="K1" s="1362"/>
      <c r="L1" s="1362"/>
      <c r="M1" s="1363"/>
      <c r="N1" s="1366" t="s">
        <v>137</v>
      </c>
      <c r="O1" s="1367"/>
      <c r="P1" s="1367"/>
      <c r="Q1" s="1367"/>
      <c r="R1" s="1367"/>
      <c r="S1" s="1367"/>
      <c r="T1" s="1367"/>
      <c r="U1" s="1367"/>
      <c r="V1" s="1367"/>
      <c r="W1" s="1367"/>
      <c r="X1" s="329"/>
      <c r="Y1" s="329"/>
      <c r="Z1" s="283"/>
    </row>
    <row r="2" spans="1:26" ht="34.5" thickBot="1">
      <c r="A2" s="1365"/>
      <c r="B2" s="283" t="s">
        <v>129</v>
      </c>
      <c r="C2" s="331" t="s">
        <v>131</v>
      </c>
      <c r="D2" s="331" t="s">
        <v>130</v>
      </c>
      <c r="E2" s="332" t="s">
        <v>138</v>
      </c>
      <c r="F2" s="332" t="s">
        <v>141</v>
      </c>
      <c r="G2" s="331" t="s">
        <v>129</v>
      </c>
      <c r="H2" s="332" t="s">
        <v>139</v>
      </c>
      <c r="I2" s="332" t="s">
        <v>138</v>
      </c>
      <c r="J2" s="332" t="s">
        <v>141</v>
      </c>
      <c r="K2" s="331" t="s">
        <v>130</v>
      </c>
      <c r="L2" s="332" t="s">
        <v>140</v>
      </c>
      <c r="M2" s="331" t="s">
        <v>132</v>
      </c>
      <c r="N2" s="331" t="s">
        <v>129</v>
      </c>
      <c r="O2" s="332" t="s">
        <v>139</v>
      </c>
      <c r="P2" s="332" t="s">
        <v>143</v>
      </c>
      <c r="Q2" s="332" t="s">
        <v>147</v>
      </c>
      <c r="R2" s="332" t="s">
        <v>149</v>
      </c>
      <c r="S2" s="332" t="s">
        <v>148</v>
      </c>
      <c r="T2" s="331" t="s">
        <v>145</v>
      </c>
      <c r="U2" s="331" t="s">
        <v>150</v>
      </c>
      <c r="V2" s="332" t="s">
        <v>152</v>
      </c>
      <c r="W2" s="332" t="s">
        <v>157</v>
      </c>
      <c r="X2" s="333"/>
      <c r="Y2" s="333"/>
      <c r="Z2" s="331"/>
    </row>
    <row r="3" spans="1:26">
      <c r="A3" s="353" t="s">
        <v>133</v>
      </c>
      <c r="B3" s="365"/>
      <c r="C3" s="342"/>
      <c r="D3" s="342"/>
      <c r="E3" s="341"/>
      <c r="F3" s="341"/>
      <c r="G3" s="366"/>
      <c r="H3" s="342"/>
      <c r="I3" s="341"/>
      <c r="J3" s="341"/>
      <c r="K3" s="367"/>
      <c r="L3" s="342"/>
      <c r="M3" s="295"/>
      <c r="N3" s="376">
        <v>39799</v>
      </c>
      <c r="O3" s="295" t="s">
        <v>142</v>
      </c>
      <c r="P3" s="295" t="s">
        <v>184</v>
      </c>
      <c r="Q3" s="330">
        <v>3000</v>
      </c>
      <c r="R3" s="335"/>
      <c r="S3" s="335"/>
      <c r="T3" s="295" t="s">
        <v>146</v>
      </c>
      <c r="U3" s="295"/>
      <c r="V3" s="295"/>
      <c r="W3" s="295"/>
      <c r="X3" s="295"/>
      <c r="Y3" s="295"/>
      <c r="Z3" s="295"/>
    </row>
    <row r="4" spans="1:26">
      <c r="A4" s="353"/>
      <c r="B4" s="365"/>
      <c r="C4" s="368"/>
      <c r="D4" s="368"/>
      <c r="E4" s="369"/>
      <c r="F4" s="369"/>
      <c r="G4" s="370"/>
      <c r="H4" s="368"/>
      <c r="I4" s="369"/>
      <c r="J4" s="369"/>
      <c r="K4" s="367"/>
      <c r="L4" s="342"/>
      <c r="M4" s="283"/>
      <c r="N4" s="353"/>
      <c r="O4" s="283"/>
      <c r="P4" s="283"/>
      <c r="Q4" s="285"/>
      <c r="R4" s="336"/>
      <c r="S4" s="336"/>
      <c r="T4" s="295" t="s">
        <v>170</v>
      </c>
      <c r="U4" s="295"/>
      <c r="V4" s="295"/>
      <c r="W4" s="295"/>
      <c r="X4" s="283"/>
      <c r="Y4" s="283"/>
      <c r="Z4" s="283"/>
    </row>
    <row r="5" spans="1:26" ht="12" thickBot="1">
      <c r="A5" s="353"/>
      <c r="B5" s="371"/>
      <c r="C5" s="333"/>
      <c r="D5" s="333"/>
      <c r="E5" s="372"/>
      <c r="F5" s="372"/>
      <c r="G5" s="373"/>
      <c r="H5" s="333"/>
      <c r="I5" s="372"/>
      <c r="J5" s="372"/>
      <c r="K5" s="374"/>
      <c r="L5" s="333"/>
      <c r="M5" s="331"/>
      <c r="N5" s="382"/>
      <c r="O5" s="331"/>
      <c r="P5" s="331"/>
      <c r="Q5" s="351"/>
      <c r="R5" s="331"/>
      <c r="S5" s="331"/>
      <c r="T5" s="331" t="s">
        <v>171</v>
      </c>
      <c r="U5" s="331"/>
      <c r="V5" s="331"/>
      <c r="W5" s="331"/>
      <c r="X5" s="331"/>
      <c r="Y5" s="331"/>
      <c r="Z5" s="331"/>
    </row>
    <row r="6" spans="1:26">
      <c r="A6" s="353"/>
      <c r="B6" s="375">
        <v>41988</v>
      </c>
      <c r="C6" s="295" t="s">
        <v>136</v>
      </c>
      <c r="D6" s="295" t="s">
        <v>134</v>
      </c>
      <c r="E6" s="341">
        <v>8303.7199999999993</v>
      </c>
      <c r="F6" s="330">
        <v>64340.05</v>
      </c>
      <c r="G6" s="377">
        <v>42173</v>
      </c>
      <c r="H6" s="295" t="s">
        <v>135</v>
      </c>
      <c r="I6" s="334">
        <v>8303.7199999999993</v>
      </c>
      <c r="J6" s="330">
        <v>64340.05</v>
      </c>
      <c r="K6" s="363" t="s">
        <v>151</v>
      </c>
      <c r="L6" s="342" t="s">
        <v>153</v>
      </c>
      <c r="M6" s="295"/>
      <c r="N6" s="339" t="s">
        <v>151</v>
      </c>
      <c r="O6" s="339" t="s">
        <v>144</v>
      </c>
      <c r="P6" s="339" t="s">
        <v>172</v>
      </c>
      <c r="Q6" s="364"/>
      <c r="R6" s="338">
        <v>11303.72</v>
      </c>
      <c r="S6" s="338">
        <v>67206.720000000001</v>
      </c>
      <c r="T6" s="339"/>
      <c r="U6" s="339" t="s">
        <v>153</v>
      </c>
      <c r="V6" s="339" t="s">
        <v>175</v>
      </c>
      <c r="W6" s="339" t="s">
        <v>158</v>
      </c>
      <c r="X6" s="295"/>
      <c r="Y6" s="295"/>
      <c r="Z6" s="295"/>
    </row>
    <row r="7" spans="1:26">
      <c r="A7" s="353"/>
      <c r="B7" s="290"/>
      <c r="C7" s="283"/>
      <c r="D7" s="283"/>
      <c r="E7" s="285"/>
      <c r="F7" s="285"/>
      <c r="G7" s="383"/>
      <c r="H7" s="283"/>
      <c r="I7" s="285"/>
      <c r="J7" s="285"/>
      <c r="K7" s="363" t="s">
        <v>151</v>
      </c>
      <c r="L7" s="342" t="s">
        <v>154</v>
      </c>
      <c r="M7" s="283"/>
      <c r="N7" s="281"/>
      <c r="O7" s="281"/>
      <c r="P7" s="378" t="s">
        <v>173</v>
      </c>
      <c r="Q7" s="337"/>
      <c r="R7" s="340"/>
      <c r="S7" s="340"/>
      <c r="T7" s="339"/>
      <c r="U7" s="339" t="s">
        <v>176</v>
      </c>
      <c r="V7" s="339" t="s">
        <v>174</v>
      </c>
      <c r="W7" s="339" t="s">
        <v>178</v>
      </c>
      <c r="X7" s="283"/>
      <c r="Y7" s="283"/>
      <c r="Z7" s="283"/>
    </row>
    <row r="8" spans="1:26" ht="12" thickBot="1">
      <c r="A8" s="353"/>
      <c r="B8" s="290"/>
      <c r="C8" s="283"/>
      <c r="D8" s="283"/>
      <c r="E8" s="285"/>
      <c r="F8" s="285"/>
      <c r="G8" s="383"/>
      <c r="H8" s="283"/>
      <c r="I8" s="285"/>
      <c r="J8" s="285"/>
      <c r="K8" s="276" t="s">
        <v>151</v>
      </c>
      <c r="L8" s="368" t="s">
        <v>155</v>
      </c>
      <c r="M8" s="283"/>
      <c r="N8" s="301"/>
      <c r="O8" s="301"/>
      <c r="P8" s="301"/>
      <c r="Q8" s="352"/>
      <c r="R8" s="301"/>
      <c r="S8" s="301"/>
      <c r="T8" s="301"/>
      <c r="U8" s="301" t="s">
        <v>177</v>
      </c>
      <c r="V8" s="301" t="s">
        <v>156</v>
      </c>
      <c r="W8" s="301"/>
      <c r="X8" s="331"/>
      <c r="Y8" s="331"/>
      <c r="Z8" s="331"/>
    </row>
    <row r="9" spans="1:26">
      <c r="A9" s="353"/>
      <c r="B9" s="290"/>
      <c r="C9" s="283"/>
      <c r="D9" s="283"/>
      <c r="E9" s="285"/>
      <c r="F9" s="285"/>
      <c r="G9" s="383"/>
      <c r="H9" s="283"/>
      <c r="I9" s="285"/>
      <c r="J9" s="285"/>
      <c r="K9" s="283"/>
      <c r="L9" s="283"/>
      <c r="M9" s="283"/>
      <c r="N9" s="379" t="s">
        <v>151</v>
      </c>
      <c r="O9" s="379" t="s">
        <v>144</v>
      </c>
      <c r="P9" s="279" t="s">
        <v>184</v>
      </c>
      <c r="Q9" s="285"/>
      <c r="R9" s="283"/>
      <c r="S9" s="350">
        <v>167206.72</v>
      </c>
      <c r="T9" s="283"/>
      <c r="U9" s="295"/>
      <c r="V9" s="379" t="s">
        <v>179</v>
      </c>
      <c r="W9" s="379" t="s">
        <v>183</v>
      </c>
      <c r="X9" s="283"/>
      <c r="Y9" s="283"/>
      <c r="Z9" s="283"/>
    </row>
    <row r="10" spans="1:26">
      <c r="A10" s="353"/>
      <c r="B10" s="290"/>
      <c r="C10" s="283"/>
      <c r="D10" s="283"/>
      <c r="E10" s="285"/>
      <c r="F10" s="285"/>
      <c r="G10" s="383"/>
      <c r="H10" s="283"/>
      <c r="I10" s="285"/>
      <c r="J10" s="285"/>
      <c r="K10" s="283"/>
      <c r="L10" s="283"/>
      <c r="M10" s="283"/>
      <c r="N10" s="283"/>
      <c r="O10" s="283"/>
      <c r="P10" s="283"/>
      <c r="Q10" s="285"/>
      <c r="R10" s="283"/>
      <c r="S10" s="283"/>
      <c r="T10" s="283"/>
      <c r="U10" s="283"/>
      <c r="V10" s="379" t="s">
        <v>180</v>
      </c>
      <c r="W10" s="279" t="s">
        <v>182</v>
      </c>
      <c r="X10" s="283"/>
      <c r="Y10" s="283"/>
      <c r="Z10" s="283"/>
    </row>
    <row r="11" spans="1:26" ht="12" thickBot="1">
      <c r="A11" s="353"/>
      <c r="B11" s="290"/>
      <c r="C11" s="283"/>
      <c r="D11" s="283"/>
      <c r="E11" s="285"/>
      <c r="F11" s="285"/>
      <c r="G11" s="384"/>
      <c r="H11" s="331"/>
      <c r="I11" s="351"/>
      <c r="J11" s="351"/>
      <c r="K11" s="331"/>
      <c r="L11" s="331"/>
      <c r="M11" s="331"/>
      <c r="N11" s="331"/>
      <c r="O11" s="331"/>
      <c r="P11" s="331"/>
      <c r="Q11" s="351"/>
      <c r="R11" s="331"/>
      <c r="S11" s="380"/>
      <c r="T11" s="331"/>
      <c r="U11" s="331"/>
      <c r="V11" s="302" t="s">
        <v>181</v>
      </c>
      <c r="W11" s="331"/>
      <c r="X11" s="331"/>
      <c r="Y11" s="331"/>
      <c r="Z11" s="331"/>
    </row>
    <row r="12" spans="1:26">
      <c r="A12" s="353"/>
      <c r="B12" s="293"/>
      <c r="C12" s="295"/>
      <c r="D12" s="295"/>
      <c r="E12" s="330"/>
      <c r="F12" s="330"/>
      <c r="G12" s="396">
        <v>43188</v>
      </c>
      <c r="H12" s="295" t="s">
        <v>204</v>
      </c>
      <c r="I12" s="334">
        <v>8303.7199999999993</v>
      </c>
      <c r="J12" s="330">
        <v>64340.05</v>
      </c>
      <c r="K12" s="295"/>
      <c r="L12" s="295"/>
      <c r="M12" s="295"/>
      <c r="N12" s="396">
        <v>43188</v>
      </c>
      <c r="O12" s="295" t="s">
        <v>204</v>
      </c>
      <c r="P12" s="281" t="s">
        <v>184</v>
      </c>
      <c r="Q12" s="330"/>
      <c r="R12" s="330">
        <v>11303.72</v>
      </c>
      <c r="S12" s="337">
        <v>167206.72</v>
      </c>
      <c r="T12" s="295"/>
      <c r="U12" s="295"/>
      <c r="V12" s="339" t="s">
        <v>209</v>
      </c>
      <c r="W12" s="295"/>
      <c r="X12" s="295"/>
      <c r="Y12" s="295"/>
      <c r="Z12" s="295"/>
    </row>
    <row r="13" spans="1:26" ht="12" thickBot="1">
      <c r="A13" s="353"/>
      <c r="B13" s="290"/>
      <c r="C13" s="283"/>
      <c r="D13" s="283"/>
      <c r="E13" s="285"/>
      <c r="F13" s="285"/>
      <c r="G13" s="398"/>
      <c r="H13" s="331"/>
      <c r="I13" s="351"/>
      <c r="J13" s="351"/>
      <c r="K13" s="331"/>
      <c r="L13" s="331"/>
      <c r="M13" s="331"/>
      <c r="N13" s="331"/>
      <c r="O13" s="331"/>
      <c r="P13" s="331"/>
      <c r="Q13" s="351"/>
      <c r="R13" s="351"/>
      <c r="S13" s="380"/>
      <c r="T13" s="331"/>
      <c r="U13" s="331"/>
      <c r="V13" s="301" t="s">
        <v>205</v>
      </c>
      <c r="W13" s="301" t="s">
        <v>182</v>
      </c>
      <c r="X13" s="331"/>
      <c r="Y13" s="283"/>
      <c r="Z13" s="283"/>
    </row>
    <row r="14" spans="1:26">
      <c r="A14" s="353"/>
      <c r="B14" s="290"/>
      <c r="C14" s="283"/>
      <c r="D14" s="283"/>
      <c r="E14" s="285"/>
      <c r="F14" s="285"/>
      <c r="G14" s="377">
        <v>43521</v>
      </c>
      <c r="H14" s="295" t="s">
        <v>203</v>
      </c>
      <c r="I14" s="334">
        <v>8303.7199999999993</v>
      </c>
      <c r="J14" s="330">
        <v>64340.05</v>
      </c>
      <c r="K14" s="295"/>
      <c r="L14" s="342"/>
      <c r="M14" s="295"/>
      <c r="N14" s="396">
        <v>43521</v>
      </c>
      <c r="O14" s="295" t="s">
        <v>206</v>
      </c>
      <c r="P14" s="397" t="s">
        <v>202</v>
      </c>
      <c r="Q14" s="330"/>
      <c r="R14" s="330">
        <v>11303.72</v>
      </c>
      <c r="S14" s="401">
        <v>167206.72</v>
      </c>
      <c r="T14" s="342"/>
      <c r="U14" s="295"/>
      <c r="V14" s="379" t="s">
        <v>210</v>
      </c>
      <c r="W14" s="295"/>
      <c r="X14" s="295"/>
      <c r="Y14" s="283"/>
      <c r="Z14" s="283"/>
    </row>
    <row r="15" spans="1:26" ht="12" thickBot="1">
      <c r="A15" s="353"/>
      <c r="B15" s="290"/>
      <c r="C15" s="283"/>
      <c r="D15" s="283"/>
      <c r="E15" s="285"/>
      <c r="F15" s="285"/>
      <c r="G15" s="384"/>
      <c r="H15" s="331"/>
      <c r="I15" s="351"/>
      <c r="J15" s="351"/>
      <c r="K15" s="331"/>
      <c r="L15" s="333"/>
      <c r="M15" s="331"/>
      <c r="N15" s="331"/>
      <c r="O15" s="331"/>
      <c r="P15" s="331"/>
      <c r="Q15" s="351"/>
      <c r="R15" s="331"/>
      <c r="S15" s="331"/>
      <c r="T15" s="333"/>
      <c r="U15" s="331"/>
      <c r="V15" s="302" t="s">
        <v>211</v>
      </c>
      <c r="W15" s="279" t="s">
        <v>158</v>
      </c>
      <c r="X15" s="331"/>
      <c r="Y15" s="331"/>
      <c r="Z15" s="331"/>
    </row>
    <row r="16" spans="1:26">
      <c r="A16" s="353"/>
      <c r="B16" s="290"/>
      <c r="C16" s="283"/>
      <c r="D16" s="283"/>
      <c r="E16" s="285"/>
      <c r="F16" s="285"/>
      <c r="G16" s="396">
        <v>43521</v>
      </c>
      <c r="H16" s="295" t="s">
        <v>207</v>
      </c>
      <c r="I16" s="334">
        <v>8303.7199999999993</v>
      </c>
      <c r="J16" s="330">
        <v>64340.05</v>
      </c>
      <c r="K16" s="295"/>
      <c r="L16" s="342"/>
      <c r="M16" s="295"/>
      <c r="N16" s="396">
        <v>43521</v>
      </c>
      <c r="O16" s="295" t="s">
        <v>207</v>
      </c>
      <c r="P16" s="339" t="s">
        <v>208</v>
      </c>
      <c r="Q16" s="330"/>
      <c r="R16" s="330">
        <v>11303.72</v>
      </c>
      <c r="S16" s="337">
        <v>167206.72</v>
      </c>
      <c r="T16" s="342"/>
      <c r="U16" s="295"/>
      <c r="V16" s="399" t="s">
        <v>212</v>
      </c>
      <c r="W16" s="295"/>
      <c r="X16" s="295"/>
      <c r="Y16" s="295"/>
      <c r="Z16" s="295"/>
    </row>
    <row r="17" spans="1:26" ht="12" thickBot="1">
      <c r="A17" s="382"/>
      <c r="B17" s="404"/>
      <c r="C17" s="331"/>
      <c r="D17" s="331"/>
      <c r="E17" s="351"/>
      <c r="F17" s="351"/>
      <c r="G17" s="400"/>
      <c r="H17" s="331"/>
      <c r="I17" s="351"/>
      <c r="J17" s="351"/>
      <c r="K17" s="331"/>
      <c r="L17" s="333"/>
      <c r="M17" s="331"/>
      <c r="N17" s="331"/>
      <c r="O17" s="331"/>
      <c r="P17" s="331"/>
      <c r="Q17" s="351"/>
      <c r="R17" s="331"/>
      <c r="S17" s="331"/>
      <c r="T17" s="333"/>
      <c r="U17" s="331"/>
      <c r="V17" s="301" t="s">
        <v>213</v>
      </c>
      <c r="W17" s="301" t="s">
        <v>158</v>
      </c>
      <c r="X17" s="331"/>
      <c r="Y17" s="331"/>
      <c r="Z17" s="331"/>
    </row>
    <row r="18" spans="1:26">
      <c r="A18" s="295"/>
      <c r="B18" s="293"/>
      <c r="C18" s="295"/>
      <c r="D18" s="295"/>
      <c r="E18" s="330"/>
      <c r="F18" s="330"/>
      <c r="G18" s="381"/>
      <c r="H18" s="295"/>
      <c r="I18" s="330"/>
      <c r="J18" s="330"/>
      <c r="K18" s="295"/>
      <c r="L18" s="342"/>
      <c r="M18" s="295"/>
      <c r="N18" s="295"/>
      <c r="O18" s="295"/>
      <c r="P18" s="295"/>
      <c r="Q18" s="330"/>
      <c r="R18" s="295"/>
      <c r="S18" s="295"/>
      <c r="T18" s="342"/>
      <c r="U18" s="295"/>
      <c r="V18" s="283"/>
      <c r="W18" s="295"/>
      <c r="X18" s="295"/>
      <c r="Y18" s="295"/>
      <c r="Z18" s="295"/>
    </row>
    <row r="19" spans="1:26">
      <c r="A19" s="283"/>
      <c r="B19" s="290"/>
      <c r="C19" s="283"/>
      <c r="D19" s="283"/>
      <c r="E19" s="285"/>
      <c r="F19" s="285"/>
      <c r="G19" s="328"/>
      <c r="H19" s="283"/>
      <c r="I19" s="285"/>
      <c r="J19" s="285"/>
      <c r="K19" s="283"/>
      <c r="L19" s="368"/>
      <c r="M19" s="283"/>
      <c r="N19" s="283"/>
      <c r="O19" s="283"/>
      <c r="P19" s="283"/>
      <c r="Q19" s="285"/>
      <c r="R19" s="283"/>
      <c r="S19" s="283"/>
      <c r="T19" s="368"/>
      <c r="U19" s="283"/>
      <c r="V19" s="283"/>
      <c r="W19" s="283"/>
      <c r="X19" s="283"/>
      <c r="Y19" s="283"/>
      <c r="Z19" s="283"/>
    </row>
    <row r="20" spans="1:26">
      <c r="A20" s="283"/>
      <c r="B20" s="290"/>
      <c r="C20" s="283"/>
      <c r="D20" s="283"/>
      <c r="E20" s="285"/>
      <c r="F20" s="285"/>
      <c r="G20" s="328"/>
      <c r="H20" s="283"/>
      <c r="I20" s="285"/>
      <c r="J20" s="285"/>
      <c r="K20" s="283"/>
      <c r="L20" s="283"/>
      <c r="M20" s="283"/>
      <c r="N20" s="283"/>
      <c r="O20" s="283"/>
      <c r="P20" s="283"/>
      <c r="Q20" s="285"/>
      <c r="R20" s="283"/>
      <c r="S20" s="283"/>
      <c r="T20" s="368"/>
      <c r="U20" s="283"/>
      <c r="V20" s="283"/>
      <c r="W20" s="283"/>
      <c r="X20" s="283"/>
      <c r="Y20" s="283"/>
      <c r="Z20" s="283"/>
    </row>
    <row r="21" spans="1:26">
      <c r="A21" s="283"/>
      <c r="B21" s="290"/>
      <c r="C21" s="283"/>
      <c r="D21" s="283"/>
      <c r="E21" s="285"/>
      <c r="F21" s="285"/>
      <c r="G21" s="328"/>
      <c r="H21" s="283"/>
      <c r="I21" s="285"/>
      <c r="J21" s="285"/>
      <c r="K21" s="283"/>
      <c r="L21" s="283"/>
      <c r="M21" s="283"/>
      <c r="N21" s="283"/>
      <c r="O21" s="283"/>
      <c r="P21" s="283"/>
      <c r="Q21" s="285"/>
      <c r="R21" s="283"/>
      <c r="S21" s="283"/>
      <c r="T21" s="283"/>
      <c r="U21" s="283"/>
      <c r="V21" s="283"/>
      <c r="W21" s="283"/>
      <c r="X21" s="283"/>
      <c r="Y21" s="283"/>
      <c r="Z21" s="283"/>
    </row>
    <row r="22" spans="1:26">
      <c r="A22" s="283"/>
      <c r="B22" s="290"/>
      <c r="C22" s="283"/>
      <c r="D22" s="283"/>
      <c r="E22" s="285"/>
      <c r="F22" s="285"/>
      <c r="G22" s="328"/>
      <c r="H22" s="283"/>
      <c r="I22" s="285"/>
      <c r="J22" s="285"/>
      <c r="K22" s="283"/>
      <c r="L22" s="283"/>
      <c r="M22" s="283"/>
      <c r="N22" s="283"/>
      <c r="O22" s="283"/>
      <c r="P22" s="283"/>
      <c r="Q22" s="285"/>
      <c r="R22" s="283"/>
      <c r="S22" s="285"/>
      <c r="T22" s="283"/>
      <c r="U22" s="283"/>
      <c r="V22" s="283"/>
      <c r="W22" s="283"/>
      <c r="X22" s="283"/>
      <c r="Y22" s="283"/>
      <c r="Z22" s="283"/>
    </row>
    <row r="23" spans="1:26">
      <c r="A23" s="283"/>
      <c r="B23" s="290"/>
      <c r="C23" s="283"/>
      <c r="D23" s="283"/>
      <c r="E23" s="285"/>
      <c r="F23" s="285"/>
      <c r="G23" s="328"/>
      <c r="H23" s="283"/>
      <c r="I23" s="285"/>
      <c r="J23" s="285"/>
      <c r="K23" s="283"/>
      <c r="L23" s="283"/>
      <c r="M23" s="283"/>
      <c r="N23" s="283"/>
      <c r="O23" s="283"/>
      <c r="P23" s="283"/>
      <c r="Q23" s="285"/>
      <c r="R23" s="283"/>
      <c r="S23" s="283"/>
      <c r="T23" s="283"/>
      <c r="U23" s="283"/>
      <c r="V23" s="283"/>
      <c r="W23" s="283"/>
      <c r="X23" s="283"/>
      <c r="Y23" s="283"/>
      <c r="Z23" s="283"/>
    </row>
    <row r="24" spans="1:26">
      <c r="A24" s="283"/>
      <c r="B24" s="290"/>
      <c r="C24" s="283"/>
      <c r="D24" s="283"/>
      <c r="E24" s="285"/>
      <c r="F24" s="285"/>
      <c r="G24" s="328"/>
      <c r="H24" s="283"/>
      <c r="I24" s="285"/>
      <c r="J24" s="285"/>
      <c r="K24" s="283"/>
      <c r="L24" s="283"/>
      <c r="M24" s="283"/>
      <c r="N24" s="283"/>
      <c r="O24" s="283"/>
      <c r="P24" s="283"/>
      <c r="Q24" s="285"/>
      <c r="R24" s="283"/>
      <c r="S24" s="283"/>
      <c r="T24" s="283"/>
      <c r="U24" s="283"/>
      <c r="V24" s="283"/>
      <c r="W24" s="283"/>
      <c r="X24" s="283"/>
      <c r="Y24" s="283"/>
      <c r="Z24" s="283"/>
    </row>
    <row r="25" spans="1:26">
      <c r="A25" s="283"/>
      <c r="B25" s="290"/>
      <c r="C25" s="283"/>
      <c r="D25" s="283"/>
      <c r="E25" s="285"/>
      <c r="F25" s="285"/>
      <c r="G25" s="328"/>
      <c r="H25" s="283"/>
      <c r="I25" s="285"/>
      <c r="J25" s="285"/>
      <c r="K25" s="283"/>
      <c r="L25" s="283"/>
      <c r="M25" s="283"/>
      <c r="N25" s="283"/>
      <c r="O25" s="283"/>
      <c r="P25" s="283"/>
      <c r="Q25" s="285"/>
      <c r="R25" s="283"/>
      <c r="S25" s="283"/>
      <c r="T25" s="283"/>
      <c r="U25" s="283"/>
      <c r="V25" s="283"/>
      <c r="W25" s="283"/>
      <c r="X25" s="283"/>
      <c r="Y25" s="283"/>
      <c r="Z25" s="283"/>
    </row>
    <row r="26" spans="1:26">
      <c r="A26" s="283"/>
      <c r="B26" s="290"/>
      <c r="C26" s="283"/>
      <c r="D26" s="283"/>
      <c r="E26" s="285"/>
      <c r="F26" s="285"/>
      <c r="G26" s="328"/>
      <c r="H26" s="283"/>
      <c r="I26" s="285"/>
      <c r="J26" s="285"/>
      <c r="K26" s="283"/>
      <c r="L26" s="283"/>
      <c r="M26" s="283"/>
      <c r="N26" s="283"/>
      <c r="O26" s="283"/>
      <c r="P26" s="283"/>
      <c r="Q26" s="285"/>
      <c r="R26" s="283"/>
      <c r="S26" s="283"/>
      <c r="T26" s="283"/>
      <c r="U26" s="283"/>
      <c r="V26" s="283"/>
      <c r="W26" s="283"/>
      <c r="X26" s="283"/>
      <c r="Y26" s="283"/>
      <c r="Z26" s="283"/>
    </row>
    <row r="27" spans="1:26">
      <c r="A27" s="283"/>
      <c r="B27" s="290"/>
      <c r="C27" s="283"/>
      <c r="D27" s="283"/>
      <c r="E27" s="285"/>
      <c r="F27" s="285"/>
      <c r="G27" s="328"/>
      <c r="H27" s="283"/>
      <c r="I27" s="285"/>
      <c r="J27" s="285"/>
      <c r="K27" s="283"/>
      <c r="L27" s="283"/>
      <c r="M27" s="283"/>
      <c r="N27" s="283"/>
      <c r="O27" s="283"/>
      <c r="P27" s="283"/>
      <c r="Q27" s="285"/>
      <c r="R27" s="283"/>
      <c r="S27" s="283"/>
      <c r="T27" s="283"/>
      <c r="U27" s="283"/>
      <c r="V27" s="283"/>
      <c r="W27" s="283"/>
      <c r="X27" s="283"/>
      <c r="Y27" s="283"/>
      <c r="Z27" s="283"/>
    </row>
    <row r="28" spans="1:26">
      <c r="A28" s="283"/>
      <c r="B28" s="290"/>
      <c r="C28" s="283"/>
      <c r="D28" s="283"/>
      <c r="E28" s="285"/>
      <c r="F28" s="285"/>
      <c r="G28" s="328"/>
      <c r="H28" s="283"/>
      <c r="I28" s="285"/>
      <c r="J28" s="285"/>
      <c r="K28" s="283"/>
      <c r="L28" s="283"/>
      <c r="M28" s="283"/>
      <c r="N28" s="283"/>
      <c r="O28" s="283"/>
      <c r="P28" s="283"/>
      <c r="Q28" s="285"/>
      <c r="R28" s="283"/>
      <c r="S28" s="283"/>
      <c r="T28" s="283"/>
      <c r="U28" s="283"/>
      <c r="V28" s="283"/>
      <c r="W28" s="283"/>
      <c r="X28" s="283"/>
      <c r="Y28" s="283"/>
      <c r="Z28" s="283"/>
    </row>
    <row r="29" spans="1:26">
      <c r="A29" s="283"/>
      <c r="B29" s="290"/>
      <c r="C29" s="283"/>
      <c r="D29" s="283"/>
      <c r="E29" s="285"/>
      <c r="F29" s="285"/>
      <c r="G29" s="328"/>
      <c r="H29" s="283"/>
      <c r="I29" s="285"/>
      <c r="J29" s="285"/>
      <c r="K29" s="283"/>
      <c r="L29" s="283"/>
      <c r="M29" s="283"/>
      <c r="N29" s="283"/>
      <c r="O29" s="283"/>
      <c r="P29" s="283"/>
      <c r="Q29" s="285"/>
      <c r="R29" s="283"/>
      <c r="S29" s="283"/>
      <c r="T29" s="283"/>
      <c r="U29" s="283"/>
      <c r="V29" s="283"/>
      <c r="W29" s="283"/>
      <c r="X29" s="283"/>
      <c r="Y29" s="283"/>
      <c r="Z29" s="283"/>
    </row>
    <row r="30" spans="1:26">
      <c r="A30" s="283"/>
      <c r="B30" s="290"/>
      <c r="C30" s="283"/>
      <c r="D30" s="283"/>
      <c r="E30" s="285"/>
      <c r="F30" s="285"/>
      <c r="G30" s="328"/>
      <c r="H30" s="283"/>
      <c r="I30" s="285"/>
      <c r="J30" s="285"/>
      <c r="K30" s="283"/>
      <c r="L30" s="283"/>
      <c r="M30" s="283"/>
      <c r="N30" s="283"/>
      <c r="O30" s="283"/>
      <c r="P30" s="283"/>
      <c r="Q30" s="285"/>
      <c r="R30" s="283"/>
      <c r="S30" s="283"/>
      <c r="T30" s="283"/>
      <c r="U30" s="283"/>
      <c r="V30" s="283"/>
      <c r="W30" s="283"/>
      <c r="X30" s="283"/>
      <c r="Y30" s="283"/>
      <c r="Z30" s="283"/>
    </row>
    <row r="31" spans="1:26">
      <c r="A31" s="283"/>
      <c r="B31" s="290"/>
      <c r="C31" s="283"/>
      <c r="D31" s="283"/>
      <c r="E31" s="285"/>
      <c r="F31" s="285"/>
      <c r="G31" s="328"/>
      <c r="H31" s="283"/>
      <c r="I31" s="285"/>
      <c r="J31" s="285"/>
      <c r="K31" s="283"/>
      <c r="L31" s="283"/>
      <c r="M31" s="283"/>
      <c r="N31" s="283"/>
      <c r="O31" s="283"/>
      <c r="P31" s="283"/>
      <c r="Q31" s="285"/>
      <c r="R31" s="283"/>
      <c r="S31" s="283"/>
      <c r="T31" s="283"/>
      <c r="U31" s="283"/>
      <c r="V31" s="283"/>
      <c r="W31" s="283"/>
      <c r="X31" s="283"/>
      <c r="Y31" s="283"/>
      <c r="Z31" s="283"/>
    </row>
    <row r="32" spans="1:26">
      <c r="A32" s="283"/>
      <c r="B32" s="290"/>
      <c r="C32" s="283"/>
      <c r="D32" s="283"/>
      <c r="E32" s="285"/>
      <c r="F32" s="285"/>
      <c r="G32" s="328"/>
      <c r="H32" s="283"/>
      <c r="I32" s="285"/>
      <c r="J32" s="285"/>
      <c r="K32" s="283"/>
      <c r="L32" s="283"/>
      <c r="M32" s="283"/>
      <c r="N32" s="283"/>
      <c r="O32" s="283"/>
      <c r="P32" s="283"/>
      <c r="Q32" s="285"/>
      <c r="R32" s="283"/>
      <c r="S32" s="283"/>
      <c r="T32" s="283"/>
      <c r="U32" s="283"/>
      <c r="V32" s="283"/>
      <c r="W32" s="283"/>
      <c r="X32" s="283"/>
      <c r="Y32" s="283"/>
      <c r="Z32" s="283"/>
    </row>
    <row r="33" spans="1:26">
      <c r="A33" s="283"/>
      <c r="B33" s="290"/>
      <c r="C33" s="283"/>
      <c r="D33" s="283"/>
      <c r="E33" s="285"/>
      <c r="F33" s="285"/>
      <c r="G33" s="328"/>
      <c r="H33" s="283"/>
      <c r="I33" s="285"/>
      <c r="J33" s="285"/>
      <c r="K33" s="283"/>
      <c r="L33" s="283"/>
      <c r="M33" s="283"/>
      <c r="N33" s="283"/>
      <c r="O33" s="283"/>
      <c r="P33" s="283"/>
      <c r="Q33" s="285"/>
      <c r="R33" s="283"/>
      <c r="S33" s="283"/>
      <c r="T33" s="283"/>
      <c r="U33" s="283"/>
      <c r="V33" s="283"/>
      <c r="W33" s="283"/>
      <c r="X33" s="283"/>
      <c r="Y33" s="283"/>
      <c r="Z33" s="283"/>
    </row>
    <row r="34" spans="1:26">
      <c r="A34" s="283"/>
      <c r="B34" s="290"/>
      <c r="C34" s="283"/>
      <c r="D34" s="283"/>
      <c r="E34" s="285"/>
      <c r="F34" s="285"/>
      <c r="G34" s="328"/>
      <c r="H34" s="283"/>
      <c r="I34" s="285"/>
      <c r="J34" s="285"/>
      <c r="K34" s="283"/>
      <c r="L34" s="283"/>
      <c r="M34" s="283"/>
      <c r="N34" s="283"/>
      <c r="O34" s="283"/>
      <c r="P34" s="283"/>
      <c r="Q34" s="285"/>
      <c r="R34" s="283"/>
      <c r="S34" s="283"/>
      <c r="T34" s="283"/>
      <c r="U34" s="283"/>
      <c r="V34" s="283"/>
      <c r="W34" s="283"/>
      <c r="X34" s="283"/>
      <c r="Y34" s="283"/>
      <c r="Z34" s="283"/>
    </row>
    <row r="35" spans="1:26">
      <c r="A35" s="283"/>
      <c r="B35" s="290"/>
      <c r="C35" s="283"/>
      <c r="D35" s="283"/>
      <c r="E35" s="285"/>
      <c r="F35" s="285"/>
      <c r="G35" s="328"/>
      <c r="H35" s="283"/>
      <c r="I35" s="285"/>
      <c r="J35" s="285"/>
      <c r="K35" s="283"/>
      <c r="L35" s="283"/>
      <c r="M35" s="283"/>
      <c r="N35" s="283"/>
      <c r="O35" s="283"/>
      <c r="P35" s="283"/>
      <c r="Q35" s="285"/>
      <c r="R35" s="283"/>
      <c r="S35" s="283"/>
      <c r="T35" s="283"/>
      <c r="U35" s="283"/>
      <c r="V35" s="283"/>
      <c r="W35" s="283"/>
      <c r="X35" s="283"/>
      <c r="Y35" s="283"/>
      <c r="Z35" s="283"/>
    </row>
    <row r="40" spans="1:26">
      <c r="R40" s="43"/>
    </row>
    <row r="41" spans="1:26">
      <c r="R41" s="43"/>
    </row>
    <row r="42" spans="1:26">
      <c r="R42" s="43"/>
    </row>
  </sheetData>
  <mergeCells count="4">
    <mergeCell ref="B1:F1"/>
    <mergeCell ref="G1:M1"/>
    <mergeCell ref="A1:A2"/>
    <mergeCell ref="N1: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10</vt:i4>
      </vt:variant>
    </vt:vector>
  </HeadingPairs>
  <TitlesOfParts>
    <vt:vector size="10" baseType="lpstr">
      <vt:lpstr>219γ2α-νταμάρια</vt:lpstr>
      <vt:lpstr>ποσόΠαγΜίσθ</vt:lpstr>
      <vt:lpstr>παρατασηΗμερομ</vt:lpstr>
      <vt:lpstr>παράτασηΠοσοΠαγ</vt:lpstr>
      <vt:lpstr>ποσοΑναλΜισθ</vt:lpstr>
      <vt:lpstr>ερευνΕργ</vt:lpstr>
      <vt:lpstr>κτιριακά &amp; τεχνΕγκαστ</vt:lpstr>
      <vt:lpstr>έργαΑποκαταστ</vt:lpstr>
      <vt:lpstr>εγγυητ=''+10% ....ετων</vt:lpstr>
      <vt:lpstr>νομιμοτηταΕισφορωνΜισθΔικαιωμ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2026-09-11T18:46:30Z</dcterms:modified>
</cp:coreProperties>
</file>