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Q32" i="5"/>
  <c r="Q30"/>
  <c r="Q31"/>
  <c r="Q29"/>
  <c r="Q27"/>
  <c r="Q26"/>
  <c r="Q25"/>
  <c r="Q24"/>
  <c r="J32"/>
  <c r="J31"/>
  <c r="J30"/>
  <c r="J29"/>
  <c r="J27"/>
  <c r="J26"/>
  <c r="J25"/>
  <c r="J24"/>
  <c r="N15" i="1" l="1"/>
  <c r="N14"/>
  <c r="N13"/>
  <c r="N12"/>
  <c r="N11"/>
  <c r="N9"/>
  <c r="N8"/>
  <c r="N7"/>
  <c r="N6"/>
  <c r="N5"/>
  <c r="N3"/>
  <c r="D21"/>
  <c r="D69"/>
  <c r="J15"/>
  <c r="J14"/>
  <c r="J13"/>
  <c r="J12"/>
  <c r="J11"/>
  <c r="J9"/>
  <c r="J8"/>
  <c r="J7"/>
  <c r="J6"/>
  <c r="J5"/>
  <c r="J3"/>
  <c r="F3" i="24"/>
  <c r="F5"/>
  <c r="F6"/>
  <c r="F7"/>
  <c r="F8"/>
  <c r="F9"/>
  <c r="F11"/>
  <c r="F12"/>
  <c r="F13"/>
  <c r="F14"/>
  <c r="F15"/>
  <c r="AM3" i="16"/>
  <c r="AM5"/>
  <c r="AM6"/>
  <c r="AM7"/>
  <c r="AM8"/>
  <c r="AM9"/>
  <c r="AM11"/>
  <c r="AM12"/>
  <c r="AM13"/>
  <c r="AM14"/>
  <c r="AM15"/>
  <c r="AN3"/>
  <c r="AN5"/>
  <c r="AN6"/>
  <c r="AN7"/>
  <c r="AN8"/>
  <c r="AN9"/>
  <c r="AN11"/>
  <c r="AN12"/>
  <c r="AN13"/>
  <c r="AN14"/>
  <c r="AN15"/>
  <c r="H40" i="1" l="1"/>
  <c r="I40"/>
  <c r="J40"/>
  <c r="L40"/>
  <c r="BW3" i="24" l="1"/>
  <c r="BW5"/>
  <c r="BW6"/>
  <c r="BW7"/>
  <c r="BW8"/>
  <c r="BW9"/>
  <c r="BW11"/>
  <c r="BW12"/>
  <c r="BW13"/>
  <c r="BW14"/>
  <c r="BW15"/>
  <c r="X3" i="5" l="1"/>
  <c r="X5"/>
  <c r="X6"/>
  <c r="X7"/>
  <c r="X8"/>
  <c r="X9"/>
  <c r="X11"/>
  <c r="X12"/>
  <c r="X13"/>
  <c r="X14"/>
  <c r="X15"/>
  <c r="U3"/>
  <c r="U5"/>
  <c r="U6"/>
  <c r="U7"/>
  <c r="U8"/>
  <c r="U9"/>
  <c r="U11"/>
  <c r="U12"/>
  <c r="U13"/>
  <c r="U14"/>
  <c r="U15"/>
  <c r="G3" i="12"/>
  <c r="G5"/>
  <c r="G6"/>
  <c r="G7"/>
  <c r="G8"/>
  <c r="G9"/>
  <c r="G11"/>
  <c r="G12"/>
  <c r="G13"/>
  <c r="G14"/>
  <c r="G15"/>
  <c r="J3" i="13"/>
  <c r="J5"/>
  <c r="J6"/>
  <c r="J7"/>
  <c r="J8"/>
  <c r="J9"/>
  <c r="J11"/>
  <c r="J12"/>
  <c r="J13"/>
  <c r="J14"/>
  <c r="J15"/>
  <c r="V16" i="9" l="1"/>
  <c r="O16" i="4"/>
  <c r="BA3" i="24"/>
  <c r="BA5"/>
  <c r="BA6"/>
  <c r="BA7"/>
  <c r="BA8"/>
  <c r="BA9"/>
  <c r="BA11"/>
  <c r="BA12"/>
  <c r="BA13"/>
  <c r="BA14"/>
  <c r="BA15"/>
  <c r="AU3"/>
  <c r="AU5"/>
  <c r="AU6"/>
  <c r="AU7"/>
  <c r="AU8"/>
  <c r="AU9"/>
  <c r="AU11"/>
  <c r="AU12"/>
  <c r="AU13"/>
  <c r="AU14"/>
  <c r="AU15"/>
  <c r="Q16"/>
  <c r="P16" l="1"/>
  <c r="P3" i="20"/>
  <c r="P5"/>
  <c r="P6"/>
  <c r="P7"/>
  <c r="P8"/>
  <c r="P9"/>
  <c r="P11"/>
  <c r="P12"/>
  <c r="P13"/>
  <c r="P14"/>
  <c r="P15"/>
  <c r="P3" i="4"/>
  <c r="P5"/>
  <c r="P6"/>
  <c r="P7"/>
  <c r="P8"/>
  <c r="P9"/>
  <c r="P11"/>
  <c r="P12"/>
  <c r="P13"/>
  <c r="P14"/>
  <c r="P15"/>
  <c r="BQ15" i="24"/>
  <c r="BQ14"/>
  <c r="BQ13"/>
  <c r="BQ12"/>
  <c r="BQ11"/>
  <c r="BQ9"/>
  <c r="BQ8"/>
  <c r="BQ7"/>
  <c r="BQ6"/>
  <c r="BQ5"/>
  <c r="BQ3"/>
  <c r="AE15"/>
  <c r="AE14"/>
  <c r="AE13"/>
  <c r="AE12"/>
  <c r="AE11"/>
  <c r="AE9"/>
  <c r="AE8"/>
  <c r="AE7"/>
  <c r="AE6"/>
  <c r="AE5"/>
  <c r="AE3"/>
  <c r="D11" l="1"/>
  <c r="D3"/>
  <c r="D12"/>
  <c r="D8"/>
  <c r="D14"/>
  <c r="D6"/>
  <c r="D15"/>
  <c r="D7"/>
  <c r="D13"/>
  <c r="D9"/>
  <c r="D5"/>
  <c r="L21" i="27"/>
  <c r="L20"/>
  <c r="F3" i="4"/>
  <c r="H3" s="1"/>
  <c r="I3" i="1" s="1"/>
  <c r="F5" i="4"/>
  <c r="I5" i="1" s="1"/>
  <c r="F6" i="4"/>
  <c r="I6" i="1" s="1"/>
  <c r="F7" i="4"/>
  <c r="H7" s="1"/>
  <c r="I7" i="1" s="1"/>
  <c r="F8" i="4"/>
  <c r="I8" i="1" s="1"/>
  <c r="F9" i="4"/>
  <c r="I9" i="1" s="1"/>
  <c r="F11" i="4"/>
  <c r="I11" i="1" s="1"/>
  <c r="F12" i="4"/>
  <c r="I12" i="1" s="1"/>
  <c r="F13" i="4"/>
  <c r="H13" s="1"/>
  <c r="I13" i="1" s="1"/>
  <c r="F14" i="4"/>
  <c r="I14" i="1" s="1"/>
  <c r="F15" i="4"/>
  <c r="I15" i="1" s="1"/>
  <c r="F3" i="12" l="1"/>
  <c r="F3" i="1" s="1"/>
  <c r="F5" i="12"/>
  <c r="F5" i="1" s="1"/>
  <c r="F6" i="12"/>
  <c r="F6" i="1" s="1"/>
  <c r="F7" i="12"/>
  <c r="F7" i="1" s="1"/>
  <c r="F8" i="12"/>
  <c r="F8" i="1" s="1"/>
  <c r="F9" i="12"/>
  <c r="F9" i="1" s="1"/>
  <c r="F11" i="12"/>
  <c r="F11" i="1" s="1"/>
  <c r="F12"/>
  <c r="F13"/>
  <c r="F14"/>
  <c r="F15"/>
  <c r="O16" i="24"/>
  <c r="AQ16"/>
  <c r="AR16"/>
  <c r="U16"/>
  <c r="T16" i="23"/>
  <c r="S16" i="24"/>
  <c r="T16"/>
  <c r="T16" i="9"/>
  <c r="U16"/>
  <c r="W16"/>
  <c r="X16"/>
  <c r="N16" i="5" l="1"/>
  <c r="O16"/>
  <c r="AD16" i="16" l="1"/>
  <c r="AE16"/>
  <c r="AF16"/>
  <c r="AH16"/>
  <c r="AI16"/>
  <c r="AL16"/>
  <c r="AM16"/>
  <c r="L16" i="9"/>
  <c r="D16" i="15" l="1"/>
  <c r="E16"/>
  <c r="F16"/>
  <c r="G16"/>
  <c r="H16"/>
  <c r="I16"/>
  <c r="J16"/>
  <c r="K3"/>
  <c r="K4"/>
  <c r="K5"/>
  <c r="K6"/>
  <c r="K7"/>
  <c r="K8"/>
  <c r="K9"/>
  <c r="K10"/>
  <c r="K11"/>
  <c r="K12"/>
  <c r="K13"/>
  <c r="K14"/>
  <c r="K15"/>
  <c r="K16" l="1"/>
  <c r="K4" i="25"/>
  <c r="K5"/>
  <c r="K6"/>
  <c r="K7"/>
  <c r="K8"/>
  <c r="K10"/>
  <c r="K11"/>
  <c r="K12"/>
  <c r="K13"/>
  <c r="K14"/>
  <c r="S16" i="5" l="1"/>
  <c r="Q16"/>
  <c r="E15" l="1"/>
  <c r="D15"/>
  <c r="C15"/>
  <c r="A15"/>
  <c r="E14"/>
  <c r="D14"/>
  <c r="C14"/>
  <c r="A14"/>
  <c r="E13"/>
  <c r="D13"/>
  <c r="C13"/>
  <c r="A13"/>
  <c r="E12" l="1"/>
  <c r="D12"/>
  <c r="C12"/>
  <c r="A12"/>
  <c r="E11"/>
  <c r="D11"/>
  <c r="C11"/>
  <c r="B11"/>
  <c r="A11"/>
  <c r="E9"/>
  <c r="D9"/>
  <c r="C9"/>
  <c r="A9"/>
  <c r="E8"/>
  <c r="D8"/>
  <c r="C8"/>
  <c r="A8"/>
  <c r="E7"/>
  <c r="D7"/>
  <c r="C7"/>
  <c r="A7"/>
  <c r="E6"/>
  <c r="D6"/>
  <c r="C6"/>
  <c r="A6"/>
  <c r="E5"/>
  <c r="D5"/>
  <c r="C5"/>
  <c r="B5"/>
  <c r="A5"/>
  <c r="E3"/>
  <c r="D3"/>
  <c r="C3"/>
  <c r="B3"/>
  <c r="A3"/>
  <c r="X16" l="1"/>
  <c r="C15" i="28" l="1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6" i="10"/>
  <c r="Q16" l="1"/>
  <c r="O16"/>
  <c r="L15"/>
  <c r="J15"/>
  <c r="H15"/>
  <c r="G15"/>
  <c r="E15"/>
  <c r="C15"/>
  <c r="A15"/>
  <c r="L14"/>
  <c r="J14"/>
  <c r="H14"/>
  <c r="G14"/>
  <c r="E14"/>
  <c r="C14"/>
  <c r="A14"/>
  <c r="L13"/>
  <c r="J13"/>
  <c r="H13"/>
  <c r="G13"/>
  <c r="E13"/>
  <c r="C13"/>
  <c r="A13"/>
  <c r="L12"/>
  <c r="J12"/>
  <c r="H12"/>
  <c r="G12"/>
  <c r="E12"/>
  <c r="C12"/>
  <c r="A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6" l="1"/>
  <c r="A15" i="22"/>
  <c r="A14"/>
  <c r="A13"/>
  <c r="A12"/>
  <c r="A11"/>
  <c r="A10"/>
  <c r="A9"/>
  <c r="A8"/>
  <c r="A7"/>
  <c r="A6"/>
  <c r="A5"/>
  <c r="A4"/>
  <c r="A3"/>
  <c r="A15" i="8"/>
  <c r="A14"/>
  <c r="A13"/>
  <c r="A12"/>
  <c r="A11"/>
  <c r="A10"/>
  <c r="A9"/>
  <c r="A8"/>
  <c r="A7"/>
  <c r="A6"/>
  <c r="A5"/>
  <c r="A4"/>
  <c r="A3"/>
  <c r="S16" i="9" l="1"/>
  <c r="R16"/>
  <c r="I16" l="1"/>
  <c r="H16"/>
  <c r="G16"/>
  <c r="F16"/>
  <c r="E16"/>
  <c r="D16"/>
  <c r="C15" l="1"/>
  <c r="B15"/>
  <c r="A15"/>
  <c r="C14"/>
  <c r="B14"/>
  <c r="A14"/>
  <c r="C13"/>
  <c r="B13"/>
  <c r="A13"/>
  <c r="C12"/>
  <c r="B12"/>
  <c r="A12"/>
  <c r="C11"/>
  <c r="B11"/>
  <c r="A11"/>
  <c r="C9"/>
  <c r="B9"/>
  <c r="A9"/>
  <c r="C8"/>
  <c r="B8"/>
  <c r="A8"/>
  <c r="C7"/>
  <c r="B7"/>
  <c r="A7"/>
  <c r="C6"/>
  <c r="B6"/>
  <c r="A6"/>
  <c r="C5"/>
  <c r="B5"/>
  <c r="A5"/>
  <c r="C3"/>
  <c r="B3"/>
  <c r="A3"/>
  <c r="BP16" i="24" l="1"/>
  <c r="BM16"/>
  <c r="BL16"/>
  <c r="BK16"/>
  <c r="BJ16"/>
  <c r="BI16"/>
  <c r="BH16"/>
  <c r="BG16"/>
  <c r="BF16"/>
  <c r="BD16"/>
  <c r="BC16"/>
  <c r="BB16"/>
  <c r="AZ16"/>
  <c r="AY16"/>
  <c r="AX16"/>
  <c r="AW16"/>
  <c r="AV16"/>
  <c r="AT16"/>
  <c r="AP16"/>
  <c r="AO16"/>
  <c r="AN16"/>
  <c r="AM16"/>
  <c r="AL16"/>
  <c r="AK16"/>
  <c r="AJ16"/>
  <c r="AI16"/>
  <c r="AH16"/>
  <c r="AG16"/>
  <c r="AD16"/>
  <c r="AC16"/>
  <c r="AB16"/>
  <c r="AA16"/>
  <c r="Z16"/>
  <c r="Y16"/>
  <c r="X16"/>
  <c r="W16"/>
  <c r="V16"/>
  <c r="R16"/>
  <c r="N16"/>
  <c r="M16"/>
  <c r="L16"/>
  <c r="K16"/>
  <c r="J16"/>
  <c r="BE15"/>
  <c r="I15"/>
  <c r="BY15" s="1"/>
  <c r="P15" i="9" s="1"/>
  <c r="G15" i="24"/>
  <c r="B15"/>
  <c r="A15"/>
  <c r="BE14"/>
  <c r="I14"/>
  <c r="BY14" s="1"/>
  <c r="G14"/>
  <c r="B14"/>
  <c r="A14"/>
  <c r="BE13"/>
  <c r="I13"/>
  <c r="BY13" s="1"/>
  <c r="P13" i="9" s="1"/>
  <c r="G13" i="24"/>
  <c r="B13"/>
  <c r="A13"/>
  <c r="BE12"/>
  <c r="I12"/>
  <c r="BY12" s="1"/>
  <c r="G12"/>
  <c r="B12"/>
  <c r="A12"/>
  <c r="BE11"/>
  <c r="I11"/>
  <c r="BY11" s="1"/>
  <c r="P11" i="9" s="1"/>
  <c r="G11" i="24"/>
  <c r="B11"/>
  <c r="A11"/>
  <c r="BE9"/>
  <c r="I9"/>
  <c r="BY9" s="1"/>
  <c r="P9" i="9" s="1"/>
  <c r="G9" i="24"/>
  <c r="B9"/>
  <c r="A9"/>
  <c r="BE8"/>
  <c r="I8"/>
  <c r="BY8" s="1"/>
  <c r="G8"/>
  <c r="B8"/>
  <c r="A8"/>
  <c r="BE7"/>
  <c r="I7"/>
  <c r="BY7" s="1"/>
  <c r="P7" i="9" s="1"/>
  <c r="G7" i="24"/>
  <c r="B7"/>
  <c r="A7"/>
  <c r="BE6"/>
  <c r="I6"/>
  <c r="BY6" s="1"/>
  <c r="G6"/>
  <c r="B6"/>
  <c r="A6"/>
  <c r="BE5"/>
  <c r="I5"/>
  <c r="BY5" s="1"/>
  <c r="P5" i="9" s="1"/>
  <c r="G5" i="24"/>
  <c r="B5"/>
  <c r="A5"/>
  <c r="BE3"/>
  <c r="I3"/>
  <c r="BY3" s="1"/>
  <c r="P3" i="9" s="1"/>
  <c r="G3" i="24"/>
  <c r="B3"/>
  <c r="A3"/>
  <c r="BA16"/>
  <c r="C25" i="23"/>
  <c r="S16"/>
  <c r="R16"/>
  <c r="Q16"/>
  <c r="P16"/>
  <c r="O16"/>
  <c r="N16"/>
  <c r="M16"/>
  <c r="L16"/>
  <c r="K16"/>
  <c r="J16"/>
  <c r="I16"/>
  <c r="P8" i="9" l="1"/>
  <c r="G8" i="5" s="1"/>
  <c r="P6" i="9"/>
  <c r="G6" i="5" s="1"/>
  <c r="P12" i="9"/>
  <c r="G12" i="5" s="1"/>
  <c r="P14" i="9"/>
  <c r="G14" i="5" s="1"/>
  <c r="G3"/>
  <c r="G5"/>
  <c r="G7"/>
  <c r="G9"/>
  <c r="G11"/>
  <c r="G13"/>
  <c r="G15"/>
  <c r="BE16" i="24"/>
  <c r="BQ16"/>
  <c r="AU16"/>
  <c r="AE16"/>
  <c r="G16"/>
  <c r="F16" s="1"/>
  <c r="D16"/>
  <c r="I16"/>
  <c r="BY16" l="1"/>
  <c r="G16" i="5"/>
  <c r="P16" i="9"/>
  <c r="B15" i="23"/>
  <c r="A15"/>
  <c r="B14"/>
  <c r="A14"/>
  <c r="B13"/>
  <c r="A13"/>
  <c r="B12"/>
  <c r="A12"/>
  <c r="B11"/>
  <c r="A11"/>
  <c r="B9"/>
  <c r="A9"/>
  <c r="B8"/>
  <c r="A8"/>
  <c r="B7"/>
  <c r="A7"/>
  <c r="B6"/>
  <c r="A6"/>
  <c r="B5"/>
  <c r="A5"/>
  <c r="B3"/>
  <c r="A3"/>
  <c r="L16" i="15" l="1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16" i="27" l="1"/>
  <c r="C15"/>
  <c r="B15"/>
  <c r="A15"/>
  <c r="C14"/>
  <c r="B14"/>
  <c r="A14"/>
  <c r="C13"/>
  <c r="B13"/>
  <c r="A13"/>
  <c r="C12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AH16" i="26"/>
  <c r="A16"/>
  <c r="AF15" l="1"/>
  <c r="C15"/>
  <c r="D15" s="1"/>
  <c r="B15"/>
  <c r="AF14"/>
  <c r="C14"/>
  <c r="B14"/>
  <c r="AF13"/>
  <c r="C13"/>
  <c r="D13" s="1"/>
  <c r="B13"/>
  <c r="AF12"/>
  <c r="C12"/>
  <c r="F12" i="27" s="1"/>
  <c r="B12" i="26"/>
  <c r="AF11"/>
  <c r="C11"/>
  <c r="B11"/>
  <c r="A11"/>
  <c r="AF9"/>
  <c r="C9"/>
  <c r="B9"/>
  <c r="AF8"/>
  <c r="C8"/>
  <c r="B8"/>
  <c r="AF7"/>
  <c r="C7"/>
  <c r="D7" s="1"/>
  <c r="B7"/>
  <c r="AF6"/>
  <c r="C6"/>
  <c r="B6"/>
  <c r="AF5"/>
  <c r="C5"/>
  <c r="D5" s="1"/>
  <c r="B5"/>
  <c r="A5"/>
  <c r="AF3"/>
  <c r="C3"/>
  <c r="V3" s="1"/>
  <c r="B3"/>
  <c r="A3"/>
  <c r="D11" l="1"/>
  <c r="D11" i="27" s="1"/>
  <c r="D6" i="26"/>
  <c r="D14"/>
  <c r="D9"/>
  <c r="D9" i="27" s="1"/>
  <c r="E12"/>
  <c r="M3" i="26"/>
  <c r="D3" s="1"/>
  <c r="D3" i="27" s="1"/>
  <c r="D8" i="26"/>
  <c r="D8" i="27" s="1"/>
  <c r="F8"/>
  <c r="D5"/>
  <c r="F3"/>
  <c r="D15"/>
  <c r="D4"/>
  <c r="D7"/>
  <c r="D13"/>
  <c r="F4"/>
  <c r="D12" i="26"/>
  <c r="E8" i="27"/>
  <c r="F15"/>
  <c r="E15" s="1"/>
  <c r="Q16" i="20"/>
  <c r="O16"/>
  <c r="N16"/>
  <c r="M16"/>
  <c r="L16"/>
  <c r="K16"/>
  <c r="J16"/>
  <c r="I16"/>
  <c r="E16"/>
  <c r="H15" i="24"/>
  <c r="D15" i="20"/>
  <c r="C15"/>
  <c r="B15"/>
  <c r="A15"/>
  <c r="H14" i="24"/>
  <c r="D14" i="20"/>
  <c r="C14"/>
  <c r="B14"/>
  <c r="A14"/>
  <c r="H13" i="24"/>
  <c r="D13" i="20"/>
  <c r="C13"/>
  <c r="B13"/>
  <c r="A13"/>
  <c r="H12" i="24"/>
  <c r="D12" i="20"/>
  <c r="C12"/>
  <c r="B12"/>
  <c r="A12"/>
  <c r="H11" i="24"/>
  <c r="D11" i="20"/>
  <c r="C11"/>
  <c r="B11"/>
  <c r="A11"/>
  <c r="H9" i="24"/>
  <c r="D9" i="20"/>
  <c r="C9"/>
  <c r="B9"/>
  <c r="A9"/>
  <c r="H8" i="24"/>
  <c r="D8" i="20"/>
  <c r="C8"/>
  <c r="B8"/>
  <c r="A8"/>
  <c r="H7" i="24"/>
  <c r="D7" i="20"/>
  <c r="C7"/>
  <c r="B7"/>
  <c r="A7"/>
  <c r="H6" i="24"/>
  <c r="D6" i="20"/>
  <c r="C6"/>
  <c r="B6"/>
  <c r="A6"/>
  <c r="H5" i="24"/>
  <c r="D5" i="20"/>
  <c r="C5"/>
  <c r="B5"/>
  <c r="A5"/>
  <c r="H3" i="24"/>
  <c r="D3" i="20"/>
  <c r="C3"/>
  <c r="B3"/>
  <c r="A3"/>
  <c r="BJ16" i="4"/>
  <c r="BI16"/>
  <c r="BH16"/>
  <c r="BG16"/>
  <c r="BF16"/>
  <c r="BE16"/>
  <c r="BD16"/>
  <c r="BC16"/>
  <c r="BB16"/>
  <c r="BA16"/>
  <c r="AZ16"/>
  <c r="AY16"/>
  <c r="AX16"/>
  <c r="AW16"/>
  <c r="AV16"/>
  <c r="AU16"/>
  <c r="AT16"/>
  <c r="AS16"/>
  <c r="AR16"/>
  <c r="AQ16"/>
  <c r="AO16"/>
  <c r="AN16"/>
  <c r="AM16"/>
  <c r="AK16"/>
  <c r="AJ16"/>
  <c r="AD16"/>
  <c r="AC16"/>
  <c r="AB16"/>
  <c r="AA16"/>
  <c r="Z16"/>
  <c r="X16"/>
  <c r="V16"/>
  <c r="S16"/>
  <c r="R16"/>
  <c r="Q16"/>
  <c r="N16"/>
  <c r="M16"/>
  <c r="L16"/>
  <c r="G16"/>
  <c r="F16"/>
  <c r="E16"/>
  <c r="E15" i="24"/>
  <c r="D15" i="4"/>
  <c r="C15"/>
  <c r="B15"/>
  <c r="A15"/>
  <c r="E14" i="24"/>
  <c r="D14" i="4"/>
  <c r="C14"/>
  <c r="B14"/>
  <c r="A14"/>
  <c r="E13" i="24"/>
  <c r="D13" i="4"/>
  <c r="C13"/>
  <c r="B13"/>
  <c r="A13"/>
  <c r="E12" i="24"/>
  <c r="D12" i="4"/>
  <c r="C12"/>
  <c r="B12"/>
  <c r="A12"/>
  <c r="E11" i="24"/>
  <c r="D11" i="4"/>
  <c r="C11"/>
  <c r="B11"/>
  <c r="A11"/>
  <c r="E9" i="24"/>
  <c r="D9" i="4"/>
  <c r="C9"/>
  <c r="B9"/>
  <c r="A9"/>
  <c r="E8" i="24"/>
  <c r="D8" i="4"/>
  <c r="C8"/>
  <c r="B8"/>
  <c r="A8"/>
  <c r="E7" i="24"/>
  <c r="D7" i="4"/>
  <c r="C7"/>
  <c r="B7"/>
  <c r="A7"/>
  <c r="E6" i="24"/>
  <c r="D6" i="4"/>
  <c r="C6"/>
  <c r="B6"/>
  <c r="A6"/>
  <c r="E5" i="24"/>
  <c r="D5" i="4"/>
  <c r="C5"/>
  <c r="B5"/>
  <c r="A5"/>
  <c r="E3" i="24"/>
  <c r="D3" i="4"/>
  <c r="C3"/>
  <c r="B3"/>
  <c r="A3"/>
  <c r="AE8" i="26" l="1"/>
  <c r="AG8" s="1"/>
  <c r="U16" i="5"/>
  <c r="AE3" i="26"/>
  <c r="AG3" s="1"/>
  <c r="E3" i="27"/>
  <c r="E4"/>
  <c r="H16" i="24"/>
  <c r="P16" i="20"/>
  <c r="E16" i="24"/>
  <c r="P16" i="4"/>
  <c r="H16"/>
  <c r="AE15" i="26"/>
  <c r="AG15" s="1"/>
  <c r="D12" i="27"/>
  <c r="AE12" i="26"/>
  <c r="AG12" s="1"/>
  <c r="AC16" i="16"/>
  <c r="AB16"/>
  <c r="AA16"/>
  <c r="W16"/>
  <c r="V16"/>
  <c r="U16"/>
  <c r="T16"/>
  <c r="S16"/>
  <c r="R16"/>
  <c r="I8" i="5" l="1"/>
  <c r="O8" i="9"/>
  <c r="I12" i="5"/>
  <c r="O12" i="9"/>
  <c r="I3" i="5"/>
  <c r="O3" i="9"/>
  <c r="I15" i="5"/>
  <c r="O15" i="9"/>
  <c r="D16" i="26"/>
  <c r="M16"/>
  <c r="C15" i="24" l="1"/>
  <c r="BX15" s="1"/>
  <c r="E15" i="16"/>
  <c r="I15" s="1"/>
  <c r="D15"/>
  <c r="H15" s="1"/>
  <c r="C15"/>
  <c r="B15"/>
  <c r="A15"/>
  <c r="C14" i="24"/>
  <c r="BX14" s="1"/>
  <c r="E14" i="16"/>
  <c r="I14" s="1"/>
  <c r="D14"/>
  <c r="H14" s="1"/>
  <c r="C14"/>
  <c r="B14"/>
  <c r="A14"/>
  <c r="C13" i="24"/>
  <c r="BX13" s="1"/>
  <c r="E13" i="16"/>
  <c r="I13" s="1"/>
  <c r="D13"/>
  <c r="H13" s="1"/>
  <c r="C13"/>
  <c r="B13"/>
  <c r="A13"/>
  <c r="C12" i="24"/>
  <c r="BX12" s="1"/>
  <c r="Q12" i="9" l="1"/>
  <c r="Q14"/>
  <c r="Q13"/>
  <c r="Q15"/>
  <c r="P14" i="16"/>
  <c r="N14" s="1"/>
  <c r="L14"/>
  <c r="K14"/>
  <c r="J14"/>
  <c r="P13"/>
  <c r="N13" s="1"/>
  <c r="P15"/>
  <c r="N15" s="1"/>
  <c r="L13"/>
  <c r="K13"/>
  <c r="J13"/>
  <c r="L15"/>
  <c r="K15"/>
  <c r="J15"/>
  <c r="E12"/>
  <c r="I12" s="1"/>
  <c r="D12"/>
  <c r="H12" s="1"/>
  <c r="C12"/>
  <c r="B12"/>
  <c r="A12"/>
  <c r="C11" i="24"/>
  <c r="BX11" s="1"/>
  <c r="E11" i="16"/>
  <c r="I11" s="1"/>
  <c r="D11"/>
  <c r="H11" s="1"/>
  <c r="H22" s="1"/>
  <c r="C11"/>
  <c r="B11"/>
  <c r="A11"/>
  <c r="C9" i="24"/>
  <c r="BX9" s="1"/>
  <c r="E9" i="16"/>
  <c r="I9" s="1"/>
  <c r="D9"/>
  <c r="H9" s="1"/>
  <c r="C9"/>
  <c r="B9"/>
  <c r="A9"/>
  <c r="C8" i="24"/>
  <c r="BX8" s="1"/>
  <c r="E8" i="16"/>
  <c r="I8" s="1"/>
  <c r="D8"/>
  <c r="H8" s="1"/>
  <c r="C8"/>
  <c r="B8"/>
  <c r="A8"/>
  <c r="C7" i="24"/>
  <c r="BX7" s="1"/>
  <c r="E7" i="16"/>
  <c r="I7" s="1"/>
  <c r="D7"/>
  <c r="H7" s="1"/>
  <c r="C7"/>
  <c r="B7"/>
  <c r="A7"/>
  <c r="C6" i="24"/>
  <c r="BX6" s="1"/>
  <c r="E6" i="16"/>
  <c r="I6" s="1"/>
  <c r="D6"/>
  <c r="H6" s="1"/>
  <c r="C6"/>
  <c r="B6"/>
  <c r="A6"/>
  <c r="C5" i="24"/>
  <c r="BX5" s="1"/>
  <c r="E5" i="16"/>
  <c r="I5" s="1"/>
  <c r="D5"/>
  <c r="H5" s="1"/>
  <c r="H21" s="1"/>
  <c r="C5"/>
  <c r="B5"/>
  <c r="A5"/>
  <c r="C3" i="24"/>
  <c r="BX3" s="1"/>
  <c r="E3" i="16"/>
  <c r="I3" s="1"/>
  <c r="D3"/>
  <c r="H3" s="1"/>
  <c r="H20" s="1"/>
  <c r="C3"/>
  <c r="B3"/>
  <c r="A3"/>
  <c r="B15" i="14"/>
  <c r="A15"/>
  <c r="B14"/>
  <c r="A14"/>
  <c r="B13"/>
  <c r="A13"/>
  <c r="B12"/>
  <c r="A12"/>
  <c r="B11"/>
  <c r="A11"/>
  <c r="B9"/>
  <c r="A9"/>
  <c r="B8"/>
  <c r="A8"/>
  <c r="B7"/>
  <c r="A7"/>
  <c r="B6"/>
  <c r="A6"/>
  <c r="B5"/>
  <c r="A5"/>
  <c r="B3"/>
  <c r="A3"/>
  <c r="G16" i="12"/>
  <c r="Q6" i="9" l="1"/>
  <c r="Q3"/>
  <c r="Q5"/>
  <c r="Q7"/>
  <c r="Q9"/>
  <c r="Q11"/>
  <c r="Q8"/>
  <c r="O15" i="16"/>
  <c r="Q15" s="1"/>
  <c r="R15" i="10" s="1"/>
  <c r="O13" i="16"/>
  <c r="Q13" s="1"/>
  <c r="R13" i="10" s="1"/>
  <c r="K6" i="16"/>
  <c r="L6"/>
  <c r="J6"/>
  <c r="L8"/>
  <c r="J8"/>
  <c r="K8"/>
  <c r="L12"/>
  <c r="J12"/>
  <c r="K12"/>
  <c r="P7"/>
  <c r="N7" s="1"/>
  <c r="P6"/>
  <c r="N6" s="1"/>
  <c r="P8"/>
  <c r="N8" s="1"/>
  <c r="O14"/>
  <c r="P3"/>
  <c r="N3" s="1"/>
  <c r="P5"/>
  <c r="N5" s="1"/>
  <c r="P11"/>
  <c r="N11" s="1"/>
  <c r="L3"/>
  <c r="J3"/>
  <c r="K3"/>
  <c r="L5"/>
  <c r="K5"/>
  <c r="J5"/>
  <c r="L7"/>
  <c r="J7"/>
  <c r="K7"/>
  <c r="L9"/>
  <c r="K9"/>
  <c r="J9"/>
  <c r="K11"/>
  <c r="J11"/>
  <c r="L11"/>
  <c r="AN16"/>
  <c r="M15" l="1"/>
  <c r="H15" i="1" s="1"/>
  <c r="M13" i="16"/>
  <c r="H13" i="1" s="1"/>
  <c r="O9" i="16"/>
  <c r="M9" s="1"/>
  <c r="H9" i="1" s="1"/>
  <c r="O7" i="16"/>
  <c r="Q7" s="1"/>
  <c r="R7" i="10" s="1"/>
  <c r="O3" i="16"/>
  <c r="M3" s="1"/>
  <c r="H3" i="1" s="1"/>
  <c r="P12" i="16"/>
  <c r="N12" s="1"/>
  <c r="M14"/>
  <c r="H14" i="1" s="1"/>
  <c r="Q14" i="16"/>
  <c r="R14" i="10" s="1"/>
  <c r="J16" i="16"/>
  <c r="O5"/>
  <c r="O8"/>
  <c r="O12"/>
  <c r="P9"/>
  <c r="N9" s="1"/>
  <c r="L16"/>
  <c r="O11"/>
  <c r="O6"/>
  <c r="K16"/>
  <c r="I16"/>
  <c r="C16" i="24"/>
  <c r="H16" i="16"/>
  <c r="C15" i="12"/>
  <c r="B15"/>
  <c r="A15"/>
  <c r="C14"/>
  <c r="B14"/>
  <c r="A14"/>
  <c r="C13"/>
  <c r="B13"/>
  <c r="A13"/>
  <c r="C12"/>
  <c r="B12"/>
  <c r="A12"/>
  <c r="C11"/>
  <c r="B11"/>
  <c r="A11"/>
  <c r="C9"/>
  <c r="B9"/>
  <c r="A9"/>
  <c r="C8"/>
  <c r="B8"/>
  <c r="A8"/>
  <c r="C7"/>
  <c r="B7"/>
  <c r="A7"/>
  <c r="C6"/>
  <c r="B6"/>
  <c r="A6"/>
  <c r="C5"/>
  <c r="B5"/>
  <c r="A5"/>
  <c r="C3"/>
  <c r="B3"/>
  <c r="A3"/>
  <c r="F16"/>
  <c r="M7" i="16" l="1"/>
  <c r="H7" i="1" s="1"/>
  <c r="Q3" i="16"/>
  <c r="R3" i="10" s="1"/>
  <c r="Q9" i="16"/>
  <c r="R9" i="10" s="1"/>
  <c r="R4"/>
  <c r="Q12" i="16"/>
  <c r="R12" i="10" s="1"/>
  <c r="M12" i="16"/>
  <c r="H12" i="1" s="1"/>
  <c r="R10" i="10"/>
  <c r="Q8" i="16"/>
  <c r="R8" i="10" s="1"/>
  <c r="M8" i="16"/>
  <c r="H8" i="1" s="1"/>
  <c r="P16" i="16"/>
  <c r="O16"/>
  <c r="Q11"/>
  <c r="R11" i="10" s="1"/>
  <c r="M11" i="16"/>
  <c r="H11" i="1" s="1"/>
  <c r="M6" i="16"/>
  <c r="H6" i="1" s="1"/>
  <c r="Q6" i="16"/>
  <c r="R6" i="10" s="1"/>
  <c r="M5" i="16"/>
  <c r="H5" i="1" s="1"/>
  <c r="Q5" i="16"/>
  <c r="R5" i="10" s="1"/>
  <c r="BX16" i="24"/>
  <c r="Q16" i="9"/>
  <c r="F16" i="13"/>
  <c r="E16"/>
  <c r="D16"/>
  <c r="N16" i="16" l="1"/>
  <c r="Q16"/>
  <c r="R16" i="10"/>
  <c r="M16" i="16"/>
  <c r="N15" i="13" l="1"/>
  <c r="P15" i="14" s="1"/>
  <c r="G15" i="1" s="1"/>
  <c r="C15" i="13"/>
  <c r="B15"/>
  <c r="A15"/>
  <c r="N14"/>
  <c r="P14" i="14" s="1"/>
  <c r="G14" i="1" s="1"/>
  <c r="C14" i="13"/>
  <c r="B14"/>
  <c r="A14"/>
  <c r="N13"/>
  <c r="P13" i="14" s="1"/>
  <c r="G13" i="1" s="1"/>
  <c r="C13" i="13"/>
  <c r="B13"/>
  <c r="A13"/>
  <c r="N12"/>
  <c r="P12" i="14" s="1"/>
  <c r="G12" i="1" s="1"/>
  <c r="C12" i="13"/>
  <c r="B12"/>
  <c r="A12"/>
  <c r="N11"/>
  <c r="P11" i="14" s="1"/>
  <c r="G11" i="1" s="1"/>
  <c r="C11" i="13"/>
  <c r="B11"/>
  <c r="A11"/>
  <c r="N9"/>
  <c r="P9" i="14" s="1"/>
  <c r="G9" i="1" s="1"/>
  <c r="C9" i="13"/>
  <c r="B9"/>
  <c r="A9"/>
  <c r="N8"/>
  <c r="P8" i="14" s="1"/>
  <c r="G8" i="1" s="1"/>
  <c r="C8" i="13"/>
  <c r="B8"/>
  <c r="A8"/>
  <c r="N7"/>
  <c r="P7" i="14" s="1"/>
  <c r="G7" i="1" s="1"/>
  <c r="C7" i="13"/>
  <c r="B7"/>
  <c r="A7"/>
  <c r="N6"/>
  <c r="P6" i="14" s="1"/>
  <c r="G6" i="1" s="1"/>
  <c r="C6" i="13"/>
  <c r="B6"/>
  <c r="A6"/>
  <c r="N5"/>
  <c r="P5" i="14" s="1"/>
  <c r="G5" i="1" s="1"/>
  <c r="C5" i="13"/>
  <c r="B5"/>
  <c r="A5"/>
  <c r="N3"/>
  <c r="P3" i="14" s="1"/>
  <c r="G3" i="1" s="1"/>
  <c r="C3" i="13"/>
  <c r="B3"/>
  <c r="A3"/>
  <c r="I3" l="1"/>
  <c r="G5"/>
  <c r="I5" s="1"/>
  <c r="G6"/>
  <c r="I6" s="1"/>
  <c r="G7"/>
  <c r="I7" s="1"/>
  <c r="G8"/>
  <c r="I8" s="1"/>
  <c r="G9"/>
  <c r="I9" s="1"/>
  <c r="G11"/>
  <c r="I11" s="1"/>
  <c r="G12"/>
  <c r="I12" s="1"/>
  <c r="G13"/>
  <c r="I13" s="1"/>
  <c r="G14"/>
  <c r="I14" s="1"/>
  <c r="G15"/>
  <c r="I15" s="1"/>
  <c r="K15" i="25"/>
  <c r="J15"/>
  <c r="I15"/>
  <c r="H15"/>
  <c r="G15"/>
  <c r="F15"/>
  <c r="E15"/>
  <c r="D15"/>
  <c r="A15"/>
  <c r="C14"/>
  <c r="B14"/>
  <c r="A14"/>
  <c r="C13"/>
  <c r="B13"/>
  <c r="A13"/>
  <c r="C12"/>
  <c r="B12"/>
  <c r="A12"/>
  <c r="C11"/>
  <c r="B11"/>
  <c r="A11"/>
  <c r="C10"/>
  <c r="B10"/>
  <c r="A10"/>
  <c r="C8"/>
  <c r="B8"/>
  <c r="A8"/>
  <c r="C7"/>
  <c r="B7"/>
  <c r="A7"/>
  <c r="C6"/>
  <c r="B6"/>
  <c r="A6"/>
  <c r="C5"/>
  <c r="B5"/>
  <c r="A5"/>
  <c r="C4"/>
  <c r="B4"/>
  <c r="A4"/>
  <c r="C2"/>
  <c r="B2"/>
  <c r="A2"/>
  <c r="M16" i="1"/>
  <c r="K16"/>
  <c r="P16" i="14" l="1"/>
  <c r="F16" i="1" l="1"/>
  <c r="I16" l="1"/>
  <c r="J16"/>
  <c r="L5" i="5" l="1"/>
  <c r="L3"/>
  <c r="L7"/>
  <c r="L11"/>
  <c r="L8"/>
  <c r="L9"/>
  <c r="L6"/>
  <c r="L13"/>
  <c r="L14"/>
  <c r="L15"/>
  <c r="G16" i="1" l="1"/>
  <c r="H16" l="1"/>
  <c r="H3" i="13" l="1"/>
  <c r="K3" s="1"/>
  <c r="H5"/>
  <c r="H6"/>
  <c r="H7"/>
  <c r="H8"/>
  <c r="H9"/>
  <c r="K9" s="1"/>
  <c r="H10" i="27"/>
  <c r="H11" i="13"/>
  <c r="H12"/>
  <c r="L12" i="5"/>
  <c r="H13" i="13"/>
  <c r="H14"/>
  <c r="H15"/>
  <c r="N16"/>
  <c r="AE5" i="26"/>
  <c r="AG5" s="1"/>
  <c r="F6" i="27"/>
  <c r="AE9" i="26"/>
  <c r="AG9" s="1"/>
  <c r="F11" i="27"/>
  <c r="AE13" i="26"/>
  <c r="AG13" s="1"/>
  <c r="AE14"/>
  <c r="AG14" s="1"/>
  <c r="AF16"/>
  <c r="D6" i="27"/>
  <c r="D10"/>
  <c r="D14"/>
  <c r="E5"/>
  <c r="E6"/>
  <c r="E7"/>
  <c r="E9"/>
  <c r="E10"/>
  <c r="E11"/>
  <c r="E13"/>
  <c r="E14"/>
  <c r="I13" i="5" l="1"/>
  <c r="O13" i="9"/>
  <c r="I14" i="5"/>
  <c r="O14" i="9"/>
  <c r="I9" i="5"/>
  <c r="O9" i="9"/>
  <c r="I5" i="5"/>
  <c r="O5" i="9"/>
  <c r="I3" i="27"/>
  <c r="W3"/>
  <c r="I9"/>
  <c r="W9"/>
  <c r="L16" i="5"/>
  <c r="D16" i="27"/>
  <c r="E16"/>
  <c r="F14"/>
  <c r="L9" i="13"/>
  <c r="F5" i="27"/>
  <c r="AE6" i="26"/>
  <c r="AG6" s="1"/>
  <c r="K15" i="13"/>
  <c r="L15"/>
  <c r="H15" i="27"/>
  <c r="AE7" i="26"/>
  <c r="AG7" s="1"/>
  <c r="F7" i="27"/>
  <c r="K13" i="13"/>
  <c r="K8"/>
  <c r="F10" i="27"/>
  <c r="K6" i="13"/>
  <c r="L6"/>
  <c r="H6" i="27"/>
  <c r="H4"/>
  <c r="K12" i="13"/>
  <c r="L12"/>
  <c r="F13" i="27"/>
  <c r="V16" i="26"/>
  <c r="H13" i="27"/>
  <c r="H8"/>
  <c r="L13" i="13"/>
  <c r="L8"/>
  <c r="V10" i="27"/>
  <c r="H5"/>
  <c r="K5" i="13"/>
  <c r="L5"/>
  <c r="H14" i="27"/>
  <c r="K14" i="13"/>
  <c r="H11" i="27"/>
  <c r="L11" i="13"/>
  <c r="H7" i="27"/>
  <c r="K7" i="13"/>
  <c r="G16"/>
  <c r="F9" i="27"/>
  <c r="AE11" i="26"/>
  <c r="AG11" s="1"/>
  <c r="L14" i="13"/>
  <c r="K11"/>
  <c r="L7"/>
  <c r="H12" i="27"/>
  <c r="H9"/>
  <c r="H3"/>
  <c r="L3" i="13"/>
  <c r="H16"/>
  <c r="I11" i="5" l="1"/>
  <c r="O11" i="9"/>
  <c r="I7" i="5"/>
  <c r="O7" i="9"/>
  <c r="I6" i="5"/>
  <c r="O6" i="9"/>
  <c r="V8" i="27"/>
  <c r="V7"/>
  <c r="V5"/>
  <c r="J7"/>
  <c r="X7"/>
  <c r="J12"/>
  <c r="X12"/>
  <c r="J6"/>
  <c r="X6"/>
  <c r="I7"/>
  <c r="W7"/>
  <c r="G4"/>
  <c r="V4"/>
  <c r="I10"/>
  <c r="W10"/>
  <c r="J9"/>
  <c r="X9"/>
  <c r="J14"/>
  <c r="X14"/>
  <c r="I11"/>
  <c r="W11"/>
  <c r="I14"/>
  <c r="W14"/>
  <c r="J4"/>
  <c r="X4"/>
  <c r="I12"/>
  <c r="W12"/>
  <c r="I4"/>
  <c r="W4"/>
  <c r="I6"/>
  <c r="W6"/>
  <c r="J15"/>
  <c r="X15"/>
  <c r="V3"/>
  <c r="V9"/>
  <c r="V15"/>
  <c r="V13"/>
  <c r="J13"/>
  <c r="X13"/>
  <c r="I8"/>
  <c r="W8"/>
  <c r="I5"/>
  <c r="W5"/>
  <c r="J8"/>
  <c r="X8"/>
  <c r="J3"/>
  <c r="X3"/>
  <c r="J11"/>
  <c r="X11"/>
  <c r="J5"/>
  <c r="X5"/>
  <c r="G6"/>
  <c r="V6"/>
  <c r="J10"/>
  <c r="X10"/>
  <c r="I13"/>
  <c r="W13"/>
  <c r="I15"/>
  <c r="W15"/>
  <c r="G12"/>
  <c r="V12"/>
  <c r="V11"/>
  <c r="V14"/>
  <c r="O13" i="13"/>
  <c r="O6"/>
  <c r="G13" i="27"/>
  <c r="G10"/>
  <c r="G15"/>
  <c r="O15" i="13"/>
  <c r="G8" i="27"/>
  <c r="O8" i="13"/>
  <c r="O12"/>
  <c r="AG16" i="26"/>
  <c r="G3" i="27"/>
  <c r="O3" i="13"/>
  <c r="J16"/>
  <c r="G5" i="27"/>
  <c r="O5" i="13"/>
  <c r="K16"/>
  <c r="AE16" i="26"/>
  <c r="G14" i="27"/>
  <c r="O14" i="13"/>
  <c r="L16"/>
  <c r="G9" i="27"/>
  <c r="O9" i="13"/>
  <c r="G7" i="27"/>
  <c r="O7" i="13"/>
  <c r="G11" i="27"/>
  <c r="O11" i="13"/>
  <c r="I16"/>
  <c r="F16" i="27"/>
  <c r="O16" i="9" l="1"/>
  <c r="I16" i="5"/>
  <c r="M7" i="13"/>
  <c r="E7" i="1" s="1"/>
  <c r="L7" s="1"/>
  <c r="K7" i="9"/>
  <c r="M5" i="13"/>
  <c r="E5" i="1" s="1"/>
  <c r="L5" s="1"/>
  <c r="O5" s="1"/>
  <c r="K5" i="9"/>
  <c r="M11" i="13"/>
  <c r="E11" i="1" s="1"/>
  <c r="L11" s="1"/>
  <c r="K11" i="9"/>
  <c r="M14" i="13"/>
  <c r="E14" i="1" s="1"/>
  <c r="L14" s="1"/>
  <c r="K14" i="9"/>
  <c r="M12" i="13"/>
  <c r="E12" i="1" s="1"/>
  <c r="L12" s="1"/>
  <c r="O12" s="1"/>
  <c r="K12" i="9"/>
  <c r="M6" i="13"/>
  <c r="E6" i="1" s="1"/>
  <c r="L6" s="1"/>
  <c r="K6" i="9"/>
  <c r="I16" i="27"/>
  <c r="M9" i="13"/>
  <c r="E9" i="1" s="1"/>
  <c r="L9" s="1"/>
  <c r="K9" i="9"/>
  <c r="M3" i="13"/>
  <c r="E3" i="1" s="1"/>
  <c r="L3" s="1"/>
  <c r="K3" i="9"/>
  <c r="M13" i="13"/>
  <c r="E13" i="1" s="1"/>
  <c r="L13" s="1"/>
  <c r="K13" i="9"/>
  <c r="M8" i="13"/>
  <c r="E8" i="1" s="1"/>
  <c r="L8" s="1"/>
  <c r="K8" i="9"/>
  <c r="M15" i="13"/>
  <c r="E15" i="1" s="1"/>
  <c r="L15" s="1"/>
  <c r="O15" s="1"/>
  <c r="K15" i="9"/>
  <c r="J16" i="27"/>
  <c r="H16"/>
  <c r="O16" i="13"/>
  <c r="G16" i="27"/>
  <c r="O8" i="1" l="1"/>
  <c r="M8" i="9" s="1"/>
  <c r="O14" i="1"/>
  <c r="O13"/>
  <c r="O11"/>
  <c r="O6"/>
  <c r="O3"/>
  <c r="O9"/>
  <c r="O7"/>
  <c r="T8" i="5"/>
  <c r="T13"/>
  <c r="T5"/>
  <c r="T15"/>
  <c r="T6"/>
  <c r="T12"/>
  <c r="T14"/>
  <c r="T11"/>
  <c r="T3"/>
  <c r="T9"/>
  <c r="T7"/>
  <c r="C6" i="23"/>
  <c r="C12"/>
  <c r="C5"/>
  <c r="C14"/>
  <c r="C11"/>
  <c r="C15"/>
  <c r="N8" i="9"/>
  <c r="F8" i="5"/>
  <c r="H8" s="1"/>
  <c r="N15" i="9"/>
  <c r="F15" i="5"/>
  <c r="H15" s="1"/>
  <c r="N13" i="9"/>
  <c r="F13" i="5"/>
  <c r="H13" s="1"/>
  <c r="N3" i="9"/>
  <c r="F3" i="5"/>
  <c r="H3" s="1"/>
  <c r="N14" i="9"/>
  <c r="F14" i="5"/>
  <c r="H14" s="1"/>
  <c r="N11" i="9"/>
  <c r="F11" i="5"/>
  <c r="H11" s="1"/>
  <c r="F9"/>
  <c r="H9" s="1"/>
  <c r="N9" i="9"/>
  <c r="N6"/>
  <c r="F6" i="5"/>
  <c r="H6" s="1"/>
  <c r="N12" i="9"/>
  <c r="F12" i="5"/>
  <c r="H12" s="1"/>
  <c r="F5"/>
  <c r="H5" s="1"/>
  <c r="N5" i="9"/>
  <c r="N7"/>
  <c r="F7" i="5"/>
  <c r="H7" s="1"/>
  <c r="C9" i="23"/>
  <c r="C8"/>
  <c r="K16" i="9"/>
  <c r="M16" i="13"/>
  <c r="K8" i="5" l="1"/>
  <c r="V14"/>
  <c r="V12"/>
  <c r="V11"/>
  <c r="D5" i="23"/>
  <c r="E5" s="1"/>
  <c r="J5" i="9"/>
  <c r="P5" i="10" s="1"/>
  <c r="M5" i="9"/>
  <c r="K5" i="5" s="1"/>
  <c r="D11" i="23"/>
  <c r="E11" s="1"/>
  <c r="J11" i="9"/>
  <c r="P11" i="10" s="1"/>
  <c r="M11" i="9"/>
  <c r="K11" i="5" s="1"/>
  <c r="J7" i="9"/>
  <c r="P7" i="10" s="1"/>
  <c r="J12" i="9"/>
  <c r="P12" i="10" s="1"/>
  <c r="D12" i="23"/>
  <c r="E12" s="1"/>
  <c r="M12" i="9"/>
  <c r="K12" i="5" s="1"/>
  <c r="J9" i="9"/>
  <c r="P9" i="10" s="1"/>
  <c r="D9" i="23"/>
  <c r="E9" s="1"/>
  <c r="M9" i="9"/>
  <c r="K9" i="5" s="1"/>
  <c r="J13" i="9"/>
  <c r="P13" i="10" s="1"/>
  <c r="M13" i="9"/>
  <c r="K13" i="5" s="1"/>
  <c r="D15" i="23"/>
  <c r="E15" s="1"/>
  <c r="J15" i="9"/>
  <c r="P15" i="10" s="1"/>
  <c r="M15" i="9"/>
  <c r="K15" i="5" s="1"/>
  <c r="P10" i="10"/>
  <c r="M7" i="9"/>
  <c r="K7" i="5" s="1"/>
  <c r="D6" i="23"/>
  <c r="E6" s="1"/>
  <c r="J6" i="9"/>
  <c r="P6" i="10" s="1"/>
  <c r="M6" i="9"/>
  <c r="K6" i="5" s="1"/>
  <c r="V7"/>
  <c r="V3"/>
  <c r="V6"/>
  <c r="V9"/>
  <c r="D8" i="23"/>
  <c r="E8" s="1"/>
  <c r="J8" i="9"/>
  <c r="P8" i="10" s="1"/>
  <c r="V13" i="5"/>
  <c r="V15"/>
  <c r="V8"/>
  <c r="D14" i="23"/>
  <c r="E14" s="1"/>
  <c r="J14" i="9"/>
  <c r="P14" i="10" s="1"/>
  <c r="M14" i="9"/>
  <c r="K14" i="5" s="1"/>
  <c r="J3" i="9"/>
  <c r="P3" i="10" s="1"/>
  <c r="M3" i="9"/>
  <c r="K3" i="5" s="1"/>
  <c r="P4" i="10"/>
  <c r="N16" i="9"/>
  <c r="F16" i="5"/>
  <c r="N16" i="1"/>
  <c r="E16"/>
  <c r="L16"/>
  <c r="J15" i="5" l="1"/>
  <c r="P15" s="1"/>
  <c r="J14"/>
  <c r="P14" s="1"/>
  <c r="J12"/>
  <c r="P12" s="1"/>
  <c r="J8"/>
  <c r="P8" s="1"/>
  <c r="J13"/>
  <c r="P13" s="1"/>
  <c r="J9"/>
  <c r="P9" s="1"/>
  <c r="J7"/>
  <c r="P7" s="1"/>
  <c r="J6"/>
  <c r="P6" s="1"/>
  <c r="J11"/>
  <c r="P11" s="1"/>
  <c r="J3"/>
  <c r="P3" s="1"/>
  <c r="V5"/>
  <c r="J16" i="9"/>
  <c r="H16" i="5"/>
  <c r="D16" i="23"/>
  <c r="J5" i="5" l="1"/>
  <c r="P5" s="1"/>
  <c r="P16" i="10"/>
  <c r="T16" i="5"/>
  <c r="E16" i="23"/>
  <c r="C16"/>
  <c r="O16" i="1"/>
  <c r="M16" i="9" l="1"/>
  <c r="V16" i="5"/>
  <c r="R16" l="1"/>
  <c r="K16"/>
  <c r="J16"/>
  <c r="M16"/>
  <c r="P16" l="1"/>
</calcChain>
</file>

<file path=xl/sharedStrings.xml><?xml version="1.0" encoding="utf-8"?>
<sst xmlns="http://schemas.openxmlformats.org/spreadsheetml/2006/main" count="1139" uniqueCount="609">
  <si>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</si>
  <si>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</si>
  <si>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</si>
  <si>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</si>
  <si>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</si>
  <si>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</si>
  <si>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</si>
  <si>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</si>
  <si>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</si>
  <si>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</si>
  <si>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</si>
  <si>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</si>
  <si>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</si>
  <si>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</si>
  <si>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</si>
  <si>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</si>
  <si>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</si>
  <si>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</si>
  <si>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</si>
  <si>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</si>
  <si>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</si>
  <si>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</si>
  <si>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</si>
  <si>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</si>
  <si>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</si>
  <si>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</si>
  <si>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</si>
  <si>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</si>
  <si>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</si>
  <si>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</si>
  <si>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</si>
  <si>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</si>
  <si>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</si>
  <si>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</si>
  <si>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</si>
  <si>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</si>
  <si>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</si>
  <si>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</si>
  <si>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</si>
  <si>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</si>
  <si>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</si>
  <si>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</si>
  <si>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</si>
  <si>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</si>
  <si>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</si>
  <si>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</si>
  <si>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</si>
  <si>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</si>
  <si>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</si>
  <si>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</si>
  <si>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</si>
  <si>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</si>
  <si>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</si>
  <si>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</si>
  <si>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</si>
  <si>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</si>
  <si>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</si>
  <si>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</si>
  <si>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</si>
  <si>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</si>
  <si>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</si>
  <si>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</si>
  <si>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</si>
  <si>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</si>
  <si>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</si>
  <si>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</si>
  <si>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</si>
  <si>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</si>
  <si>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</si>
  <si>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</si>
  <si>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</si>
  <si>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</si>
  <si>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</si>
  <si>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</si>
  <si>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</si>
  <si>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</si>
  <si>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</si>
  <si>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</si>
  <si>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</si>
  <si>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</si>
  <si>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</si>
  <si>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</si>
  <si>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</si>
  <si>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</si>
  <si>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</si>
  <si>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</si>
  <si>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</si>
  <si>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</si>
  <si>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</si>
  <si>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</si>
  <si>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</si>
  <si>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</si>
  <si>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</si>
  <si>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</si>
  <si>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</si>
  <si>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</si>
  <si>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</si>
  <si>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</si>
  <si>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</si>
  <si>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</si>
  <si>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</si>
  <si>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</si>
  <si>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</si>
  <si>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</si>
  <si>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</si>
  <si>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</si>
  <si>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</si>
  <si>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</si>
  <si>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</si>
  <si>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</si>
  <si>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</si>
  <si>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</si>
  <si>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</si>
  <si>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</si>
  <si>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</si>
  <si>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</si>
  <si>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</si>
  <si>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</si>
  <si>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</si>
  <si>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</si>
  <si>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</si>
  <si>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</si>
  <si>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</si>
  <si>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</si>
  <si>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</si>
  <si>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</si>
  <si>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</si>
  <si>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</si>
  <si>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</si>
  <si>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</si>
  <si>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</si>
  <si>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</si>
  <si>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</si>
  <si>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</si>
  <si>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</si>
  <si>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</si>
  <si>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</si>
  <si>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</si>
  <si>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</si>
  <si>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</si>
  <si>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</si>
  <si>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</si>
  <si>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</si>
  <si>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</si>
  <si>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</si>
  <si>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</si>
  <si>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</si>
  <si>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</si>
  <si>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</si>
  <si>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</si>
  <si>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</si>
  <si>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</si>
  <si>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</si>
  <si>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</si>
  <si>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</si>
  <si>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</si>
  <si>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</si>
  <si>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</si>
  <si>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</si>
  <si>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</si>
  <si>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</si>
  <si>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</si>
  <si>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</si>
  <si>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</si>
  <si>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</si>
  <si>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</si>
  <si>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</si>
  <si>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</si>
  <si>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</si>
  <si>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</si>
  <si>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</si>
  <si>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</si>
  <si>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</si>
  <si>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</si>
  <si>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</si>
  <si>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</si>
  <si>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</si>
  <si>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</si>
  <si>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</si>
  <si>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</si>
  <si>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</si>
  <si>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</si>
  <si>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</si>
  <si>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</si>
  <si>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</si>
  <si>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</si>
  <si>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</si>
  <si>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</si>
  <si>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</si>
  <si>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</si>
  <si>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</si>
  <si>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</si>
  <si>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</si>
  <si>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</si>
  <si>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</si>
  <si>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</si>
  <si>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</si>
  <si>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</si>
  <si>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</si>
  <si>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</si>
  <si>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</si>
  <si>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</si>
  <si>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</si>
  <si>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</si>
  <si>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</si>
  <si>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</si>
  <si>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</si>
  <si>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</si>
  <si>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</si>
  <si>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</si>
  <si>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</si>
  <si>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</si>
  <si>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</si>
  <si>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</si>
  <si>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</si>
  <si>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</si>
  <si>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</si>
  <si>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</si>
  <si>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</si>
  <si>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</si>
  <si>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</si>
  <si>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</si>
  <si>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</si>
  <si>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</si>
  <si>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</si>
  <si>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</si>
  <si>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</si>
  <si>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</si>
  <si>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*2γ*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</si>
  <si>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</si>
  <si>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</si>
  <si>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</si>
  <si>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</si>
  <si>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</si>
  <si>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</si>
  <si>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</si>
  <si>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</si>
  <si>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</si>
  <si>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</si>
  <si>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</si>
  <si>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</si>
  <si>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</si>
  <si>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</si>
  <si>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</si>
  <si>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</si>
  <si>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</si>
  <si>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</si>
  <si>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</si>
  <si>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</si>
  <si>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</si>
  <si>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</si>
  <si>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</si>
  <si>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</si>
  <si>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</si>
  <si>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</si>
  <si>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</si>
  <si>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</si>
  <si>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</si>
  <si>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</si>
  <si>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</si>
  <si>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</si>
  <si>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</si>
  <si>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</si>
  <si>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</si>
  <si>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</si>
  <si>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</si>
  <si>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</si>
  <si>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</si>
  <si>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</si>
  <si>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</si>
  <si>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</si>
  <si>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</si>
  <si>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</si>
  <si>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</si>
  <si>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</si>
  <si>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</si>
  <si>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</si>
  <si>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</si>
  <si>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</si>
  <si>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</si>
  <si>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</si>
  <si>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</si>
  <si>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</si>
  <si>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</si>
  <si>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</si>
  <si>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</si>
  <si>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</si>
  <si>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</si>
  <si>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</si>
  <si>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</si>
  <si>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</si>
  <si>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</si>
  <si>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</si>
  <si>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</si>
  <si>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</si>
  <si>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</si>
  <si>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</si>
  <si>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</si>
  <si>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</si>
  <si>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</si>
  <si>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</si>
  <si>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</si>
  <si>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</si>
  <si>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</si>
  <si>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</si>
  <si>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</si>
  <si>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</si>
  <si>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</si>
  <si>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</si>
  <si>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</si>
  <si>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</si>
  <si>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</si>
  <si>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</si>
  <si>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</si>
  <si>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</si>
  <si>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</si>
  <si>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</si>
  <si>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</si>
  <si>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</si>
  <si>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</si>
  <si>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</si>
  <si>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</si>
  <si>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</si>
  <si>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</si>
  <si>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</si>
  <si>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</si>
  <si>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</si>
  <si>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</si>
  <si>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</si>
  <si>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</si>
  <si>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</si>
  <si>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</si>
  <si>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</si>
  <si>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</si>
  <si>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</si>
  <si>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</si>
  <si>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</si>
  <si>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</si>
  <si>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</si>
  <si>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</si>
  <si>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</si>
  <si>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</si>
  <si>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</si>
  <si>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</si>
  <si>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</si>
  <si>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</si>
  <si>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</si>
  <si>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</si>
  <si>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</si>
  <si>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</si>
  <si>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</si>
  <si>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</si>
  <si>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</si>
  <si>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</si>
  <si>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</si>
  <si>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</si>
  <si>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</si>
  <si>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</si>
  <si>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</si>
  <si>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</si>
  <si>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</si>
  <si>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</si>
  <si>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</si>
  <si>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</si>
  <si>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</si>
  <si>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</si>
  <si>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</si>
  <si>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</si>
  <si>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</si>
  <si>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</si>
  <si>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</si>
  <si>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</si>
  <si>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</si>
  <si>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</si>
  <si>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</si>
  <si>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</si>
  <si>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</si>
  <si>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</si>
  <si>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</si>
  <si>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</si>
  <si>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</si>
  <si>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</si>
  <si>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</si>
  <si>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</si>
  <si>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</si>
  <si>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</si>
  <si>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</si>
  <si>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</si>
  <si>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</si>
  <si>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</si>
  <si>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</si>
  <si>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</si>
  <si>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</si>
  <si>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</si>
  <si>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</si>
  <si>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</si>
  <si>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</si>
  <si>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</si>
  <si>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</si>
  <si>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</si>
  <si>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</si>
  <si>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</si>
  <si>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</si>
  <si>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</si>
  <si>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</si>
  <si>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</si>
  <si>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</si>
  <si>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</si>
  <si>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</si>
  <si>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</si>
  <si>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</si>
  <si>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</si>
  <si>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</si>
  <si>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</si>
  <si>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</si>
  <si>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</si>
  <si>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</si>
  <si>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</si>
  <si>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</si>
  <si>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</si>
  <si>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</si>
  <si>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</si>
  <si>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</si>
  <si>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</si>
  <si>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</si>
  <si>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</si>
  <si>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</si>
  <si>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</si>
  <si>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</si>
  <si>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</si>
  <si>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</si>
  <si>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</si>
  <si>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</si>
  <si>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</si>
  <si>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</si>
  <si>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</si>
  <si>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</si>
  <si>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</si>
  <si>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</si>
  <si>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</si>
  <si>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</si>
  <si>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</si>
  <si>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</si>
  <si>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</si>
  <si>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</si>
  <si>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</si>
  <si>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</si>
  <si>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</si>
  <si>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</si>
  <si>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</si>
  <si>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</si>
  <si>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</si>
  <si>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</si>
  <si>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</si>
  <si>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</si>
  <si>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</si>
  <si>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</si>
  <si>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</si>
  <si>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</si>
  <si>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</si>
  <si>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</si>
  <si>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</si>
  <si>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</si>
  <si>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</si>
  <si>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</si>
  <si>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</si>
  <si>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</si>
  <si>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</si>
  <si>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</si>
  <si>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</si>
  <si>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</si>
  <si>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</si>
  <si>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</si>
  <si>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</si>
  <si>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</si>
  <si>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</si>
  <si>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</si>
  <si>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</si>
  <si>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</si>
  <si>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</si>
  <si>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</si>
  <si>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</si>
  <si>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</si>
  <si>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</si>
  <si>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</si>
  <si>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</si>
  <si>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</si>
  <si>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</si>
  <si>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</si>
  <si>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</si>
  <si>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</si>
  <si>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</si>
  <si>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</si>
  <si>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</si>
  <si>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</si>
  <si>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</si>
  <si>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</si>
  <si>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</si>
  <si>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</si>
  <si>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</si>
  <si>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</si>
  <si>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</si>
  <si>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</si>
  <si>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</si>
  <si>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</si>
  <si>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</si>
  <si>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</si>
  <si>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</si>
  <si>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</si>
  <si>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</si>
  <si>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</si>
  <si>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</si>
  <si>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</si>
  <si>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</si>
  <si>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</si>
  <si>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</si>
  <si>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</si>
  <si>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από σημειώσεις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</si>
  <si>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</si>
  <si>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</si>
  <si>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</si>
  <si>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</si>
  <si>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</si>
  <si>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</si>
  <si>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</si>
  <si>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</si>
  <si>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</si>
  <si>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</si>
  <si>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</si>
  <si>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</si>
  <si>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έπρεπεΒάσειΑΓΑΠΕ</t>
  </si>
  <si>
    <t>έπρεπε βάσει Ζηλ</t>
  </si>
  <si>
    <t>παγια</t>
  </si>
  <si>
    <t>πάγιοΑναλογικής</t>
  </si>
  <si>
    <t>2' φύλλα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</si>
  <si>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</si>
  <si>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</si>
  <si>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</si>
  <si>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1] υποθηκη 1.635.748δρχ</t>
  </si>
  <si>
    <t>1] υποθηκη 3.119.471δρχ</t>
  </si>
  <si>
    <t>το ακίνητο είχε εκτιμηθεί για 8.000.000δρχ</t>
  </si>
  <si>
    <t>1η προσφορά κατάσχεσης = 4.000.000δρχ</t>
  </si>
  <si>
    <t>οφειλόμενο 1.635.748 ΥΠΟΛΟΙΠΟ = 1.344.554ΔΡΧ</t>
  </si>
  <si>
    <t>ΒΑΡΗ ακινητου</t>
  </si>
  <si>
    <t>κατάσχεση για 1.635.748δρχ</t>
  </si>
  <si>
    <t>τα ίδια με το 1.602</t>
  </si>
  <si>
    <t>ΠΕΙΡΑΩΣ-14/5/2003</t>
  </si>
  <si>
    <t>οικόπεδο 323,77μ2 ΜΕ οικια παλαια 65,04μ2 (σε κάθε όροφο)</t>
  </si>
  <si>
    <t>ΠΡΑΞΕΙΣ</t>
  </si>
  <si>
    <t>υποθήκη δανείου Β' …. ΕΞΑΛΕΙΨΗ</t>
  </si>
  <si>
    <t>τόκοι δανείου Β' [προυπολογιζόμενοι VS πληρωμένοι]</t>
  </si>
  <si>
    <t>υποθήκη δανείου Α' …. ΕΞΑΛΕΙΨΗ</t>
  </si>
  <si>
    <t>τόκοι δανείου Α' [προυπολογιζόμενοι VS πληρωμένοι]</t>
  </si>
  <si>
    <t>τόκοι δανείου Γ' [προυπολογιζόμενοι VS πληρωμένοι]</t>
  </si>
  <si>
    <t>δάνειο  Α.2' = 3.119.471δρχ [= 9.154,72€]</t>
  </si>
  <si>
    <t>υποθήκη δανείου Α.2' = 3.119.471δρχ [= 9.154,72€]</t>
  </si>
  <si>
    <t xml:space="preserve">τόκοι δανείου Α.2' = </t>
  </si>
  <si>
    <t>δάνειο Β.2' = 1.635.748δρχ [= 4.800,44€]</t>
  </si>
  <si>
    <t>υποθήκη δανείου β.2' = 1.635.748δρχ [= 4.800,44€]</t>
  </si>
  <si>
    <t xml:space="preserve">τόκοι δανείου β.2' = </t>
  </si>
  <si>
    <t>κατασχέσεως ΑΡΣΗ για δάνειο Β.2'  [1.635.748δρχ = 4.800,44€]</t>
  </si>
  <si>
    <t>δανείου  Β.2' ΕΞΟΦΛΗΣΗ ΥΠΟΛΟΙΠΟΥ = 1.635.748δρχ [= 4.800,44€]</t>
  </si>
  <si>
    <t>τόκοι δανείου Β.2' [προυπολογιζόμενοι VS πληρωμένοι]</t>
  </si>
  <si>
    <t>δανείου  Α' ΕΞΟΦΛΗΣΗ [= 6.000.000δρχ</t>
  </si>
  <si>
    <t>δανείου Α.2' ΕΞΟΦΛΗΣΗ ΥΠΟΛΟΙΠΟΥ = 3.119.471δρχ [= 9.154,72€]</t>
  </si>
  <si>
    <t>τόκοι δανείου Α.2' [προυπολογιζόμενοι VS πληρωμένοι]</t>
  </si>
  <si>
    <t>δανείου Γ' ΕΞΟΦΛΗΣΗ = ???δρχ [= ???€]</t>
  </si>
  <si>
    <t>δάνειο  Γ' με αγροτικη = ????δρχ</t>
  </si>
  <si>
    <t>υποθήκη δανείου Γ' …. ΕΞΑΛΕΙΨΗ [= 5.450.000δρχ</t>
  </si>
  <si>
    <t>δανείου  Β' ΕΞΟΦΛΗΣΗ [= 2.500.000δρχ [= 7.336,76€]</t>
  </si>
  <si>
    <t>δάνειο  Β' με εθνικη = 2.500.000δρχ [= 7.336,76</t>
  </si>
  <si>
    <t>δανείου  Β' ΕΞΟΦΛΗΣΗ [= 2.500.000δρχ</t>
  </si>
  <si>
    <t>δανείου  Β.2' ΕΞΟΦΛΗΣΗ ΥΠΟΛΟΙΠΟΥ = 1.635.748δρχ</t>
  </si>
  <si>
    <t>υποθήκη δανείου Β' = 2.777.777δρχ [= 8.151.,95€]</t>
  </si>
  <si>
    <t xml:space="preserve">δανείου Α.2' ΕΞΟΦΛΗΣΗ ΥΠΟΛΟΙΠΟΥ = 3.119.471δρχ </t>
  </si>
  <si>
    <t>δάνειο  Α' με εθνικη = 6.000.000δρχ [= 17.608,22€]</t>
  </si>
  <si>
    <t>υποθήκη δανείου Α' = 6.666.666δρχ [= 19.564,68]</t>
  </si>
  <si>
    <t>υποθήκη δανείου Γ' = 5.450.000δρχ [= 15.994,13]</t>
  </si>
  <si>
    <t>πρωτοδΑποφ</t>
  </si>
  <si>
    <t>δανείου ΤΟΚΟΙ [εκκίνηση = 22% ετησίως]] , [εξόφληση σε 28 δόσεις , σε 15έτη = 2002]</t>
  </si>
  <si>
    <t>28 6μηνιαίες δόσεις των 127.883δρχ (375,30€) = 3.580.724δρχ (10.508,36€)  [κάθε 5ο &amp; 11ο</t>
  </si>
  <si>
    <t>ΑΠΌ 219-59κ</t>
  </si>
  <si>
    <t>219κ</t>
  </si>
  <si>
    <t>τόκοι δανείου Γ' = 52.054,15</t>
  </si>
  <si>
    <t>τόκοι δανείου Β' = 23.862,64</t>
  </si>
  <si>
    <t>τόκοι δανείου Α' = 57.318,33</t>
  </si>
  <si>
    <t>ωςΠάγια</t>
  </si>
  <si>
    <t>ΒΑΣΕΙ προσφηλούς διάρκειας 15 ετών της τράπεζα [1999 έγινε η καταγγελία των δανείωνΚΑΙ κατάσχεση</t>
  </si>
  <si>
    <t>κ-15 &amp; ΔΟΛΟΣ σε ΟΡΟΥΣ 1984-5ος</t>
  </si>
  <si>
    <t>2ο</t>
  </si>
  <si>
    <t>3ο</t>
  </si>
  <si>
    <t>1ο</t>
  </si>
  <si>
    <t>τραπεζα …??? [= ???</t>
  </si>
  <si>
    <t>219-67</t>
  </si>
  <si>
    <t>τραπεζας ;;;??? Εγγραφο ΠΡΟΣ 219-67 = για τα 2.500.000 ΥΠΟΛΟΙΠΟΝΤΑΙ 1.489.590</t>
  </si>
  <si>
    <t>τραπεζας ;;;??? έγγραφο ΠΡΟΣ 219-67 = για τα 6.000.000 ΥΠΟΛΟΙΠΟΝΤΑΙ 2.978.142</t>
  </si>
  <si>
    <t>πρωτοδΑποφ = 219-67 &amp; 219-67συζυγο &amp;  εγγυητή  /// δανειο 6.000.000δρχ ΥΠΟΛΟΙΠΟ = 2.978.142δρχ</t>
  </si>
  <si>
    <t>πρωτοδΑποφ = 219-67 &amp; εγγυητή /// δανειο 2.500.000δρχ ΥΠΟΛΟΙΠΟ = 1.489.590δρχ</t>
  </si>
  <si>
    <t>πρωτοδΑποφ = 219-67 &amp; 219-67συζυγο &amp;  εγγυητή /// δανειο 6.000.000δρχ ΥΠΟΛΟΙΠΟ = 2.978.142ΔΡΧ</t>
  </si>
  <si>
    <t>κατασχεσηςΕΚΘΕΣΗ …ΠΡΟΣ 219-67 &amp; εγγυητή [για 1.489.590δρχ</t>
  </si>
  <si>
    <t>εξώδικο τραπεζας ;;;??? προς 219-67 για 3.119.471</t>
  </si>
  <si>
    <t>????</t>
  </si>
  <si>
    <t>κατασχεσηςΠεριληψηΕκθεσης  …. ΠΡΟΣ 219-67</t>
  </si>
  <si>
    <t>υποθήκη 'άλλη τραπεζα 5.450.000δρχ</t>
  </si>
  <si>
    <t>υποθηκη ;;;??? τραπεζας 1.635.748δρχ</t>
  </si>
  <si>
    <t>υποθηκη τραπεζας ;;;???  3.119.471δρχ</t>
  </si>
  <si>
    <t>τραπεζας ;;;??? έγγραφο ΠΡΟΣ 219-67 = για υποθηκών ΕΞΑΛΕΙΨΗ … ΕΝΗΜΕΩΡΤΙΚΟ εξόφλησης</t>
  </si>
  <si>
    <t>αγοραπωλησία [το ακίνητο του 1ου ]  [τα 15.994,13 για άρσηΚατάσχεσης] τίμημα = Δ.Ο.Υ. =</t>
  </si>
  <si>
    <t>219-67 … ΠΡΟΣ … ???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</si>
</sst>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/>
      <sz val="12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</cellStyleXfs>
  <cellXfs count="780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2" fillId="7" borderId="1" xfId="1" applyNumberFormat="1" applyFont="1" applyFill="1" applyBorder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4" fontId="22" fillId="7" borderId="1" xfId="0" applyNumberFormat="1" applyFont="1" applyFill="1" applyBorder="1"/>
    <xf numFmtId="43" fontId="24" fillId="7" borderId="1" xfId="1" applyFont="1" applyFill="1" applyBorder="1" applyAlignment="1">
      <alignment horizontal="right" vertical="center"/>
    </xf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4" borderId="9" xfId="1" applyFont="1" applyFill="1" applyBorder="1" applyAlignment="1">
      <alignment horizontal="center" vertical="center" wrapText="1"/>
    </xf>
    <xf numFmtId="43" fontId="19" fillId="7" borderId="14" xfId="1" applyFont="1" applyFill="1" applyBorder="1"/>
    <xf numFmtId="164" fontId="24" fillId="7" borderId="18" xfId="1" applyNumberFormat="1" applyFont="1" applyFill="1" applyBorder="1" applyAlignment="1">
      <alignment horizontal="center" vertical="center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0" fontId="22" fillId="0" borderId="1" xfId="0" applyFont="1" applyBorder="1"/>
    <xf numFmtId="164" fontId="22" fillId="7" borderId="1" xfId="1" applyNumberFormat="1" applyFont="1" applyFill="1" applyBorder="1" applyAlignment="1">
      <alignment horizontal="center"/>
    </xf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7" borderId="14" xfId="1" applyNumberFormat="1" applyFont="1" applyFill="1" applyBorder="1" applyAlignment="1">
      <alignment horizontal="left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0" fontId="19" fillId="7" borderId="14" xfId="0" applyFont="1" applyFill="1" applyBorder="1" applyAlignment="1">
      <alignment horizontal="left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164" fontId="37" fillId="7" borderId="2" xfId="1" applyNumberFormat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right" vertical="center"/>
    </xf>
    <xf numFmtId="0" fontId="13" fillId="7" borderId="0" xfId="0" applyFont="1" applyFill="1"/>
    <xf numFmtId="0" fontId="13" fillId="0" borderId="0" xfId="0" applyFont="1"/>
    <xf numFmtId="0" fontId="37" fillId="7" borderId="13" xfId="1" applyNumberFormat="1" applyFont="1" applyFill="1" applyBorder="1" applyAlignment="1">
      <alignment horizontal="left" vertical="center"/>
    </xf>
    <xf numFmtId="164" fontId="37" fillId="7" borderId="1" xfId="1" applyNumberFormat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wrapText="1"/>
    </xf>
    <xf numFmtId="164" fontId="13" fillId="7" borderId="1" xfId="1" applyNumberFormat="1" applyFont="1" applyFill="1" applyBorder="1"/>
    <xf numFmtId="43" fontId="13" fillId="7" borderId="1" xfId="1" applyFont="1" applyFill="1" applyBorder="1"/>
    <xf numFmtId="43" fontId="37" fillId="7" borderId="13" xfId="1" applyFont="1" applyFill="1" applyBorder="1" applyAlignment="1">
      <alignment horizontal="center" vertical="center"/>
    </xf>
    <xf numFmtId="0" fontId="18" fillId="7" borderId="1" xfId="0" applyFont="1" applyFill="1" applyBorder="1" applyAlignment="1">
      <alignment horizontal="left"/>
    </xf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37" fillId="7" borderId="1" xfId="1" applyNumberFormat="1" applyFont="1" applyFill="1" applyBorder="1" applyAlignment="1">
      <alignment horizontal="left" vertical="center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164" fontId="18" fillId="7" borderId="1" xfId="1" applyNumberFormat="1" applyFont="1" applyFill="1" applyBorder="1"/>
    <xf numFmtId="164" fontId="18" fillId="7" borderId="1" xfId="1" applyNumberFormat="1" applyFont="1" applyFill="1" applyBorder="1" applyAlignment="1">
      <alignment horizontal="right" vertical="center"/>
    </xf>
    <xf numFmtId="0" fontId="12" fillId="7" borderId="1" xfId="0" applyFont="1" applyFill="1" applyBorder="1" applyAlignment="1">
      <alignment horizontal="center" wrapText="1"/>
    </xf>
    <xf numFmtId="164" fontId="12" fillId="7" borderId="1" xfId="1" applyNumberFormat="1" applyFont="1" applyFill="1" applyBorder="1"/>
    <xf numFmtId="43" fontId="30" fillId="6" borderId="9" xfId="1" applyFont="1" applyFill="1" applyBorder="1" applyAlignment="1">
      <alignment horizontal="center" vertical="center" wrapText="1"/>
    </xf>
    <xf numFmtId="0" fontId="36" fillId="7" borderId="0" xfId="0" applyFont="1" applyFill="1"/>
    <xf numFmtId="43" fontId="32" fillId="0" borderId="0" xfId="1" applyFont="1"/>
    <xf numFmtId="164" fontId="40" fillId="7" borderId="2" xfId="1" applyNumberFormat="1" applyFont="1" applyFill="1" applyBorder="1" applyAlignment="1">
      <alignment horizontal="center" vertical="center"/>
    </xf>
    <xf numFmtId="0" fontId="41" fillId="7" borderId="1" xfId="0" applyFont="1" applyFill="1" applyBorder="1" applyAlignment="1">
      <alignment horizontal="left"/>
    </xf>
    <xf numFmtId="164" fontId="41" fillId="7" borderId="14" xfId="1" applyNumberFormat="1" applyFont="1" applyFill="1" applyBorder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9" fillId="0" borderId="0" xfId="0" applyFont="1" applyFill="1" applyAlignment="1"/>
    <xf numFmtId="0" fontId="27" fillId="0" borderId="0" xfId="0" applyFont="1" applyAlignment="1"/>
    <xf numFmtId="0" fontId="42" fillId="7" borderId="1" xfId="0" applyFont="1" applyFill="1" applyBorder="1" applyAlignment="1">
      <alignment horizontal="center" wrapText="1"/>
    </xf>
    <xf numFmtId="0" fontId="43" fillId="7" borderId="1" xfId="0" applyFont="1" applyFill="1" applyBorder="1"/>
    <xf numFmtId="0" fontId="43" fillId="7" borderId="1" xfId="0" applyFont="1" applyFill="1" applyBorder="1" applyAlignment="1">
      <alignment horizontal="center" wrapText="1"/>
    </xf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14" fontId="21" fillId="0" borderId="13" xfId="1" applyNumberFormat="1" applyFont="1" applyFill="1" applyBorder="1" applyAlignment="1">
      <alignment horizontal="right"/>
    </xf>
    <xf numFmtId="0" fontId="13" fillId="0" borderId="0" xfId="0" applyFont="1" applyFill="1"/>
    <xf numFmtId="0" fontId="43" fillId="0" borderId="0" xfId="0" applyFont="1" applyAlignment="1">
      <alignment horizontal="left"/>
    </xf>
    <xf numFmtId="164" fontId="9" fillId="7" borderId="1" xfId="1" applyNumberFormat="1" applyFont="1" applyFill="1" applyBorder="1" applyAlignment="1">
      <alignment horizontal="center" wrapText="1"/>
    </xf>
    <xf numFmtId="0" fontId="28" fillId="7" borderId="0" xfId="0" applyFont="1" applyFill="1" applyAlignment="1"/>
    <xf numFmtId="0" fontId="28" fillId="0" borderId="0" xfId="0" applyFont="1" applyFill="1" applyAlignment="1"/>
    <xf numFmtId="43" fontId="43" fillId="7" borderId="14" xfId="1" applyFont="1" applyFill="1" applyBorder="1"/>
    <xf numFmtId="43" fontId="21" fillId="0" borderId="0" xfId="1" applyFont="1" applyFill="1" applyBorder="1" applyAlignment="1">
      <alignment horizontal="center" wrapText="1"/>
    </xf>
    <xf numFmtId="0" fontId="24" fillId="7" borderId="1" xfId="1" applyNumberFormat="1" applyFont="1" applyFill="1" applyBorder="1" applyAlignment="1">
      <alignment horizontal="left" vertical="center"/>
    </xf>
    <xf numFmtId="164" fontId="22" fillId="7" borderId="1" xfId="1" applyNumberFormat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165" fontId="43" fillId="7" borderId="1" xfId="1" applyNumberFormat="1" applyFont="1" applyFill="1" applyBorder="1" applyAlignment="1">
      <alignment horizont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43" fillId="7" borderId="14" xfId="0" applyFont="1" applyFill="1" applyBorder="1" applyAlignment="1">
      <alignment horizontal="center" wrapText="1"/>
    </xf>
    <xf numFmtId="43" fontId="43" fillId="7" borderId="14" xfId="1" applyFont="1" applyFill="1" applyBorder="1" applyAlignment="1">
      <alignment horizontal="center"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wrapText="1"/>
    </xf>
    <xf numFmtId="0" fontId="43" fillId="0" borderId="0" xfId="0" applyFont="1" applyFill="1" applyAlignment="1">
      <alignment horizontal="center" wrapText="1"/>
    </xf>
    <xf numFmtId="0" fontId="8" fillId="7" borderId="1" xfId="0" applyFont="1" applyFill="1" applyBorder="1" applyAlignment="1">
      <alignment horizontal="center" wrapText="1"/>
    </xf>
    <xf numFmtId="43" fontId="22" fillId="0" borderId="21" xfId="1" applyFont="1" applyFill="1" applyBorder="1" applyAlignment="1">
      <alignment horizontal="center" vertical="center" wrapText="1"/>
    </xf>
    <xf numFmtId="43" fontId="22" fillId="7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0" fontId="22" fillId="5" borderId="15" xfId="0" applyFont="1" applyFill="1" applyBorder="1"/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164" fontId="22" fillId="0" borderId="1" xfId="1" applyNumberFormat="1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164" fontId="43" fillId="7" borderId="1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0" fontId="44" fillId="0" borderId="0" xfId="0" applyFont="1" applyFill="1" applyAlignment="1">
      <alignment horizontal="left"/>
    </xf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164" fontId="43" fillId="7" borderId="14" xfId="1" applyNumberFormat="1" applyFont="1" applyFill="1" applyBorder="1"/>
    <xf numFmtId="43" fontId="21" fillId="0" borderId="10" xfId="1" applyFont="1" applyFill="1" applyBorder="1" applyAlignment="1">
      <alignment horizontal="center" vertical="center" wrapText="1"/>
    </xf>
    <xf numFmtId="0" fontId="28" fillId="0" borderId="0" xfId="0" applyFont="1" applyFill="1" applyAlignment="1">
      <alignment horizontal="left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30" fillId="0" borderId="10" xfId="1" applyFont="1" applyFill="1" applyBorder="1" applyAlignment="1">
      <alignment horizontal="center"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41" fillId="7" borderId="1" xfId="1" applyNumberFormat="1" applyFont="1" applyFill="1" applyBorder="1" applyAlignment="1">
      <alignment horizontal="center" vertical="center"/>
    </xf>
    <xf numFmtId="164" fontId="36" fillId="7" borderId="1" xfId="1" applyNumberFormat="1" applyFont="1" applyFill="1" applyBorder="1"/>
    <xf numFmtId="164" fontId="38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164" fontId="18" fillId="7" borderId="14" xfId="1" applyNumberFormat="1" applyFont="1" applyFill="1" applyBorder="1" applyAlignment="1">
      <alignment horizontal="right" vertical="center"/>
    </xf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22" fillId="12" borderId="14" xfId="1" applyNumberFormat="1" applyFont="1" applyFill="1" applyBorder="1"/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19" fillId="7" borderId="1" xfId="1" applyFont="1" applyFill="1" applyBorder="1"/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43" fillId="7" borderId="1" xfId="1" applyFont="1" applyFill="1" applyBorder="1" applyAlignment="1">
      <alignment horizontal="center" wrapText="1"/>
    </xf>
    <xf numFmtId="0" fontId="43" fillId="7" borderId="0" xfId="0" applyFont="1" applyFill="1" applyAlignment="1">
      <alignment horizontal="left"/>
    </xf>
    <xf numFmtId="43" fontId="19" fillId="3" borderId="14" xfId="1" applyFont="1" applyFill="1" applyBorder="1"/>
    <xf numFmtId="43" fontId="22" fillId="7" borderId="14" xfId="1" applyFont="1" applyFill="1" applyBorder="1" applyAlignment="1">
      <alignment horizontal="center" wrapText="1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43" fontId="43" fillId="7" borderId="14" xfId="0" applyNumberFormat="1" applyFont="1" applyFill="1" applyBorder="1" applyAlignment="1">
      <alignment horizontal="center" wrapText="1"/>
    </xf>
    <xf numFmtId="0" fontId="19" fillId="0" borderId="0" xfId="0" applyFont="1" applyFill="1"/>
    <xf numFmtId="43" fontId="19" fillId="0" borderId="0" xfId="1" applyFont="1" applyFill="1"/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22" fillId="0" borderId="15" xfId="0" applyFont="1" applyFill="1" applyBorder="1"/>
    <xf numFmtId="43" fontId="21" fillId="0" borderId="10" xfId="1" applyFont="1" applyFill="1" applyBorder="1" applyAlignment="1">
      <alignment horizontal="center"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164" fontId="24" fillId="0" borderId="2" xfId="1" applyNumberFormat="1" applyFont="1" applyFill="1" applyBorder="1" applyAlignment="1">
      <alignment horizontal="center" vertical="center"/>
    </xf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43" fontId="22" fillId="4" borderId="1" xfId="1" applyFont="1" applyFill="1" applyBorder="1"/>
    <xf numFmtId="164" fontId="22" fillId="4" borderId="1" xfId="1" applyNumberFormat="1" applyFont="1" applyFill="1" applyBorder="1"/>
    <xf numFmtId="14" fontId="22" fillId="0" borderId="1" xfId="0" applyNumberFormat="1" applyFont="1" applyBorder="1"/>
    <xf numFmtId="14" fontId="19" fillId="7" borderId="1" xfId="1" applyNumberFormat="1" applyFont="1" applyFill="1" applyBorder="1" applyAlignment="1">
      <alignment horizontal="center" vertical="center"/>
    </xf>
    <xf numFmtId="14" fontId="19" fillId="0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wrapText="1"/>
    </xf>
    <xf numFmtId="0" fontId="22" fillId="0" borderId="14" xfId="1" applyNumberFormat="1" applyFont="1" applyFill="1" applyBorder="1" applyAlignment="1">
      <alignment horizontal="left" wrapText="1"/>
    </xf>
    <xf numFmtId="43" fontId="19" fillId="0" borderId="14" xfId="1" applyFont="1" applyFill="1" applyBorder="1"/>
    <xf numFmtId="164" fontId="19" fillId="0" borderId="14" xfId="1" applyNumberFormat="1" applyFont="1" applyFill="1" applyBorder="1"/>
    <xf numFmtId="14" fontId="22" fillId="0" borderId="1" xfId="0" applyNumberFormat="1" applyFont="1" applyFill="1" applyBorder="1"/>
    <xf numFmtId="165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/>
    <xf numFmtId="0" fontId="43" fillId="3" borderId="1" xfId="0" applyFont="1" applyFill="1" applyBorder="1"/>
    <xf numFmtId="0" fontId="19" fillId="0" borderId="1" xfId="0" applyFont="1" applyFill="1" applyBorder="1" applyAlignment="1">
      <alignment horizontal="left"/>
    </xf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164" fontId="18" fillId="0" borderId="1" xfId="1" applyNumberFormat="1" applyFont="1" applyFill="1" applyBorder="1" applyAlignment="1">
      <alignment horizontal="right" vertical="center"/>
    </xf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43" fontId="43" fillId="0" borderId="1" xfId="1" applyFont="1" applyFill="1" applyBorder="1" applyAlignment="1">
      <alignment horizontal="center" wrapText="1"/>
    </xf>
    <xf numFmtId="0" fontId="43" fillId="0" borderId="14" xfId="0" applyFont="1" applyFill="1" applyBorder="1" applyAlignment="1">
      <alignment horizontal="center" wrapText="1"/>
    </xf>
    <xf numFmtId="43" fontId="43" fillId="0" borderId="14" xfId="0" applyNumberFormat="1" applyFont="1" applyFill="1" applyBorder="1" applyAlignment="1">
      <alignment horizontal="center" wrapText="1"/>
    </xf>
    <xf numFmtId="43" fontId="43" fillId="0" borderId="14" xfId="1" applyFont="1" applyFill="1" applyBorder="1" applyAlignment="1">
      <alignment horizontal="center" wrapText="1"/>
    </xf>
    <xf numFmtId="43" fontId="43" fillId="0" borderId="1" xfId="1" applyFont="1" applyFill="1" applyBorder="1"/>
    <xf numFmtId="164" fontId="37" fillId="0" borderId="2" xfId="1" applyNumberFormat="1" applyFont="1" applyFill="1" applyBorder="1" applyAlignment="1">
      <alignment horizontal="center" vertical="center"/>
    </xf>
    <xf numFmtId="43" fontId="13" fillId="0" borderId="1" xfId="1" applyFont="1" applyFill="1" applyBorder="1"/>
    <xf numFmtId="164" fontId="12" fillId="0" borderId="1" xfId="1" applyNumberFormat="1" applyFont="1" applyFill="1" applyBorder="1"/>
    <xf numFmtId="43" fontId="43" fillId="0" borderId="14" xfId="1" applyFont="1" applyFill="1" applyBorder="1"/>
    <xf numFmtId="43" fontId="36" fillId="7" borderId="1" xfId="1" applyFont="1" applyFill="1" applyBorder="1"/>
    <xf numFmtId="43" fontId="36" fillId="7" borderId="14" xfId="1" applyFont="1" applyFill="1" applyBorder="1"/>
    <xf numFmtId="43" fontId="38" fillId="0" borderId="1" xfId="1" applyFont="1" applyFill="1" applyBorder="1" applyAlignment="1"/>
    <xf numFmtId="164" fontId="22" fillId="7" borderId="14" xfId="0" applyNumberFormat="1" applyFont="1" applyFill="1" applyBorder="1" applyAlignment="1">
      <alignment horizontal="center" wrapText="1"/>
    </xf>
    <xf numFmtId="0" fontId="24" fillId="0" borderId="1" xfId="1" applyNumberFormat="1" applyFont="1" applyFill="1" applyBorder="1" applyAlignment="1">
      <alignment horizontal="left" vertical="center"/>
    </xf>
    <xf numFmtId="43" fontId="22" fillId="0" borderId="0" xfId="0" applyNumberFormat="1" applyFont="1" applyFill="1" applyAlignment="1">
      <alignment horizontal="center" wrapText="1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164" fontId="24" fillId="0" borderId="18" xfId="1" applyNumberFormat="1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left"/>
    </xf>
    <xf numFmtId="164" fontId="22" fillId="0" borderId="1" xfId="1" applyNumberFormat="1" applyFont="1" applyFill="1" applyBorder="1" applyAlignment="1">
      <alignment horizontal="center"/>
    </xf>
    <xf numFmtId="14" fontId="19" fillId="7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14" fontId="22" fillId="0" borderId="0" xfId="1" applyNumberFormat="1" applyFont="1"/>
    <xf numFmtId="164" fontId="21" fillId="0" borderId="14" xfId="1" applyNumberFormat="1" applyFont="1" applyBorder="1"/>
    <xf numFmtId="43" fontId="19" fillId="3" borderId="1" xfId="1" applyFont="1" applyFill="1" applyBorder="1"/>
    <xf numFmtId="164" fontId="22" fillId="2" borderId="1" xfId="1" applyNumberFormat="1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164" fontId="22" fillId="5" borderId="1" xfId="1" applyNumberFormat="1" applyFont="1" applyFill="1" applyBorder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43" fontId="22" fillId="7" borderId="14" xfId="0" applyNumberFormat="1" applyFont="1" applyFill="1" applyBorder="1" applyAlignment="1">
      <alignment horizontal="center" wrapText="1"/>
    </xf>
    <xf numFmtId="43" fontId="22" fillId="0" borderId="0" xfId="1" quotePrefix="1" applyFont="1"/>
    <xf numFmtId="164" fontId="25" fillId="0" borderId="0" xfId="1" applyNumberFormat="1" applyFont="1"/>
    <xf numFmtId="164" fontId="21" fillId="0" borderId="9" xfId="1" applyNumberFormat="1" applyFont="1" applyBorder="1" applyAlignment="1">
      <alignment horizontal="center" vertical="center" wrapText="1"/>
    </xf>
    <xf numFmtId="164" fontId="37" fillId="0" borderId="1" xfId="1" applyNumberFormat="1" applyFont="1" applyFill="1" applyBorder="1" applyAlignment="1">
      <alignment horizontal="center" vertical="center"/>
    </xf>
    <xf numFmtId="43" fontId="28" fillId="6" borderId="0" xfId="1" applyFont="1" applyFill="1" applyAlignment="1"/>
    <xf numFmtId="43" fontId="29" fillId="5" borderId="0" xfId="1" applyFont="1" applyFill="1" applyAlignment="1"/>
    <xf numFmtId="164" fontId="43" fillId="7" borderId="14" xfId="1" applyNumberFormat="1" applyFont="1" applyFill="1" applyBorder="1" applyAlignment="1">
      <alignment horizontal="center" vertical="center" wrapText="1"/>
    </xf>
    <xf numFmtId="43" fontId="31" fillId="4" borderId="21" xfId="1" applyFont="1" applyFill="1" applyBorder="1" applyAlignment="1">
      <alignment horizontal="center" vertical="center" wrapText="1"/>
    </xf>
    <xf numFmtId="0" fontId="22" fillId="0" borderId="0" xfId="0" applyFont="1" applyAlignment="1">
      <alignment horizontal="right"/>
    </xf>
    <xf numFmtId="164" fontId="22" fillId="0" borderId="0" xfId="1" applyNumberFormat="1" applyFont="1" applyAlignment="1">
      <alignment horizontal="right"/>
    </xf>
    <xf numFmtId="43" fontId="22" fillId="0" borderId="0" xfId="1" applyFont="1" applyAlignment="1">
      <alignment horizontal="right"/>
    </xf>
    <xf numFmtId="43" fontId="43" fillId="7" borderId="0" xfId="1" applyFont="1" applyFill="1"/>
    <xf numFmtId="164" fontId="25" fillId="0" borderId="0" xfId="1" applyNumberFormat="1" applyFont="1" applyAlignment="1">
      <alignment horizontal="center"/>
    </xf>
    <xf numFmtId="164" fontId="28" fillId="6" borderId="0" xfId="1" applyNumberFormat="1" applyFont="1" applyFill="1" applyAlignment="1"/>
    <xf numFmtId="43" fontId="43" fillId="7" borderId="1" xfId="1" applyFont="1" applyFill="1" applyBorder="1"/>
    <xf numFmtId="0" fontId="22" fillId="7" borderId="0" xfId="0" applyFont="1" applyFill="1" applyAlignment="1">
      <alignment horizontal="right"/>
    </xf>
    <xf numFmtId="0" fontId="19" fillId="0" borderId="0" xfId="0" applyFont="1" applyAlignment="1">
      <alignment horizontal="left"/>
    </xf>
    <xf numFmtId="14" fontId="22" fillId="0" borderId="0" xfId="0" applyNumberFormat="1" applyFont="1" applyAlignment="1">
      <alignment horizontal="left"/>
    </xf>
    <xf numFmtId="14" fontId="22" fillId="2" borderId="0" xfId="1" applyNumberFormat="1" applyFont="1" applyFill="1"/>
    <xf numFmtId="0" fontId="22" fillId="2" borderId="0" xfId="0" applyFont="1" applyFill="1" applyAlignment="1">
      <alignment horizontal="left"/>
    </xf>
    <xf numFmtId="0" fontId="22" fillId="2" borderId="0" xfId="0" applyFont="1" applyFill="1"/>
    <xf numFmtId="0" fontId="19" fillId="2" borderId="0" xfId="0" applyFont="1" applyFill="1" applyAlignment="1">
      <alignment horizontal="left"/>
    </xf>
    <xf numFmtId="14" fontId="22" fillId="0" borderId="0" xfId="1" applyNumberFormat="1" applyFont="1" applyFill="1"/>
    <xf numFmtId="0" fontId="22" fillId="0" borderId="0" xfId="0" applyFont="1" applyFill="1" applyAlignment="1">
      <alignment horizontal="right"/>
    </xf>
    <xf numFmtId="14" fontId="22" fillId="0" borderId="0" xfId="0" applyNumberFormat="1" applyFont="1" applyFill="1"/>
    <xf numFmtId="43" fontId="43" fillId="7" borderId="0" xfId="1" applyFont="1" applyFill="1" applyAlignment="1"/>
    <xf numFmtId="43" fontId="19" fillId="4" borderId="3" xfId="1" applyFont="1" applyFill="1" applyBorder="1" applyAlignment="1">
      <alignment horizontal="right" vertical="center"/>
    </xf>
    <xf numFmtId="43" fontId="19" fillId="5" borderId="3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43" fontId="22" fillId="12" borderId="14" xfId="1" applyFont="1" applyFill="1" applyBorder="1"/>
    <xf numFmtId="0" fontId="48" fillId="0" borderId="0" xfId="0" applyFont="1"/>
    <xf numFmtId="43" fontId="1" fillId="0" borderId="0" xfId="1" applyFont="1"/>
    <xf numFmtId="0" fontId="1" fillId="0" borderId="0" xfId="1" applyNumberFormat="1" applyFont="1"/>
    <xf numFmtId="164" fontId="24" fillId="2" borderId="18" xfId="1" applyNumberFormat="1" applyFont="1" applyFill="1" applyBorder="1" applyAlignment="1">
      <alignment horizontal="center" vertical="center"/>
    </xf>
    <xf numFmtId="164" fontId="24" fillId="2" borderId="1" xfId="1" applyNumberFormat="1" applyFont="1" applyFill="1" applyBorder="1" applyAlignment="1">
      <alignment horizontal="center" vertical="center"/>
    </xf>
    <xf numFmtId="164" fontId="37" fillId="2" borderId="1" xfId="1" applyNumberFormat="1" applyFont="1" applyFill="1" applyBorder="1" applyAlignment="1">
      <alignment horizontal="center" vertical="center"/>
    </xf>
    <xf numFmtId="0" fontId="22" fillId="2" borderId="1" xfId="0" applyFont="1" applyFill="1" applyBorder="1"/>
    <xf numFmtId="164" fontId="22" fillId="2" borderId="1" xfId="1" applyNumberFormat="1" applyFont="1" applyFill="1" applyBorder="1" applyAlignment="1">
      <alignment wrapText="1"/>
    </xf>
    <xf numFmtId="164" fontId="22" fillId="2" borderId="0" xfId="1" applyNumberFormat="1" applyFont="1" applyFill="1" applyAlignment="1">
      <alignment horizontal="center"/>
    </xf>
    <xf numFmtId="164" fontId="25" fillId="0" borderId="0" xfId="1" applyNumberFormat="1" applyFont="1" applyAlignment="1">
      <alignment horizontal="left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5" xfId="0" applyFont="1" applyFill="1" applyBorder="1" applyAlignment="1">
      <alignment horizontal="center" wrapText="1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right"/>
    </xf>
    <xf numFmtId="0" fontId="22" fillId="2" borderId="12" xfId="0" applyFont="1" applyFill="1" applyBorder="1" applyAlignment="1">
      <alignment horizontal="right"/>
    </xf>
    <xf numFmtId="0" fontId="22" fillId="2" borderId="13" xfId="0" applyFont="1" applyFill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 wrapText="1"/>
    </xf>
    <xf numFmtId="0" fontId="46" fillId="0" borderId="10" xfId="0" applyFont="1" applyBorder="1" applyAlignment="1">
      <alignment horizont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3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1" fillId="7" borderId="1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7" fillId="0" borderId="0" xfId="0" applyFont="1" applyAlignment="1">
      <alignment horizontal="left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  <xf numFmtId="0" fontId="21" fillId="5" borderId="25" xfId="0" applyFont="1" applyFill="1" applyBorder="1" applyAlignment="1">
      <alignment horizontal="center" vertical="center" wrapText="1"/>
    </xf>
    <xf numFmtId="0" fontId="21" fillId="5" borderId="28" xfId="0" applyFont="1" applyFill="1" applyBorder="1" applyAlignment="1">
      <alignment horizontal="center" vertical="center" wrapText="1"/>
    </xf>
    <xf numFmtId="164" fontId="21" fillId="4" borderId="15" xfId="1" applyNumberFormat="1" applyFont="1" applyFill="1" applyBorder="1" applyAlignment="1">
      <alignment horizontal="center" vertical="center" wrapText="1"/>
    </xf>
    <xf numFmtId="43" fontId="27" fillId="5" borderId="15" xfId="1" applyFont="1" applyFill="1" applyBorder="1" applyAlignment="1">
      <alignment horizontal="center" vertical="center" wrapText="1"/>
    </xf>
    <xf numFmtId="43" fontId="27" fillId="5" borderId="10" xfId="1" applyFont="1" applyFill="1" applyBorder="1" applyAlignment="1">
      <alignment horizontal="center" vertical="center" wrapText="1"/>
    </xf>
    <xf numFmtId="43" fontId="21" fillId="5" borderId="28" xfId="1" applyFont="1" applyFill="1" applyBorder="1" applyAlignment="1">
      <alignment horizontal="center" vertical="center" wrapText="1"/>
    </xf>
    <xf numFmtId="43" fontId="21" fillId="5" borderId="30" xfId="1" applyFont="1" applyFill="1" applyBorder="1" applyAlignment="1">
      <alignment horizontal="center" vertic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1" fillId="6" borderId="20" xfId="0" applyFont="1" applyFill="1" applyBorder="1" applyAlignment="1">
      <alignment horizontal="center"/>
    </xf>
    <xf numFmtId="0" fontId="21" fillId="6" borderId="0" xfId="0" applyFont="1" applyFill="1" applyBorder="1" applyAlignment="1">
      <alignment horizontal="center"/>
    </xf>
    <xf numFmtId="0" fontId="21" fillId="6" borderId="32" xfId="0" applyFont="1" applyFill="1" applyBorder="1" applyAlignment="1">
      <alignment horizontal="center"/>
    </xf>
    <xf numFmtId="0" fontId="21" fillId="6" borderId="22" xfId="0" applyFont="1" applyFill="1" applyBorder="1" applyAlignment="1">
      <alignment horizontal="center"/>
    </xf>
    <xf numFmtId="0" fontId="21" fillId="6" borderId="23" xfId="0" applyFont="1" applyFill="1" applyBorder="1" applyAlignment="1">
      <alignment horizontal="center"/>
    </xf>
    <xf numFmtId="0" fontId="21" fillId="6" borderId="24" xfId="0" applyFont="1" applyFill="1" applyBorder="1" applyAlignment="1">
      <alignment horizontal="center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92"/>
  <sheetViews>
    <sheetView tabSelected="1" workbookViewId="0">
      <pane ySplit="2" topLeftCell="A3" activePane="bottomLeft" state="frozen"/>
      <selection pane="bottomLeft" activeCell="D25" sqref="D25"/>
    </sheetView>
  </sheetViews>
  <sheetFormatPr defaultRowHeight="11.25"/>
  <cols>
    <col min="1" max="1" width="12.28515625" style="8" customWidth="1"/>
    <col min="2" max="2" width="9" style="437" customWidth="1"/>
    <col min="3" max="3" width="93.7109375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8.7109375" style="2" bestFit="1" customWidth="1"/>
    <col min="9" max="9" width="12.42578125" style="2" bestFit="1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97" t="s">
        <v>1</v>
      </c>
      <c r="B1" s="499" t="s">
        <v>2</v>
      </c>
      <c r="C1" s="501" t="s">
        <v>0</v>
      </c>
      <c r="D1" s="503" t="s">
        <v>62</v>
      </c>
      <c r="E1" s="505" t="s">
        <v>83</v>
      </c>
      <c r="F1" s="506"/>
      <c r="G1" s="506"/>
      <c r="H1" s="506"/>
      <c r="I1" s="506"/>
      <c r="J1" s="506"/>
      <c r="K1" s="506"/>
      <c r="L1" s="491" t="s">
        <v>368</v>
      </c>
      <c r="M1" s="491"/>
      <c r="N1" s="489" t="s">
        <v>524</v>
      </c>
      <c r="O1" s="490"/>
      <c r="P1" s="492" t="s">
        <v>29</v>
      </c>
      <c r="Q1" s="493"/>
      <c r="R1" s="493"/>
      <c r="S1" s="493"/>
      <c r="T1" s="493"/>
      <c r="U1" s="493"/>
      <c r="V1" s="493"/>
      <c r="W1" s="493"/>
      <c r="X1" s="493"/>
      <c r="Y1" s="493"/>
      <c r="Z1" s="493"/>
      <c r="AA1" s="494"/>
    </row>
    <row r="2" spans="1:27" ht="12" thickBot="1">
      <c r="A2" s="498"/>
      <c r="B2" s="500"/>
      <c r="C2" s="502"/>
      <c r="D2" s="504"/>
      <c r="E2" s="96" t="s">
        <v>92</v>
      </c>
      <c r="F2" s="96" t="s">
        <v>3</v>
      </c>
      <c r="G2" s="96" t="s">
        <v>143</v>
      </c>
      <c r="H2" s="96" t="s">
        <v>93</v>
      </c>
      <c r="I2" s="96" t="s">
        <v>94</v>
      </c>
      <c r="J2" s="96" t="s">
        <v>95</v>
      </c>
      <c r="K2" s="108" t="s">
        <v>141</v>
      </c>
      <c r="L2" s="71" t="s">
        <v>23</v>
      </c>
      <c r="M2" s="187" t="s">
        <v>68</v>
      </c>
      <c r="N2" s="178" t="s">
        <v>23</v>
      </c>
      <c r="O2" s="107" t="s">
        <v>142</v>
      </c>
      <c r="P2" s="188">
        <v>1</v>
      </c>
      <c r="Q2" s="188" t="s">
        <v>222</v>
      </c>
      <c r="R2" s="188" t="s">
        <v>223</v>
      </c>
      <c r="S2" s="188" t="s">
        <v>224</v>
      </c>
      <c r="T2" s="188" t="s">
        <v>225</v>
      </c>
      <c r="U2" s="188" t="s">
        <v>379</v>
      </c>
      <c r="V2" s="188" t="s">
        <v>380</v>
      </c>
      <c r="W2" s="188" t="s">
        <v>381</v>
      </c>
      <c r="X2" s="188" t="s">
        <v>382</v>
      </c>
      <c r="Y2" s="188"/>
      <c r="Z2" s="188"/>
      <c r="AA2" s="189"/>
    </row>
    <row r="3" spans="1:27" s="5" customFormat="1">
      <c r="A3" s="382">
        <v>2774</v>
      </c>
      <c r="B3" s="391">
        <v>37719</v>
      </c>
      <c r="C3" s="380" t="s">
        <v>560</v>
      </c>
      <c r="D3" s="381"/>
      <c r="E3" s="383">
        <f>'2-δικαιώμ'!M3</f>
        <v>7.8320000000000007</v>
      </c>
      <c r="F3" s="384">
        <f>'3-φύλλα2α'!F3</f>
        <v>0</v>
      </c>
      <c r="G3" s="384">
        <f>'4-πολλυπρ'!P3</f>
        <v>0</v>
      </c>
      <c r="H3" s="381">
        <f>'5-αντίγρ'!M3</f>
        <v>5.7493999999999996</v>
      </c>
      <c r="I3" s="381">
        <f>'6-μεταγρ'!H3</f>
        <v>6.46</v>
      </c>
      <c r="J3" s="381">
        <f>'7-προςΔΟΥ'!E3</f>
        <v>0</v>
      </c>
      <c r="K3" s="381">
        <v>5.87</v>
      </c>
      <c r="L3" s="383">
        <f t="shared" ref="L3:L15" si="0">E3+F3+G3+H3+I3+J3+K3</f>
        <v>25.9114</v>
      </c>
      <c r="M3" s="383">
        <v>20.54</v>
      </c>
      <c r="N3" s="385">
        <f>M3-P3-'14-βιβλΕσ'!L3</f>
        <v>19.57</v>
      </c>
      <c r="O3" s="385">
        <f t="shared" ref="O3:O15" si="1">L3-N3</f>
        <v>6.3414000000000001</v>
      </c>
      <c r="P3" s="418"/>
      <c r="Q3" s="386"/>
      <c r="R3" s="386"/>
      <c r="S3" s="386"/>
      <c r="T3" s="386"/>
      <c r="U3" s="399" t="s">
        <v>379</v>
      </c>
      <c r="V3" s="386"/>
      <c r="W3" s="386"/>
      <c r="X3" s="386"/>
      <c r="Y3" s="386"/>
      <c r="Z3" s="81"/>
      <c r="AA3" s="81"/>
    </row>
    <row r="4" spans="1:27" s="5" customFormat="1">
      <c r="A4" s="14"/>
      <c r="B4" s="390"/>
      <c r="C4" s="15"/>
      <c r="D4" s="360"/>
      <c r="E4" s="18"/>
      <c r="F4" s="17"/>
      <c r="G4" s="17"/>
      <c r="H4" s="360"/>
      <c r="I4" s="360"/>
      <c r="J4" s="360"/>
      <c r="K4" s="360"/>
      <c r="L4" s="18"/>
      <c r="M4" s="18"/>
      <c r="N4" s="29"/>
      <c r="O4" s="29"/>
      <c r="P4" s="463"/>
      <c r="Q4" s="156"/>
      <c r="R4" s="156"/>
      <c r="S4" s="156"/>
      <c r="T4" s="156"/>
      <c r="U4" s="156"/>
      <c r="V4" s="156"/>
      <c r="W4" s="156"/>
      <c r="X4" s="156"/>
      <c r="Y4" s="156"/>
      <c r="Z4" s="26"/>
      <c r="AA4" s="26"/>
    </row>
    <row r="5" spans="1:27" s="5" customFormat="1">
      <c r="A5" s="441" t="s">
        <v>589</v>
      </c>
      <c r="B5" s="391">
        <v>37719</v>
      </c>
      <c r="C5" s="380" t="s">
        <v>571</v>
      </c>
      <c r="D5" s="381">
        <v>7336.76</v>
      </c>
      <c r="E5" s="383">
        <f>'2-δικαιώμ'!M5</f>
        <v>83.117218000000008</v>
      </c>
      <c r="F5" s="384">
        <f>'3-φύλλα2α'!F5</f>
        <v>0</v>
      </c>
      <c r="G5" s="384">
        <f>'4-πολλυπρ'!P5</f>
        <v>0</v>
      </c>
      <c r="H5" s="381">
        <f>'5-αντίγρ'!M5</f>
        <v>5.7493999999999996</v>
      </c>
      <c r="I5" s="381">
        <f>'6-μεταγρ'!H5</f>
        <v>0</v>
      </c>
      <c r="J5" s="381">
        <f>'7-προςΔΟΥ'!E5</f>
        <v>0</v>
      </c>
      <c r="K5" s="381">
        <v>5.87</v>
      </c>
      <c r="L5" s="383">
        <f t="shared" si="0"/>
        <v>94.736618000000007</v>
      </c>
      <c r="M5" s="383"/>
      <c r="N5" s="385">
        <f>M5-P5-'14-βιβλΕσ'!L5</f>
        <v>-0.5</v>
      </c>
      <c r="O5" s="385">
        <f t="shared" si="1"/>
        <v>95.236618000000007</v>
      </c>
      <c r="P5" s="418">
        <v>0.5</v>
      </c>
      <c r="Q5" s="386"/>
      <c r="R5" s="386"/>
      <c r="S5" s="386"/>
      <c r="T5" s="386"/>
      <c r="U5" s="399" t="s">
        <v>379</v>
      </c>
      <c r="V5" s="386"/>
      <c r="W5" s="386"/>
      <c r="X5" s="386"/>
      <c r="Y5" s="386"/>
      <c r="Z5" s="81"/>
      <c r="AA5" s="81"/>
    </row>
    <row r="6" spans="1:27" s="5" customFormat="1">
      <c r="A6" s="441"/>
      <c r="B6" s="391"/>
      <c r="C6" s="380" t="s">
        <v>572</v>
      </c>
      <c r="D6" s="381">
        <v>4800.4399999999996</v>
      </c>
      <c r="E6" s="383">
        <f>'2-δικαιώμ'!M6</f>
        <v>57.246753999999996</v>
      </c>
      <c r="F6" s="384">
        <f>'3-φύλλα2α'!F6</f>
        <v>0</v>
      </c>
      <c r="G6" s="384">
        <f>'4-πολλυπρ'!P6</f>
        <v>0</v>
      </c>
      <c r="H6" s="381">
        <f>'5-αντίγρ'!M6</f>
        <v>0</v>
      </c>
      <c r="I6" s="381">
        <f>'6-μεταγρ'!H6</f>
        <v>0</v>
      </c>
      <c r="J6" s="381">
        <f>'7-προςΔΟΥ'!E6</f>
        <v>0</v>
      </c>
      <c r="K6" s="381">
        <v>5.87</v>
      </c>
      <c r="L6" s="383">
        <f t="shared" si="0"/>
        <v>63.116753999999993</v>
      </c>
      <c r="M6" s="383"/>
      <c r="N6" s="385">
        <f>M6-P6-'14-βιβλΕσ'!L6</f>
        <v>0</v>
      </c>
      <c r="O6" s="385">
        <f t="shared" si="1"/>
        <v>63.116753999999993</v>
      </c>
      <c r="P6" s="418"/>
      <c r="Q6" s="386"/>
      <c r="R6" s="386"/>
      <c r="S6" s="386"/>
      <c r="T6" s="386"/>
      <c r="U6" s="399" t="s">
        <v>379</v>
      </c>
      <c r="V6" s="386"/>
      <c r="W6" s="386"/>
      <c r="X6" s="386"/>
      <c r="Y6" s="386"/>
      <c r="Z6" s="81"/>
      <c r="AA6" s="81"/>
    </row>
    <row r="7" spans="1:27" s="5" customFormat="1">
      <c r="A7" s="441"/>
      <c r="B7" s="391"/>
      <c r="C7" s="380" t="s">
        <v>549</v>
      </c>
      <c r="D7" s="381">
        <v>8151.95</v>
      </c>
      <c r="E7" s="383">
        <f>'2-δικαιώμ'!M7</f>
        <v>91.432155999999992</v>
      </c>
      <c r="F7" s="384">
        <f>'3-φύλλα2α'!F7</f>
        <v>0</v>
      </c>
      <c r="G7" s="384">
        <f>'4-πολλυπρ'!P7</f>
        <v>0</v>
      </c>
      <c r="H7" s="381">
        <f>'5-αντίγρ'!M7</f>
        <v>0</v>
      </c>
      <c r="I7" s="381">
        <f>'6-μεταγρ'!H7</f>
        <v>9.69</v>
      </c>
      <c r="J7" s="381">
        <f>'7-προςΔΟΥ'!E7</f>
        <v>0</v>
      </c>
      <c r="K7" s="381">
        <v>5.87</v>
      </c>
      <c r="L7" s="383">
        <f t="shared" si="0"/>
        <v>106.99215599999999</v>
      </c>
      <c r="M7" s="383">
        <v>20.54</v>
      </c>
      <c r="N7" s="385">
        <f>M7-P7-'14-βιβλΕσ'!L7</f>
        <v>19.57</v>
      </c>
      <c r="O7" s="385">
        <f t="shared" si="1"/>
        <v>87.422156000000001</v>
      </c>
      <c r="P7" s="418"/>
      <c r="Q7" s="386"/>
      <c r="R7" s="386"/>
      <c r="S7" s="386"/>
      <c r="T7" s="386"/>
      <c r="U7" s="399" t="s">
        <v>379</v>
      </c>
      <c r="V7" s="386"/>
      <c r="W7" s="386"/>
      <c r="X7" s="386"/>
      <c r="Y7" s="386"/>
      <c r="Z7" s="81"/>
      <c r="AA7" s="81"/>
    </row>
    <row r="8" spans="1:27" s="5" customFormat="1">
      <c r="A8" s="441"/>
      <c r="B8" s="391"/>
      <c r="C8" s="380" t="s">
        <v>550</v>
      </c>
      <c r="D8" s="439">
        <v>23882.636363636364</v>
      </c>
      <c r="E8" s="383">
        <f>'2-δικαιώμ'!M8</f>
        <v>251.88515690909097</v>
      </c>
      <c r="F8" s="384">
        <f>'3-φύλλα2α'!F8</f>
        <v>0</v>
      </c>
      <c r="G8" s="384">
        <f>'4-πολλυπρ'!P8</f>
        <v>0</v>
      </c>
      <c r="H8" s="381">
        <f>'5-αντίγρ'!M8</f>
        <v>0</v>
      </c>
      <c r="I8" s="381">
        <f>'6-μεταγρ'!H8</f>
        <v>0</v>
      </c>
      <c r="J8" s="381">
        <f>'7-προςΔΟΥ'!E8</f>
        <v>0</v>
      </c>
      <c r="K8" s="381">
        <v>5.87</v>
      </c>
      <c r="L8" s="383">
        <f t="shared" si="0"/>
        <v>257.75515690909094</v>
      </c>
      <c r="M8" s="383"/>
      <c r="N8" s="385">
        <f>M8-P8-'14-βιβλΕσ'!L8</f>
        <v>0</v>
      </c>
      <c r="O8" s="385">
        <f t="shared" si="1"/>
        <v>257.75515690909094</v>
      </c>
      <c r="P8" s="418"/>
      <c r="Q8" s="386"/>
      <c r="R8" s="386"/>
      <c r="S8" s="386"/>
      <c r="T8" s="386"/>
      <c r="U8" s="399" t="s">
        <v>379</v>
      </c>
      <c r="V8" s="386"/>
      <c r="W8" s="386"/>
      <c r="X8" s="386"/>
      <c r="Y8" s="386"/>
      <c r="Z8" s="81"/>
      <c r="AA8" s="81"/>
    </row>
    <row r="9" spans="1:27" s="5" customFormat="1">
      <c r="A9" s="441"/>
      <c r="B9" s="391"/>
      <c r="C9" s="380" t="s">
        <v>562</v>
      </c>
      <c r="D9" s="439">
        <v>111.11</v>
      </c>
      <c r="E9" s="383">
        <f>'2-δικαιώμ'!M9</f>
        <v>9.4155879999999996</v>
      </c>
      <c r="F9" s="384">
        <f>'3-φύλλα2α'!F9</f>
        <v>0</v>
      </c>
      <c r="G9" s="384">
        <f>'4-πολλυπρ'!P9</f>
        <v>0</v>
      </c>
      <c r="H9" s="381">
        <f>'5-αντίγρ'!M9</f>
        <v>0</v>
      </c>
      <c r="I9" s="381">
        <f>'6-μεταγρ'!H9</f>
        <v>0</v>
      </c>
      <c r="J9" s="381">
        <f>'7-προςΔΟΥ'!E9</f>
        <v>0</v>
      </c>
      <c r="K9" s="381">
        <v>5.87</v>
      </c>
      <c r="L9" s="383">
        <f t="shared" si="0"/>
        <v>15.285588000000001</v>
      </c>
      <c r="M9" s="383"/>
      <c r="N9" s="385">
        <f>M9-P9-'14-βιβλΕσ'!L9</f>
        <v>0</v>
      </c>
      <c r="O9" s="385">
        <f t="shared" si="1"/>
        <v>15.285588000000001</v>
      </c>
      <c r="P9" s="418"/>
      <c r="Q9" s="386"/>
      <c r="R9" s="386"/>
      <c r="S9" s="386"/>
      <c r="T9" s="386"/>
      <c r="U9" s="399" t="s">
        <v>379</v>
      </c>
      <c r="V9" s="386"/>
      <c r="W9" s="386"/>
      <c r="X9" s="386"/>
      <c r="Y9" s="386"/>
      <c r="Z9" s="81"/>
      <c r="AA9" s="81"/>
    </row>
    <row r="10" spans="1:27" s="5" customFormat="1">
      <c r="A10" s="14"/>
      <c r="B10" s="390"/>
      <c r="C10" s="15"/>
      <c r="D10" s="360"/>
      <c r="E10" s="18"/>
      <c r="F10" s="17"/>
      <c r="G10" s="17"/>
      <c r="H10" s="360"/>
      <c r="I10" s="360"/>
      <c r="J10" s="360"/>
      <c r="K10" s="360"/>
      <c r="L10" s="18"/>
      <c r="M10" s="18"/>
      <c r="N10" s="29"/>
      <c r="O10" s="29"/>
      <c r="P10" s="463"/>
      <c r="Q10" s="156"/>
      <c r="R10" s="156"/>
      <c r="S10" s="156"/>
      <c r="T10" s="156"/>
      <c r="U10" s="156"/>
      <c r="V10" s="156"/>
      <c r="W10" s="156"/>
      <c r="X10" s="156"/>
      <c r="Y10" s="156"/>
      <c r="Z10" s="26"/>
      <c r="AA10" s="26"/>
    </row>
    <row r="11" spans="1:27" s="5" customFormat="1">
      <c r="A11" s="441" t="s">
        <v>590</v>
      </c>
      <c r="B11" s="391">
        <v>37719</v>
      </c>
      <c r="C11" s="380" t="s">
        <v>563</v>
      </c>
      <c r="D11" s="381">
        <v>17608.22</v>
      </c>
      <c r="E11" s="383">
        <f>'2-δικαιώμ'!M11</f>
        <v>187.88611000000003</v>
      </c>
      <c r="F11" s="384">
        <f>'3-φύλλα2α'!F11</f>
        <v>2.93</v>
      </c>
      <c r="G11" s="384">
        <f>'4-πολλυπρ'!P11</f>
        <v>0</v>
      </c>
      <c r="H11" s="381">
        <f>'5-αντίγρ'!M11</f>
        <v>11.498799999999999</v>
      </c>
      <c r="I11" s="381">
        <f>'6-μεταγρ'!H11</f>
        <v>0</v>
      </c>
      <c r="J11" s="381">
        <f>'7-προςΔΟΥ'!E11</f>
        <v>0</v>
      </c>
      <c r="K11" s="381">
        <v>5.87</v>
      </c>
      <c r="L11" s="383">
        <f t="shared" si="0"/>
        <v>208.18491000000003</v>
      </c>
      <c r="M11" s="383"/>
      <c r="N11" s="385">
        <f>M11-P11-'14-βιβλΕσ'!L11</f>
        <v>-0.5</v>
      </c>
      <c r="O11" s="385">
        <f t="shared" si="1"/>
        <v>208.68491000000003</v>
      </c>
      <c r="P11" s="418">
        <v>0.5</v>
      </c>
      <c r="Q11" s="386"/>
      <c r="R11" s="386"/>
      <c r="S11" s="386"/>
      <c r="T11" s="386"/>
      <c r="U11" s="399" t="s">
        <v>379</v>
      </c>
      <c r="V11" s="386"/>
      <c r="W11" s="386"/>
      <c r="X11" s="386"/>
      <c r="Y11" s="386"/>
      <c r="Z11" s="81"/>
      <c r="AA11" s="81"/>
    </row>
    <row r="12" spans="1:27" s="5" customFormat="1">
      <c r="A12" s="441"/>
      <c r="B12" s="391"/>
      <c r="C12" s="380" t="s">
        <v>574</v>
      </c>
      <c r="D12" s="381">
        <v>9154.7199999999993</v>
      </c>
      <c r="E12" s="383">
        <f>'2-δικαιώμ'!M12</f>
        <v>101.66041</v>
      </c>
      <c r="F12" s="384">
        <f>'3-φύλλα2α'!F12</f>
        <v>0</v>
      </c>
      <c r="G12" s="384">
        <f>'4-πολλυπρ'!P12</f>
        <v>0</v>
      </c>
      <c r="H12" s="381">
        <f>'5-αντίγρ'!M12</f>
        <v>0</v>
      </c>
      <c r="I12" s="381">
        <f>'6-μεταγρ'!H12</f>
        <v>0</v>
      </c>
      <c r="J12" s="381">
        <f>'7-προςΔΟΥ'!E12</f>
        <v>0</v>
      </c>
      <c r="K12" s="381">
        <v>5.87</v>
      </c>
      <c r="L12" s="383">
        <f t="shared" si="0"/>
        <v>107.53041</v>
      </c>
      <c r="M12" s="383"/>
      <c r="N12" s="385">
        <f>M12-P12-'14-βιβλΕσ'!L12</f>
        <v>0</v>
      </c>
      <c r="O12" s="385">
        <f t="shared" si="1"/>
        <v>107.53041</v>
      </c>
      <c r="P12" s="418"/>
      <c r="Q12" s="386"/>
      <c r="R12" s="386"/>
      <c r="S12" s="386"/>
      <c r="T12" s="386"/>
      <c r="U12" s="399" t="s">
        <v>379</v>
      </c>
      <c r="V12" s="386"/>
      <c r="W12" s="386"/>
      <c r="X12" s="386"/>
      <c r="Y12" s="386"/>
      <c r="Z12" s="81"/>
      <c r="AA12" s="81"/>
    </row>
    <row r="13" spans="1:27" s="5" customFormat="1">
      <c r="A13" s="441"/>
      <c r="B13" s="391"/>
      <c r="C13" s="380" t="s">
        <v>551</v>
      </c>
      <c r="D13" s="381">
        <v>19564.68</v>
      </c>
      <c r="E13" s="383">
        <f>'2-δικαιώμ'!M13</f>
        <v>207.84200200000004</v>
      </c>
      <c r="F13" s="384">
        <f>'3-φύλλα2α'!F13</f>
        <v>0</v>
      </c>
      <c r="G13" s="384">
        <f>'4-πολλυπρ'!P13</f>
        <v>0</v>
      </c>
      <c r="H13" s="381">
        <f>'5-αντίγρ'!M13</f>
        <v>0</v>
      </c>
      <c r="I13" s="381">
        <f>'6-μεταγρ'!H13</f>
        <v>9.69</v>
      </c>
      <c r="J13" s="381">
        <f>'7-προςΔΟΥ'!E13</f>
        <v>0</v>
      </c>
      <c r="K13" s="381">
        <v>5.87</v>
      </c>
      <c r="L13" s="383">
        <f t="shared" si="0"/>
        <v>223.40200200000004</v>
      </c>
      <c r="M13" s="383">
        <v>20.54</v>
      </c>
      <c r="N13" s="385">
        <f>M13-P13-'14-βιβλΕσ'!L13</f>
        <v>19.57</v>
      </c>
      <c r="O13" s="385">
        <f t="shared" si="1"/>
        <v>203.83200200000005</v>
      </c>
      <c r="P13" s="418"/>
      <c r="Q13" s="386"/>
      <c r="R13" s="386"/>
      <c r="S13" s="386"/>
      <c r="T13" s="386"/>
      <c r="U13" s="399" t="s">
        <v>379</v>
      </c>
      <c r="V13" s="386"/>
      <c r="W13" s="386"/>
      <c r="X13" s="386"/>
      <c r="Y13" s="386"/>
      <c r="Z13" s="81"/>
      <c r="AA13" s="81"/>
    </row>
    <row r="14" spans="1:27" s="5" customFormat="1">
      <c r="A14" s="441"/>
      <c r="B14" s="391"/>
      <c r="C14" s="380" t="s">
        <v>552</v>
      </c>
      <c r="D14" s="439">
        <v>57318.327272727271</v>
      </c>
      <c r="E14" s="383">
        <f>'2-δικαιώμ'!M14</f>
        <v>592.92920418181825</v>
      </c>
      <c r="F14" s="384">
        <f>'3-φύλλα2α'!F14</f>
        <v>0</v>
      </c>
      <c r="G14" s="384">
        <f>'4-πολλυπρ'!P14</f>
        <v>0</v>
      </c>
      <c r="H14" s="381">
        <f>'5-αντίγρ'!M14</f>
        <v>0</v>
      </c>
      <c r="I14" s="381">
        <f>'6-μεταγρ'!H14</f>
        <v>0</v>
      </c>
      <c r="J14" s="381">
        <f>'7-προςΔΟΥ'!E14</f>
        <v>0</v>
      </c>
      <c r="K14" s="381">
        <v>5.87</v>
      </c>
      <c r="L14" s="383">
        <f t="shared" si="0"/>
        <v>598.79920418181825</v>
      </c>
      <c r="M14" s="383"/>
      <c r="N14" s="385">
        <f>M14-P14-'14-βιβλΕσ'!L14</f>
        <v>0</v>
      </c>
      <c r="O14" s="385">
        <f t="shared" si="1"/>
        <v>598.79920418181825</v>
      </c>
      <c r="P14" s="418"/>
      <c r="Q14" s="386"/>
      <c r="R14" s="386"/>
      <c r="S14" s="386"/>
      <c r="T14" s="386"/>
      <c r="U14" s="399" t="s">
        <v>379</v>
      </c>
      <c r="V14" s="386"/>
      <c r="W14" s="386"/>
      <c r="X14" s="386"/>
      <c r="Y14" s="386"/>
      <c r="Z14" s="81"/>
      <c r="AA14" s="81"/>
    </row>
    <row r="15" spans="1:27" s="5" customFormat="1">
      <c r="A15" s="441"/>
      <c r="B15" s="391"/>
      <c r="C15" s="380" t="s">
        <v>565</v>
      </c>
      <c r="D15" s="439">
        <v>111.11</v>
      </c>
      <c r="E15" s="383">
        <f>'2-δικαιώμ'!M15</f>
        <v>9.4155879999999996</v>
      </c>
      <c r="F15" s="384">
        <f>'3-φύλλα2α'!F15</f>
        <v>0</v>
      </c>
      <c r="G15" s="384">
        <f>'4-πολλυπρ'!P15</f>
        <v>0</v>
      </c>
      <c r="H15" s="381">
        <f>'5-αντίγρ'!M15</f>
        <v>0</v>
      </c>
      <c r="I15" s="381">
        <f>'6-μεταγρ'!H15</f>
        <v>0</v>
      </c>
      <c r="J15" s="381">
        <f>'7-προςΔΟΥ'!E15</f>
        <v>0</v>
      </c>
      <c r="K15" s="381">
        <v>5.87</v>
      </c>
      <c r="L15" s="383">
        <f t="shared" si="0"/>
        <v>15.285588000000001</v>
      </c>
      <c r="M15" s="383"/>
      <c r="N15" s="385">
        <f>M15-P15-'14-βιβλΕσ'!L15</f>
        <v>0</v>
      </c>
      <c r="O15" s="385">
        <f t="shared" si="1"/>
        <v>15.285588000000001</v>
      </c>
      <c r="P15" s="418"/>
      <c r="Q15" s="386"/>
      <c r="R15" s="386"/>
      <c r="S15" s="386"/>
      <c r="T15" s="386"/>
      <c r="U15" s="399" t="s">
        <v>379</v>
      </c>
      <c r="V15" s="386"/>
      <c r="W15" s="386"/>
      <c r="X15" s="386"/>
      <c r="Y15" s="386"/>
      <c r="Z15" s="81"/>
      <c r="AA15" s="81"/>
    </row>
    <row r="16" spans="1:27">
      <c r="A16" s="495" t="s">
        <v>47</v>
      </c>
      <c r="B16" s="496"/>
      <c r="C16" s="496"/>
      <c r="D16" s="496"/>
      <c r="E16" s="44">
        <f t="shared" ref="E16:O16" si="2">SUM(E3:E15)</f>
        <v>1600.6621870909094</v>
      </c>
      <c r="F16" s="44">
        <f t="shared" si="2"/>
        <v>2.93</v>
      </c>
      <c r="G16" s="44">
        <f t="shared" si="2"/>
        <v>0</v>
      </c>
      <c r="H16" s="44">
        <f t="shared" si="2"/>
        <v>22.997599999999998</v>
      </c>
      <c r="I16" s="44">
        <f t="shared" si="2"/>
        <v>25.839999999999996</v>
      </c>
      <c r="J16" s="44">
        <f t="shared" si="2"/>
        <v>0</v>
      </c>
      <c r="K16" s="44">
        <f t="shared" si="2"/>
        <v>64.569999999999993</v>
      </c>
      <c r="L16" s="44">
        <f t="shared" si="2"/>
        <v>1716.9997870909094</v>
      </c>
      <c r="M16" s="44">
        <f t="shared" si="2"/>
        <v>61.62</v>
      </c>
      <c r="N16" s="44">
        <f t="shared" si="2"/>
        <v>57.71</v>
      </c>
      <c r="O16" s="44">
        <f t="shared" si="2"/>
        <v>1659.2897870909094</v>
      </c>
    </row>
    <row r="17" spans="1:27">
      <c r="C17" s="9" t="s">
        <v>548</v>
      </c>
    </row>
    <row r="18" spans="1:27">
      <c r="A18" s="8" t="s">
        <v>526</v>
      </c>
      <c r="B18" s="437" t="s">
        <v>526</v>
      </c>
      <c r="C18" s="30" t="s">
        <v>575</v>
      </c>
      <c r="P18" s="238" t="s">
        <v>98</v>
      </c>
      <c r="Q18" s="158"/>
      <c r="R18" s="158"/>
      <c r="S18" s="158"/>
      <c r="T18" s="166"/>
      <c r="U18" s="166"/>
      <c r="V18" s="166"/>
      <c r="W18" s="166"/>
      <c r="X18" s="166"/>
      <c r="Z18" s="158"/>
      <c r="AA18" s="158"/>
    </row>
    <row r="19" spans="1:27">
      <c r="C19" s="101" t="s">
        <v>576</v>
      </c>
      <c r="D19" s="8">
        <v>2001</v>
      </c>
      <c r="K19" s="253" t="s">
        <v>490</v>
      </c>
      <c r="L19" s="8"/>
      <c r="M19" s="8"/>
      <c r="P19" s="8"/>
      <c r="Q19" s="144" t="s">
        <v>373</v>
      </c>
      <c r="R19" s="144"/>
      <c r="S19" s="144"/>
      <c r="T19" s="160"/>
      <c r="U19" s="166"/>
      <c r="V19" s="166"/>
      <c r="W19" s="166"/>
      <c r="X19" s="166"/>
      <c r="Z19" s="159"/>
      <c r="AA19" s="144"/>
    </row>
    <row r="20" spans="1:27">
      <c r="C20" s="101" t="s">
        <v>585</v>
      </c>
      <c r="D20" s="8">
        <v>15</v>
      </c>
      <c r="K20" s="191" t="s">
        <v>226</v>
      </c>
      <c r="L20" s="146"/>
      <c r="M20" s="146"/>
      <c r="P20" s="8"/>
      <c r="Q20" s="144"/>
      <c r="R20" s="144" t="s">
        <v>138</v>
      </c>
      <c r="S20" s="144"/>
      <c r="T20" s="166"/>
      <c r="U20" s="166"/>
      <c r="V20" s="166"/>
      <c r="W20" s="166"/>
      <c r="X20" s="166"/>
      <c r="Z20" s="144"/>
    </row>
    <row r="21" spans="1:27">
      <c r="A21" s="8" t="s">
        <v>526</v>
      </c>
      <c r="B21" s="437" t="s">
        <v>526</v>
      </c>
      <c r="C21" s="466" t="s">
        <v>570</v>
      </c>
      <c r="D21" s="8">
        <f>D19-D20</f>
        <v>1986</v>
      </c>
      <c r="K21" s="252" t="s">
        <v>227</v>
      </c>
      <c r="P21" s="8"/>
      <c r="S21" s="144" t="s">
        <v>372</v>
      </c>
      <c r="T21" s="101"/>
      <c r="U21" s="101"/>
      <c r="V21" s="101"/>
      <c r="W21" s="101"/>
      <c r="X21" s="101"/>
    </row>
    <row r="22" spans="1:27">
      <c r="C22" s="101" t="s">
        <v>573</v>
      </c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T22" s="144" t="s">
        <v>374</v>
      </c>
      <c r="U22" s="166"/>
      <c r="V22" s="166"/>
      <c r="W22" s="166"/>
      <c r="X22" s="166"/>
    </row>
    <row r="23" spans="1:27">
      <c r="C23" s="101" t="s">
        <v>584</v>
      </c>
      <c r="D23" s="450"/>
      <c r="P23" s="8"/>
      <c r="T23" s="101"/>
      <c r="U23" s="166" t="s">
        <v>375</v>
      </c>
      <c r="V23" s="166"/>
      <c r="W23" s="166"/>
      <c r="X23" s="166"/>
    </row>
    <row r="24" spans="1:27">
      <c r="A24" s="8" t="s">
        <v>526</v>
      </c>
      <c r="B24" s="437" t="s">
        <v>526</v>
      </c>
      <c r="C24" s="466" t="s">
        <v>567</v>
      </c>
      <c r="P24" s="8"/>
      <c r="T24" s="101"/>
      <c r="U24" s="101"/>
      <c r="V24" s="166" t="s">
        <v>376</v>
      </c>
      <c r="W24" s="101"/>
      <c r="X24" s="101"/>
    </row>
    <row r="25" spans="1:27">
      <c r="C25" s="101" t="s">
        <v>577</v>
      </c>
      <c r="F25" s="449"/>
      <c r="P25" s="8"/>
      <c r="T25" s="101"/>
      <c r="U25" s="101"/>
      <c r="V25" s="101"/>
      <c r="W25" s="254" t="s">
        <v>377</v>
      </c>
      <c r="X25" s="101"/>
    </row>
    <row r="26" spans="1:27">
      <c r="C26" s="101" t="s">
        <v>583</v>
      </c>
      <c r="U26" s="166"/>
      <c r="V26" s="166"/>
      <c r="W26" s="101"/>
      <c r="X26" s="102" t="s">
        <v>378</v>
      </c>
      <c r="Y26" s="166"/>
    </row>
    <row r="27" spans="1:27">
      <c r="A27" s="8" t="s">
        <v>578</v>
      </c>
      <c r="B27" s="437">
        <v>36998</v>
      </c>
      <c r="C27" s="101" t="s">
        <v>554</v>
      </c>
      <c r="F27" s="450"/>
      <c r="P27" s="8"/>
      <c r="Q27" s="144"/>
      <c r="R27" s="144"/>
      <c r="S27" s="144"/>
      <c r="T27" s="166"/>
      <c r="U27" s="166"/>
      <c r="V27" s="166"/>
      <c r="W27" s="166"/>
      <c r="X27" s="166"/>
    </row>
    <row r="28" spans="1:27">
      <c r="C28" s="101" t="s">
        <v>555</v>
      </c>
      <c r="F28" s="450"/>
      <c r="P28" s="2"/>
      <c r="Q28" s="2"/>
      <c r="R28" s="2"/>
      <c r="S28" s="2"/>
      <c r="U28" s="166"/>
      <c r="V28" s="166"/>
      <c r="W28" s="101"/>
      <c r="X28" s="102"/>
      <c r="Y28" s="166"/>
    </row>
    <row r="29" spans="1:27">
      <c r="C29" s="101" t="s">
        <v>556</v>
      </c>
      <c r="D29" s="450"/>
      <c r="E29" s="8"/>
      <c r="F29" s="262" t="s">
        <v>517</v>
      </c>
      <c r="G29" s="8"/>
      <c r="H29" s="8"/>
      <c r="I29" s="8" t="s">
        <v>254</v>
      </c>
      <c r="J29" s="8" t="s">
        <v>530</v>
      </c>
      <c r="L29" s="474" t="s">
        <v>531</v>
      </c>
      <c r="P29" s="2"/>
      <c r="Q29" s="2"/>
      <c r="R29" s="2"/>
      <c r="U29" s="101"/>
      <c r="V29" s="166"/>
      <c r="W29" s="166"/>
      <c r="X29" s="166"/>
      <c r="Y29" s="166"/>
    </row>
    <row r="30" spans="1:27">
      <c r="A30" s="8" t="s">
        <v>578</v>
      </c>
      <c r="B30" s="437">
        <v>37001</v>
      </c>
      <c r="C30" s="101" t="s">
        <v>557</v>
      </c>
      <c r="D30" s="488"/>
      <c r="E30" s="488"/>
      <c r="G30" s="458" t="s">
        <v>319</v>
      </c>
      <c r="P30" s="2"/>
      <c r="Q30" s="2"/>
      <c r="R30" s="2"/>
      <c r="U30" s="101"/>
      <c r="V30" s="101"/>
      <c r="W30" s="254"/>
      <c r="X30" s="101"/>
      <c r="Y30" s="101"/>
    </row>
    <row r="31" spans="1:27">
      <c r="C31" s="101" t="s">
        <v>558</v>
      </c>
      <c r="D31" s="461"/>
      <c r="E31" s="461"/>
      <c r="F31" s="8"/>
      <c r="G31" s="458" t="s">
        <v>532</v>
      </c>
      <c r="P31" s="2"/>
      <c r="Q31" s="2"/>
      <c r="R31" s="2"/>
      <c r="U31" s="101"/>
      <c r="V31" s="101"/>
      <c r="W31" s="101"/>
      <c r="X31" s="102"/>
      <c r="Y31" s="101"/>
    </row>
    <row r="32" spans="1:27">
      <c r="C32" s="101" t="s">
        <v>559</v>
      </c>
      <c r="D32" s="341"/>
      <c r="F32" s="8"/>
      <c r="G32" s="458" t="s">
        <v>533</v>
      </c>
      <c r="P32" s="2"/>
      <c r="Q32" s="2"/>
      <c r="R32" s="2"/>
    </row>
    <row r="33" spans="1:18">
      <c r="A33" s="487" t="s">
        <v>591</v>
      </c>
      <c r="B33" s="467">
        <v>37719</v>
      </c>
      <c r="C33" s="468" t="s">
        <v>560</v>
      </c>
      <c r="D33" s="341"/>
      <c r="F33" s="8"/>
      <c r="G33" s="458">
        <v>3600</v>
      </c>
      <c r="P33" s="2"/>
      <c r="Q33" s="2"/>
      <c r="R33" s="2"/>
    </row>
    <row r="34" spans="1:18">
      <c r="A34" s="487" t="s">
        <v>589</v>
      </c>
      <c r="B34" s="467">
        <v>37719</v>
      </c>
      <c r="C34" s="469" t="s">
        <v>569</v>
      </c>
      <c r="D34" s="341"/>
      <c r="F34" s="8"/>
      <c r="G34" s="458" t="s">
        <v>371</v>
      </c>
      <c r="P34" s="2"/>
      <c r="Q34" s="2"/>
      <c r="R34" s="2"/>
    </row>
    <row r="35" spans="1:18">
      <c r="A35" s="487"/>
      <c r="B35" s="467"/>
      <c r="C35" s="469" t="s">
        <v>561</v>
      </c>
      <c r="D35" s="341"/>
      <c r="F35" s="8"/>
      <c r="G35" s="458" t="s">
        <v>534</v>
      </c>
      <c r="P35" s="2"/>
      <c r="Q35" s="2"/>
      <c r="R35" s="2"/>
    </row>
    <row r="36" spans="1:18">
      <c r="A36" s="487"/>
      <c r="B36" s="467"/>
      <c r="C36" s="470" t="s">
        <v>549</v>
      </c>
      <c r="D36" s="341"/>
      <c r="G36" s="459" t="s">
        <v>93</v>
      </c>
      <c r="P36" s="2"/>
      <c r="Q36" s="2"/>
      <c r="R36" s="2"/>
    </row>
    <row r="37" spans="1:18">
      <c r="A37" s="487"/>
      <c r="B37" s="467"/>
      <c r="C37" s="469" t="s">
        <v>550</v>
      </c>
      <c r="D37" s="341"/>
      <c r="G37" s="459" t="s">
        <v>367</v>
      </c>
      <c r="P37" s="2"/>
      <c r="Q37" s="2"/>
      <c r="R37" s="2"/>
    </row>
    <row r="38" spans="1:18">
      <c r="A38" s="487"/>
      <c r="B38" s="467"/>
      <c r="C38" s="469" t="s">
        <v>562</v>
      </c>
      <c r="D38" s="341"/>
      <c r="G38" s="459" t="s">
        <v>94</v>
      </c>
      <c r="P38" s="2"/>
      <c r="Q38" s="2"/>
      <c r="R38" s="2"/>
    </row>
    <row r="39" spans="1:18">
      <c r="A39" s="487" t="s">
        <v>589</v>
      </c>
      <c r="B39" s="467">
        <v>37719</v>
      </c>
      <c r="C39" s="469" t="s">
        <v>563</v>
      </c>
      <c r="D39" s="341"/>
      <c r="G39" s="459" t="s">
        <v>526</v>
      </c>
      <c r="P39" s="2"/>
      <c r="Q39" s="2"/>
      <c r="R39" s="2"/>
    </row>
    <row r="40" spans="1:18">
      <c r="A40" s="487"/>
      <c r="B40" s="467"/>
      <c r="C40" s="469" t="s">
        <v>564</v>
      </c>
      <c r="G40" s="459"/>
      <c r="H40" s="207">
        <f>SUM(H30:H39)</f>
        <v>0</v>
      </c>
      <c r="I40" s="207">
        <f t="shared" ref="I40" si="3">SUM(I30:I39)</f>
        <v>0</v>
      </c>
      <c r="J40" s="207">
        <f t="shared" ref="J40" si="4">SUM(J30:J39)</f>
        <v>0</v>
      </c>
      <c r="K40" s="207"/>
      <c r="L40" s="460">
        <f t="shared" ref="L40" si="5">SUM(L30:L39)</f>
        <v>0</v>
      </c>
      <c r="P40" s="2"/>
      <c r="Q40" s="2"/>
      <c r="R40" s="2"/>
    </row>
    <row r="41" spans="1:18">
      <c r="A41" s="487"/>
      <c r="B41" s="467"/>
      <c r="C41" s="470" t="s">
        <v>551</v>
      </c>
      <c r="P41" s="2"/>
      <c r="Q41" s="2"/>
      <c r="R41" s="2"/>
    </row>
    <row r="42" spans="1:18">
      <c r="A42" s="487"/>
      <c r="B42" s="467"/>
      <c r="C42" s="469" t="s">
        <v>552</v>
      </c>
      <c r="P42" s="2"/>
      <c r="Q42" s="2"/>
      <c r="R42" s="2"/>
    </row>
    <row r="43" spans="1:18">
      <c r="A43" s="487"/>
      <c r="B43" s="467"/>
      <c r="C43" s="469" t="s">
        <v>565</v>
      </c>
      <c r="P43" s="2"/>
      <c r="Q43" s="2"/>
      <c r="R43" s="2"/>
    </row>
    <row r="44" spans="1:18">
      <c r="A44" s="8" t="s">
        <v>526</v>
      </c>
      <c r="B44" s="437" t="s">
        <v>526</v>
      </c>
      <c r="C44" s="3" t="s">
        <v>566</v>
      </c>
      <c r="H44" s="2" t="s">
        <v>581</v>
      </c>
    </row>
    <row r="45" spans="1:18">
      <c r="C45" s="465" t="s">
        <v>568</v>
      </c>
      <c r="G45" s="101" t="s">
        <v>579</v>
      </c>
    </row>
    <row r="46" spans="1:18">
      <c r="C46" s="3" t="s">
        <v>553</v>
      </c>
      <c r="G46" s="101" t="s">
        <v>580</v>
      </c>
    </row>
    <row r="48" spans="1:18">
      <c r="B48" s="437">
        <v>36972</v>
      </c>
      <c r="C48" s="3" t="s">
        <v>594</v>
      </c>
      <c r="H48" s="2" t="s">
        <v>582</v>
      </c>
      <c r="I48" s="8">
        <v>1100000</v>
      </c>
      <c r="K48" s="2">
        <v>10508.36</v>
      </c>
    </row>
    <row r="49" spans="1:11">
      <c r="B49" s="437">
        <v>36972</v>
      </c>
      <c r="C49" s="3" t="s">
        <v>595</v>
      </c>
      <c r="I49" s="8">
        <v>6000000</v>
      </c>
      <c r="K49" s="2">
        <v>57318.327272727271</v>
      </c>
    </row>
    <row r="50" spans="1:11">
      <c r="B50" s="437">
        <v>36990</v>
      </c>
      <c r="C50" s="3" t="s">
        <v>596</v>
      </c>
      <c r="I50" s="8">
        <v>2500000</v>
      </c>
      <c r="K50" s="2">
        <v>23882.636363636364</v>
      </c>
    </row>
    <row r="51" spans="1:11">
      <c r="B51" s="437">
        <v>36998</v>
      </c>
      <c r="C51" s="3" t="s">
        <v>597</v>
      </c>
      <c r="I51" s="8">
        <v>5450000</v>
      </c>
      <c r="K51" s="2">
        <v>52064.14727272727</v>
      </c>
    </row>
    <row r="52" spans="1:11">
      <c r="B52" s="437">
        <v>37001</v>
      </c>
      <c r="C52" s="3" t="s">
        <v>598</v>
      </c>
      <c r="I52" s="8"/>
    </row>
    <row r="53" spans="1:11">
      <c r="C53" s="30"/>
      <c r="I53" s="8"/>
    </row>
    <row r="54" spans="1:11">
      <c r="I54" s="8"/>
    </row>
    <row r="55" spans="1:11">
      <c r="A55" s="8" t="s">
        <v>526</v>
      </c>
      <c r="B55" s="437">
        <v>37097</v>
      </c>
      <c r="C55" s="3" t="s">
        <v>599</v>
      </c>
      <c r="D55" s="207" t="s">
        <v>546</v>
      </c>
    </row>
    <row r="56" spans="1:11">
      <c r="C56" s="457" t="s">
        <v>540</v>
      </c>
    </row>
    <row r="57" spans="1:11">
      <c r="C57" s="457" t="s">
        <v>541</v>
      </c>
      <c r="D57" s="2">
        <v>14996.97</v>
      </c>
    </row>
    <row r="58" spans="1:11">
      <c r="C58" s="457" t="s">
        <v>547</v>
      </c>
      <c r="D58" s="2">
        <v>63.59</v>
      </c>
    </row>
    <row r="59" spans="1:11">
      <c r="C59" s="30"/>
      <c r="D59" s="2">
        <v>98.71</v>
      </c>
    </row>
    <row r="60" spans="1:11">
      <c r="C60" s="457"/>
      <c r="D60" s="2">
        <v>77.989999999999995</v>
      </c>
    </row>
    <row r="61" spans="1:11">
      <c r="B61" s="437">
        <v>37161</v>
      </c>
      <c r="C61" s="30" t="s">
        <v>600</v>
      </c>
      <c r="D61" s="2">
        <v>84.58</v>
      </c>
    </row>
    <row r="62" spans="1:11">
      <c r="C62" s="457"/>
      <c r="D62" s="2">
        <v>23.52</v>
      </c>
    </row>
    <row r="63" spans="1:11">
      <c r="A63" s="8" t="s">
        <v>601</v>
      </c>
      <c r="B63" s="437">
        <v>37194</v>
      </c>
      <c r="C63" s="3" t="s">
        <v>602</v>
      </c>
      <c r="D63" s="2">
        <v>1120.3499999999999</v>
      </c>
    </row>
    <row r="64" spans="1:11">
      <c r="C64" s="457" t="s">
        <v>542</v>
      </c>
      <c r="D64" s="2">
        <v>983.3</v>
      </c>
    </row>
    <row r="65" spans="1:4">
      <c r="C65" s="3" t="s">
        <v>543</v>
      </c>
      <c r="D65" s="2">
        <v>1070.48</v>
      </c>
    </row>
    <row r="66" spans="1:4">
      <c r="C66" s="457" t="s">
        <v>603</v>
      </c>
      <c r="D66" s="2">
        <v>0.02</v>
      </c>
    </row>
    <row r="67" spans="1:4">
      <c r="C67" s="464" t="s">
        <v>604</v>
      </c>
      <c r="D67" s="2">
        <v>0.69</v>
      </c>
    </row>
    <row r="68" spans="1:4">
      <c r="C68" s="457" t="s">
        <v>605</v>
      </c>
      <c r="D68" s="2">
        <v>3.86</v>
      </c>
    </row>
    <row r="69" spans="1:4">
      <c r="C69" s="464" t="s">
        <v>544</v>
      </c>
      <c r="D69" s="163">
        <f>SUM(D57:D68)</f>
        <v>18524.059999999998</v>
      </c>
    </row>
    <row r="70" spans="1:4">
      <c r="A70" s="8" t="s">
        <v>526</v>
      </c>
      <c r="B70" s="437">
        <v>37237</v>
      </c>
      <c r="C70" s="3" t="s">
        <v>602</v>
      </c>
    </row>
    <row r="71" spans="1:4">
      <c r="C71" s="457" t="s">
        <v>545</v>
      </c>
    </row>
    <row r="72" spans="1:4">
      <c r="B72" s="437">
        <v>37442</v>
      </c>
      <c r="C72" s="3" t="s">
        <v>606</v>
      </c>
    </row>
    <row r="73" spans="1:4">
      <c r="C73" s="457" t="s">
        <v>538</v>
      </c>
    </row>
    <row r="74" spans="1:4">
      <c r="C74" s="457" t="s">
        <v>539</v>
      </c>
    </row>
    <row r="75" spans="1:4">
      <c r="C75" s="457"/>
    </row>
    <row r="76" spans="1:4">
      <c r="A76" s="64"/>
      <c r="B76" s="471"/>
      <c r="C76" s="472"/>
    </row>
    <row r="77" spans="1:4">
      <c r="A77" s="64" t="s">
        <v>526</v>
      </c>
      <c r="B77" s="471">
        <v>37720</v>
      </c>
      <c r="C77" s="473" t="s">
        <v>607</v>
      </c>
      <c r="D77" s="2">
        <v>41085.910000000003</v>
      </c>
    </row>
    <row r="78" spans="1:4">
      <c r="A78" s="64"/>
      <c r="B78" s="471"/>
      <c r="C78" s="472" t="s">
        <v>608</v>
      </c>
    </row>
    <row r="79" spans="1:4">
      <c r="A79" s="64"/>
      <c r="B79" s="471"/>
      <c r="C79" s="473"/>
    </row>
    <row r="80" spans="1:4">
      <c r="A80" s="64"/>
      <c r="B80" s="471"/>
      <c r="C80" s="472"/>
    </row>
    <row r="81" spans="1:3">
      <c r="A81" s="64"/>
      <c r="B81" s="471"/>
      <c r="C81" s="5"/>
    </row>
    <row r="82" spans="1:3">
      <c r="A82" s="64"/>
      <c r="B82" s="471"/>
      <c r="C82" s="472"/>
    </row>
    <row r="83" spans="1:3">
      <c r="A83" s="64"/>
      <c r="B83" s="471"/>
      <c r="C83" s="5"/>
    </row>
    <row r="84" spans="1:3">
      <c r="A84" s="64"/>
      <c r="B84" s="471"/>
      <c r="C84" s="472"/>
    </row>
    <row r="85" spans="1:3">
      <c r="A85" s="64"/>
      <c r="B85" s="471"/>
      <c r="C85" s="472"/>
    </row>
    <row r="86" spans="1:3">
      <c r="A86" s="64"/>
      <c r="B86" s="471"/>
      <c r="C86" s="472"/>
    </row>
    <row r="87" spans="1:3">
      <c r="A87" s="64"/>
      <c r="B87" s="471"/>
      <c r="C87" s="472"/>
    </row>
    <row r="88" spans="1:3">
      <c r="A88" s="64"/>
      <c r="B88" s="471"/>
      <c r="C88" s="5"/>
    </row>
    <row r="89" spans="1:3">
      <c r="A89" s="64"/>
      <c r="B89" s="471"/>
      <c r="C89" s="472"/>
    </row>
    <row r="90" spans="1:3">
      <c r="A90" s="64"/>
      <c r="B90" s="471"/>
      <c r="C90" s="5"/>
    </row>
    <row r="91" spans="1:3">
      <c r="A91" s="64"/>
      <c r="B91" s="471"/>
      <c r="C91" s="472"/>
    </row>
    <row r="92" spans="1:3">
      <c r="A92" s="64"/>
      <c r="B92" s="471"/>
      <c r="C92" s="472"/>
    </row>
  </sheetData>
  <mergeCells count="10">
    <mergeCell ref="D30:E30"/>
    <mergeCell ref="N1:O1"/>
    <mergeCell ref="L1:M1"/>
    <mergeCell ref="P1:AA1"/>
    <mergeCell ref="A16:D1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2"/>
  <sheetViews>
    <sheetView workbookViewId="0">
      <pane ySplit="2" topLeftCell="A3" activePane="bottomLeft" state="frozen"/>
      <selection pane="bottomLeft" activeCell="B38" sqref="B38"/>
    </sheetView>
  </sheetViews>
  <sheetFormatPr defaultRowHeight="11.25"/>
  <cols>
    <col min="1" max="1" width="8.140625" style="3" bestFit="1" customWidth="1"/>
    <col min="2" max="2" width="59.710937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38" t="s">
        <v>19</v>
      </c>
      <c r="B1" s="640" t="s">
        <v>352</v>
      </c>
      <c r="C1" s="640" t="s">
        <v>85</v>
      </c>
      <c r="D1" s="642" t="s">
        <v>353</v>
      </c>
      <c r="E1" s="643"/>
      <c r="F1" s="643"/>
      <c r="G1" s="644" t="s">
        <v>323</v>
      </c>
      <c r="H1" s="645"/>
      <c r="I1" s="634" t="s">
        <v>324</v>
      </c>
      <c r="J1" s="634"/>
      <c r="K1" s="303"/>
      <c r="L1" s="304"/>
      <c r="M1" s="635" t="s">
        <v>354</v>
      </c>
      <c r="N1" s="635"/>
      <c r="O1" s="635"/>
      <c r="P1" s="304"/>
      <c r="Q1" s="635" t="s">
        <v>355</v>
      </c>
      <c r="R1" s="635"/>
      <c r="S1" s="635"/>
      <c r="T1" s="635"/>
      <c r="U1" s="305"/>
      <c r="V1" s="636" t="s">
        <v>323</v>
      </c>
      <c r="W1" s="636" t="s">
        <v>356</v>
      </c>
      <c r="X1" s="636" t="s">
        <v>357</v>
      </c>
      <c r="Y1" s="305"/>
      <c r="Z1" s="628" t="s">
        <v>358</v>
      </c>
      <c r="AA1" s="629"/>
      <c r="AB1" s="629"/>
      <c r="AC1" s="629"/>
      <c r="AD1" s="630"/>
    </row>
    <row r="2" spans="1:30" ht="12" thickBot="1">
      <c r="A2" s="639"/>
      <c r="B2" s="641"/>
      <c r="C2" s="641"/>
      <c r="D2" s="246" t="s">
        <v>330</v>
      </c>
      <c r="E2" s="246" t="s">
        <v>336</v>
      </c>
      <c r="F2" s="181" t="s">
        <v>337</v>
      </c>
      <c r="G2" s="247" t="s">
        <v>359</v>
      </c>
      <c r="H2" s="248" t="s">
        <v>360</v>
      </c>
      <c r="I2" s="247" t="s">
        <v>361</v>
      </c>
      <c r="J2" s="249" t="s">
        <v>362</v>
      </c>
      <c r="K2" s="306" t="s">
        <v>363</v>
      </c>
      <c r="L2" s="307"/>
      <c r="M2" s="308" t="s">
        <v>366</v>
      </c>
      <c r="N2" s="308" t="s">
        <v>364</v>
      </c>
      <c r="O2" s="308" t="s">
        <v>365</v>
      </c>
      <c r="P2" s="307"/>
      <c r="Q2" s="309" t="s">
        <v>366</v>
      </c>
      <c r="R2" s="310">
        <v>1.2999999999999999E-2</v>
      </c>
      <c r="S2" s="310">
        <v>6.4999999999999997E-3</v>
      </c>
      <c r="T2" s="311">
        <v>1.25E-3</v>
      </c>
      <c r="U2" s="312"/>
      <c r="V2" s="637"/>
      <c r="W2" s="637"/>
      <c r="X2" s="637"/>
      <c r="Y2" s="312"/>
      <c r="Z2" s="313" t="s">
        <v>366</v>
      </c>
      <c r="AA2" s="313" t="s">
        <v>364</v>
      </c>
      <c r="AB2" s="314" t="s">
        <v>365</v>
      </c>
      <c r="AC2" s="313" t="s">
        <v>356</v>
      </c>
      <c r="AD2" s="313" t="s">
        <v>357</v>
      </c>
    </row>
    <row r="3" spans="1:30" s="19" customFormat="1">
      <c r="A3" s="151">
        <f>'1-συμβολαια'!A3</f>
        <v>2774</v>
      </c>
      <c r="B3" s="151" t="str">
        <f>'1-συμβολαια'!C3</f>
        <v>κατασχέσεως ΑΡΣΗ για δάνειο Β.2'  [1.635.748δρχ = 4.800,44€]</v>
      </c>
      <c r="C3" s="250">
        <f>'1-συμβολαια'!D3</f>
        <v>0</v>
      </c>
      <c r="D3" s="29">
        <f>'8-κ-15-17'!D3</f>
        <v>0</v>
      </c>
      <c r="E3" s="29">
        <f>'8-κ-15-17'!M3</f>
        <v>0</v>
      </c>
      <c r="F3" s="29">
        <f>'8-κ-15-17'!V3</f>
        <v>0</v>
      </c>
      <c r="G3" s="29">
        <f>'2-δικαιώμ'!I3</f>
        <v>0</v>
      </c>
      <c r="H3" s="29">
        <f>'2-δικαιώμ'!J3</f>
        <v>0.44000000000000006</v>
      </c>
      <c r="I3" s="29">
        <f>'2-δικαιώμ'!K3</f>
        <v>0.44000000000000006</v>
      </c>
      <c r="J3" s="29">
        <f>'2-δικαιώμ'!L3</f>
        <v>8.8000000000000009E-2</v>
      </c>
      <c r="K3" s="186"/>
      <c r="L3" s="186"/>
      <c r="M3" s="38"/>
      <c r="N3" s="38"/>
      <c r="O3" s="38"/>
      <c r="P3" s="186"/>
      <c r="Q3" s="38"/>
      <c r="R3" s="38"/>
      <c r="S3" s="38"/>
      <c r="T3" s="38"/>
      <c r="U3" s="186"/>
      <c r="V3" s="38">
        <f>'2-δικαιώμ'!I3+'2-δικαιώμ'!J3</f>
        <v>0.44000000000000006</v>
      </c>
      <c r="W3" s="38">
        <f>'2-δικαιώμ'!K3</f>
        <v>0.44000000000000006</v>
      </c>
      <c r="X3" s="38">
        <f>'2-δικαιώμ'!L3</f>
        <v>8.8000000000000009E-2</v>
      </c>
      <c r="Y3" s="186"/>
      <c r="Z3" s="38"/>
      <c r="AA3" s="38"/>
      <c r="AB3" s="38"/>
      <c r="AC3" s="38"/>
      <c r="AD3" s="38"/>
    </row>
    <row r="4" spans="1:30" s="19" customFormat="1">
      <c r="A4" s="151">
        <f>'1-συμβολαια'!A4</f>
        <v>0</v>
      </c>
      <c r="B4" s="151">
        <f>'1-συμβολαια'!C4</f>
        <v>0</v>
      </c>
      <c r="C4" s="250">
        <f>'1-συμβολαια'!D4</f>
        <v>0</v>
      </c>
      <c r="D4" s="29">
        <f>'8-κ-15-17'!D4</f>
        <v>0</v>
      </c>
      <c r="E4" s="29">
        <f>'8-κ-15-17'!M4</f>
        <v>0</v>
      </c>
      <c r="F4" s="29">
        <f>'8-κ-15-17'!V4</f>
        <v>0</v>
      </c>
      <c r="G4" s="29">
        <f>'2-δικαιώμ'!I4</f>
        <v>0</v>
      </c>
      <c r="H4" s="29">
        <f>'2-δικαιώμ'!J4</f>
        <v>0</v>
      </c>
      <c r="I4" s="29">
        <f>'2-δικαιώμ'!K4</f>
        <v>0</v>
      </c>
      <c r="J4" s="29">
        <f>'2-δικαιώμ'!L4</f>
        <v>0</v>
      </c>
      <c r="K4" s="186"/>
      <c r="L4" s="186"/>
      <c r="M4" s="38"/>
      <c r="N4" s="38"/>
      <c r="O4" s="38"/>
      <c r="P4" s="186"/>
      <c r="Q4" s="38"/>
      <c r="R4" s="38"/>
      <c r="S4" s="38"/>
      <c r="T4" s="38"/>
      <c r="U4" s="186"/>
      <c r="V4" s="38">
        <f>'2-δικαιώμ'!I4+'2-δικαιώμ'!J4</f>
        <v>0</v>
      </c>
      <c r="W4" s="38">
        <f>'2-δικαιώμ'!K4</f>
        <v>0</v>
      </c>
      <c r="X4" s="38">
        <f>'2-δικαιώμ'!L4</f>
        <v>0</v>
      </c>
      <c r="Y4" s="186"/>
      <c r="Z4" s="38"/>
      <c r="AA4" s="38"/>
      <c r="AB4" s="38"/>
      <c r="AC4" s="38"/>
      <c r="AD4" s="38"/>
    </row>
    <row r="5" spans="1:30" s="19" customFormat="1">
      <c r="A5" s="151" t="str">
        <f>'1-συμβολαια'!A5</f>
        <v>2ο</v>
      </c>
      <c r="B5" s="151" t="str">
        <f>'1-συμβολαια'!C5</f>
        <v>δανείου  Β' ΕΞΟΦΛΗΣΗ [= 2.500.000δρχ</v>
      </c>
      <c r="C5" s="250">
        <f>'1-συμβολαια'!D5</f>
        <v>7336.76</v>
      </c>
      <c r="D5" s="29">
        <f>'8-κ-15-17'!D5</f>
        <v>95.377880000000005</v>
      </c>
      <c r="E5" s="29">
        <f>'8-κ-15-17'!M5</f>
        <v>0</v>
      </c>
      <c r="F5" s="29">
        <f>'8-κ-15-17'!V5</f>
        <v>0</v>
      </c>
      <c r="G5" s="29">
        <f>'2-δικαιώμ'!I5</f>
        <v>8.524537200000001</v>
      </c>
      <c r="H5" s="29">
        <f>'2-δικαιώμ'!J5</f>
        <v>0.14650000000000002</v>
      </c>
      <c r="I5" s="29">
        <f>'2-δικαιώμ'!K5</f>
        <v>4.8823540000000003</v>
      </c>
      <c r="J5" s="29">
        <f>'2-δικαιώμ'!L5</f>
        <v>0.97647080000000008</v>
      </c>
      <c r="K5" s="186"/>
      <c r="L5" s="186"/>
      <c r="M5" s="38"/>
      <c r="N5" s="38"/>
      <c r="O5" s="38"/>
      <c r="P5" s="186"/>
      <c r="Q5" s="38"/>
      <c r="R5" s="38"/>
      <c r="S5" s="38"/>
      <c r="T5" s="38"/>
      <c r="U5" s="186"/>
      <c r="V5" s="38">
        <f>'2-δικαιώμ'!I5+'2-δικαιώμ'!J5</f>
        <v>8.6710372000000007</v>
      </c>
      <c r="W5" s="38">
        <f>'2-δικαιώμ'!K5</f>
        <v>4.8823540000000003</v>
      </c>
      <c r="X5" s="38">
        <f>'2-δικαιώμ'!L5</f>
        <v>0.97647080000000008</v>
      </c>
      <c r="Y5" s="186"/>
      <c r="Z5" s="38"/>
      <c r="AA5" s="38"/>
      <c r="AB5" s="38"/>
      <c r="AC5" s="38"/>
      <c r="AD5" s="38"/>
    </row>
    <row r="6" spans="1:30" s="19" customFormat="1">
      <c r="A6" s="151">
        <f>'1-συμβολαια'!A6</f>
        <v>0</v>
      </c>
      <c r="B6" s="151" t="str">
        <f>'1-συμβολαια'!C6</f>
        <v>δανείου  Β.2' ΕΞΟΦΛΗΣΗ ΥΠΟΛΟΙΠΟΥ = 1.635.748δρχ</v>
      </c>
      <c r="C6" s="250">
        <f>'1-συμβολαια'!D6</f>
        <v>4800.4399999999996</v>
      </c>
      <c r="D6" s="29">
        <f>'8-κ-15-17'!D6</f>
        <v>62.405720000000002</v>
      </c>
      <c r="E6" s="29">
        <f>'8-κ-15-17'!M6</f>
        <v>0</v>
      </c>
      <c r="F6" s="29">
        <f>'8-κ-15-17'!V6</f>
        <v>0</v>
      </c>
      <c r="G6" s="29">
        <f>'2-δικαιώμ'!I6</f>
        <v>5.7853115999999991</v>
      </c>
      <c r="H6" s="29">
        <f>'2-δικαιώμ'!J6</f>
        <v>0.14650000000000002</v>
      </c>
      <c r="I6" s="29">
        <f>'2-δικαιώμ'!K6</f>
        <v>3.3605619999999998</v>
      </c>
      <c r="J6" s="29">
        <f>'2-δικαιώμ'!L6</f>
        <v>0.67211239999999994</v>
      </c>
      <c r="K6" s="186"/>
      <c r="L6" s="186"/>
      <c r="M6" s="38"/>
      <c r="N6" s="38"/>
      <c r="O6" s="38"/>
      <c r="P6" s="186"/>
      <c r="Q6" s="38"/>
      <c r="R6" s="38"/>
      <c r="S6" s="38"/>
      <c r="T6" s="38"/>
      <c r="U6" s="186"/>
      <c r="V6" s="38">
        <f>'2-δικαιώμ'!I6+'2-δικαιώμ'!J6</f>
        <v>5.9318115999999987</v>
      </c>
      <c r="W6" s="38">
        <f>'2-δικαιώμ'!K6</f>
        <v>3.3605619999999998</v>
      </c>
      <c r="X6" s="38">
        <f>'2-δικαιώμ'!L6</f>
        <v>0.67211239999999994</v>
      </c>
      <c r="Y6" s="186"/>
      <c r="Z6" s="38"/>
      <c r="AA6" s="38"/>
      <c r="AB6" s="38"/>
      <c r="AC6" s="38"/>
      <c r="AD6" s="38"/>
    </row>
    <row r="7" spans="1:30" s="19" customFormat="1">
      <c r="A7" s="151">
        <f>'1-συμβολαια'!A7</f>
        <v>0</v>
      </c>
      <c r="B7" s="151" t="str">
        <f>'1-συμβολαια'!C7</f>
        <v>υποθήκη δανείου Β' …. ΕΞΑΛΕΙΨΗ</v>
      </c>
      <c r="C7" s="250">
        <f>'1-συμβολαια'!D7</f>
        <v>8151.95</v>
      </c>
      <c r="D7" s="29">
        <f>'8-κ-15-17'!D7</f>
        <v>105.97535000000001</v>
      </c>
      <c r="E7" s="29">
        <f>'8-κ-15-17'!M7</f>
        <v>0</v>
      </c>
      <c r="F7" s="29">
        <f>'8-κ-15-17'!V7</f>
        <v>0</v>
      </c>
      <c r="G7" s="29">
        <f>'2-δικαιώμ'!I7</f>
        <v>9.4049423999999995</v>
      </c>
      <c r="H7" s="29">
        <f>'2-δικαιώμ'!J7</f>
        <v>0.14650000000000002</v>
      </c>
      <c r="I7" s="29">
        <f>'2-δικαιώμ'!K7</f>
        <v>5.3714680000000001</v>
      </c>
      <c r="J7" s="29">
        <f>'2-δικαιώμ'!L7</f>
        <v>1.0742935999999998</v>
      </c>
      <c r="K7" s="186"/>
      <c r="L7" s="186"/>
      <c r="M7" s="38"/>
      <c r="N7" s="38"/>
      <c r="O7" s="38"/>
      <c r="P7" s="186"/>
      <c r="Q7" s="38"/>
      <c r="R7" s="38"/>
      <c r="S7" s="38"/>
      <c r="T7" s="38"/>
      <c r="U7" s="186"/>
      <c r="V7" s="38">
        <f>'2-δικαιώμ'!I7+'2-δικαιώμ'!J7</f>
        <v>9.5514423999999991</v>
      </c>
      <c r="W7" s="38">
        <f>'2-δικαιώμ'!K7</f>
        <v>5.3714680000000001</v>
      </c>
      <c r="X7" s="38">
        <f>'2-δικαιώμ'!L7</f>
        <v>1.0742935999999998</v>
      </c>
      <c r="Y7" s="186"/>
      <c r="Z7" s="38"/>
      <c r="AA7" s="38"/>
      <c r="AB7" s="38"/>
      <c r="AC7" s="38"/>
      <c r="AD7" s="38"/>
    </row>
    <row r="8" spans="1:30" s="19" customFormat="1">
      <c r="A8" s="151">
        <f>'1-συμβολαια'!A8</f>
        <v>0</v>
      </c>
      <c r="B8" s="151" t="str">
        <f>'1-συμβολαια'!C8</f>
        <v>τόκοι δανείου Β' [προυπολογιζόμενοι VS πληρωμένοι]</v>
      </c>
      <c r="C8" s="250">
        <f>'1-συμβολαια'!D8</f>
        <v>23882.636363636364</v>
      </c>
      <c r="D8" s="29">
        <f>'8-κ-15-17'!D8</f>
        <v>310.47427272727276</v>
      </c>
      <c r="E8" s="29">
        <f>'8-κ-15-17'!M8</f>
        <v>0</v>
      </c>
      <c r="F8" s="29">
        <f>'8-κ-15-17'!V8</f>
        <v>0</v>
      </c>
      <c r="G8" s="29">
        <f>'2-δικαιώμ'!I8</f>
        <v>26.394083672727277</v>
      </c>
      <c r="H8" s="29">
        <f>'2-δικαιώμ'!J8</f>
        <v>0.14650000000000002</v>
      </c>
      <c r="I8" s="29">
        <f>'2-δικαιώμ'!K8</f>
        <v>14.809879818181821</v>
      </c>
      <c r="J8" s="29">
        <f>'2-δικαιώμ'!L8</f>
        <v>2.9619759636363643</v>
      </c>
      <c r="K8" s="186"/>
      <c r="L8" s="186"/>
      <c r="M8" s="38"/>
      <c r="N8" s="38"/>
      <c r="O8" s="38"/>
      <c r="P8" s="186"/>
      <c r="Q8" s="38"/>
      <c r="R8" s="38"/>
      <c r="S8" s="38"/>
      <c r="T8" s="38"/>
      <c r="U8" s="186"/>
      <c r="V8" s="38">
        <f>'2-δικαιώμ'!I8+'2-δικαιώμ'!J8</f>
        <v>26.540583672727276</v>
      </c>
      <c r="W8" s="38">
        <f>'2-δικαιώμ'!K8</f>
        <v>14.809879818181821</v>
      </c>
      <c r="X8" s="38">
        <f>'2-δικαιώμ'!L8</f>
        <v>2.9619759636363643</v>
      </c>
      <c r="Y8" s="186"/>
      <c r="Z8" s="38"/>
      <c r="AA8" s="38"/>
      <c r="AB8" s="38"/>
      <c r="AC8" s="38"/>
      <c r="AD8" s="38"/>
    </row>
    <row r="9" spans="1:30" s="19" customFormat="1">
      <c r="A9" s="151">
        <f>'1-συμβολαια'!A9</f>
        <v>0</v>
      </c>
      <c r="B9" s="151" t="str">
        <f>'1-συμβολαια'!C9</f>
        <v>τόκοι δανείου Β.2' [προυπολογιζόμενοι VS πληρωμένοι]</v>
      </c>
      <c r="C9" s="250">
        <f>'1-συμβολαια'!D9</f>
        <v>111.11</v>
      </c>
      <c r="D9" s="29">
        <f>'8-κ-15-17'!D9</f>
        <v>1.4444300000000001</v>
      </c>
      <c r="E9" s="29">
        <f>'8-κ-15-17'!M9</f>
        <v>0</v>
      </c>
      <c r="F9" s="29">
        <f>'8-κ-15-17'!V9</f>
        <v>0</v>
      </c>
      <c r="G9" s="29">
        <f>'2-δικαιώμ'!I9</f>
        <v>0.72083520000000001</v>
      </c>
      <c r="H9" s="29">
        <f>'2-δικαιώμ'!J9</f>
        <v>0.14650000000000002</v>
      </c>
      <c r="I9" s="29">
        <f>'2-δικαιώμ'!K9</f>
        <v>0.54696400000000001</v>
      </c>
      <c r="J9" s="29">
        <f>'2-δικαιώμ'!L9</f>
        <v>0.1093928</v>
      </c>
      <c r="K9" s="186"/>
      <c r="L9" s="186"/>
      <c r="M9" s="38"/>
      <c r="N9" s="38"/>
      <c r="O9" s="38"/>
      <c r="P9" s="186"/>
      <c r="Q9" s="38"/>
      <c r="R9" s="38"/>
      <c r="S9" s="38"/>
      <c r="T9" s="38"/>
      <c r="U9" s="186"/>
      <c r="V9" s="38">
        <f>'2-δικαιώμ'!I9+'2-δικαιώμ'!J9</f>
        <v>0.86733520000000008</v>
      </c>
      <c r="W9" s="38">
        <f>'2-δικαιώμ'!K9</f>
        <v>0.54696400000000001</v>
      </c>
      <c r="X9" s="38">
        <f>'2-δικαιώμ'!L9</f>
        <v>0.1093928</v>
      </c>
      <c r="Y9" s="186"/>
      <c r="Z9" s="38"/>
      <c r="AA9" s="38"/>
      <c r="AB9" s="38"/>
      <c r="AC9" s="38"/>
      <c r="AD9" s="38"/>
    </row>
    <row r="10" spans="1:30" s="19" customFormat="1">
      <c r="A10" s="151">
        <f>'1-συμβολαια'!A10</f>
        <v>0</v>
      </c>
      <c r="B10" s="151">
        <f>'1-συμβολαια'!C10</f>
        <v>0</v>
      </c>
      <c r="C10" s="250">
        <f>'1-συμβολαια'!D10</f>
        <v>0</v>
      </c>
      <c r="D10" s="29">
        <f>'8-κ-15-17'!D10</f>
        <v>0</v>
      </c>
      <c r="E10" s="29">
        <f>'8-κ-15-17'!M10</f>
        <v>0</v>
      </c>
      <c r="F10" s="29">
        <f>'8-κ-15-17'!V10</f>
        <v>0</v>
      </c>
      <c r="G10" s="29">
        <f>'2-δικαιώμ'!I10</f>
        <v>0</v>
      </c>
      <c r="H10" s="29">
        <f>'2-δικαιώμ'!J10</f>
        <v>0</v>
      </c>
      <c r="I10" s="29">
        <f>'2-δικαιώμ'!K10</f>
        <v>0</v>
      </c>
      <c r="J10" s="29">
        <f>'2-δικαιώμ'!L10</f>
        <v>0</v>
      </c>
      <c r="K10" s="186"/>
      <c r="L10" s="186"/>
      <c r="M10" s="38"/>
      <c r="N10" s="38"/>
      <c r="O10" s="38"/>
      <c r="P10" s="186"/>
      <c r="Q10" s="38"/>
      <c r="R10" s="38"/>
      <c r="S10" s="38"/>
      <c r="T10" s="38"/>
      <c r="U10" s="186"/>
      <c r="V10" s="38">
        <f>'2-δικαιώμ'!I10+'2-δικαιώμ'!J10</f>
        <v>0</v>
      </c>
      <c r="W10" s="38">
        <f>'2-δικαιώμ'!K10</f>
        <v>0</v>
      </c>
      <c r="X10" s="38">
        <f>'2-δικαιώμ'!L10</f>
        <v>0</v>
      </c>
      <c r="Y10" s="186"/>
      <c r="Z10" s="38"/>
      <c r="AA10" s="38"/>
      <c r="AB10" s="38"/>
      <c r="AC10" s="38"/>
      <c r="AD10" s="38"/>
    </row>
    <row r="11" spans="1:30" s="19" customFormat="1">
      <c r="A11" s="151" t="str">
        <f>'1-συμβολαια'!A11</f>
        <v>3ο</v>
      </c>
      <c r="B11" s="151" t="str">
        <f>'1-συμβολαια'!C11</f>
        <v>δανείου  Α' ΕΞΟΦΛΗΣΗ [= 6.000.000δρχ</v>
      </c>
      <c r="C11" s="250">
        <f>'1-συμβολαια'!D11</f>
        <v>17608.22</v>
      </c>
      <c r="D11" s="29">
        <f>'8-κ-15-17'!D11</f>
        <v>228.90686000000002</v>
      </c>
      <c r="E11" s="29">
        <f>'8-κ-15-17'!M11</f>
        <v>0</v>
      </c>
      <c r="F11" s="29">
        <f>'8-κ-15-17'!V11</f>
        <v>0</v>
      </c>
      <c r="G11" s="29">
        <f>'2-δικαιώμ'!I11</f>
        <v>19.617714000000003</v>
      </c>
      <c r="H11" s="29">
        <f>'2-δικαιώμ'!J11</f>
        <v>0.14650000000000002</v>
      </c>
      <c r="I11" s="29">
        <f>'2-δικαιώμ'!K11</f>
        <v>11.045230000000004</v>
      </c>
      <c r="J11" s="29">
        <f>'2-δικαιώμ'!L11</f>
        <v>2.2090460000000003</v>
      </c>
      <c r="K11" s="186"/>
      <c r="L11" s="186"/>
      <c r="M11" s="38"/>
      <c r="N11" s="38"/>
      <c r="O11" s="38"/>
      <c r="P11" s="186"/>
      <c r="Q11" s="38"/>
      <c r="R11" s="38"/>
      <c r="S11" s="38"/>
      <c r="T11" s="38"/>
      <c r="U11" s="186"/>
      <c r="V11" s="38">
        <f>'2-δικαιώμ'!I11+'2-δικαιώμ'!J11</f>
        <v>19.764214000000003</v>
      </c>
      <c r="W11" s="38">
        <f>'2-δικαιώμ'!K11</f>
        <v>11.045230000000004</v>
      </c>
      <c r="X11" s="38">
        <f>'2-δικαιώμ'!L11</f>
        <v>2.2090460000000003</v>
      </c>
      <c r="Y11" s="186"/>
      <c r="Z11" s="38"/>
      <c r="AA11" s="38"/>
      <c r="AB11" s="38"/>
      <c r="AC11" s="38"/>
      <c r="AD11" s="38"/>
    </row>
    <row r="12" spans="1:30" s="19" customFormat="1">
      <c r="A12" s="151">
        <f>'1-συμβολαια'!A12</f>
        <v>0</v>
      </c>
      <c r="B12" s="151" t="str">
        <f>'1-συμβολαια'!C12</f>
        <v xml:space="preserve">δανείου Α.2' ΕΞΟΦΛΗΣΗ ΥΠΟΛΟΙΠΟΥ = 3.119.471δρχ </v>
      </c>
      <c r="C12" s="250">
        <f>'1-συμβολαια'!D12</f>
        <v>9154.7199999999993</v>
      </c>
      <c r="D12" s="29">
        <f>'8-κ-15-17'!D12</f>
        <v>119.01136</v>
      </c>
      <c r="E12" s="29">
        <f>'8-κ-15-17'!M12</f>
        <v>0</v>
      </c>
      <c r="F12" s="29">
        <f>'8-κ-15-17'!V12</f>
        <v>0</v>
      </c>
      <c r="G12" s="29">
        <f>'2-δικαιώμ'!I12</f>
        <v>10.487933999999999</v>
      </c>
      <c r="H12" s="29">
        <f>'2-δικαιώμ'!J12</f>
        <v>0.14650000000000002</v>
      </c>
      <c r="I12" s="29">
        <f>'2-δικαιώμ'!K12</f>
        <v>5.9731300000000003</v>
      </c>
      <c r="J12" s="29">
        <f>'2-δικαιώμ'!L12</f>
        <v>1.194626</v>
      </c>
      <c r="K12" s="186"/>
      <c r="L12" s="186"/>
      <c r="M12" s="38"/>
      <c r="N12" s="38"/>
      <c r="O12" s="38"/>
      <c r="P12" s="186"/>
      <c r="Q12" s="38"/>
      <c r="R12" s="38"/>
      <c r="S12" s="38"/>
      <c r="T12" s="38"/>
      <c r="U12" s="186"/>
      <c r="V12" s="38">
        <f>'2-δικαιώμ'!I12+'2-δικαιώμ'!J12</f>
        <v>10.634433999999999</v>
      </c>
      <c r="W12" s="38">
        <f>'2-δικαιώμ'!K12</f>
        <v>5.9731300000000003</v>
      </c>
      <c r="X12" s="38">
        <f>'2-δικαιώμ'!L12</f>
        <v>1.194626</v>
      </c>
      <c r="Y12" s="186"/>
      <c r="Z12" s="38"/>
      <c r="AA12" s="38"/>
      <c r="AB12" s="38"/>
      <c r="AC12" s="38"/>
      <c r="AD12" s="38"/>
    </row>
    <row r="13" spans="1:30" s="19" customFormat="1">
      <c r="A13" s="151">
        <f>'1-συμβολαια'!A13</f>
        <v>0</v>
      </c>
      <c r="B13" s="151" t="str">
        <f>'1-συμβολαια'!C13</f>
        <v>υποθήκη δανείου Α' …. ΕΞΑΛΕΙΨΗ</v>
      </c>
      <c r="C13" s="250">
        <f>'1-συμβολαια'!D13</f>
        <v>19564.68</v>
      </c>
      <c r="D13" s="29">
        <f>'8-κ-15-17'!D13</f>
        <v>254.34084000000001</v>
      </c>
      <c r="E13" s="29">
        <f>'8-κ-15-17'!M13</f>
        <v>0</v>
      </c>
      <c r="F13" s="29">
        <f>'8-κ-15-17'!V13</f>
        <v>0</v>
      </c>
      <c r="G13" s="29">
        <f>'2-δικαιώμ'!I13</f>
        <v>21.730690800000001</v>
      </c>
      <c r="H13" s="29">
        <f>'2-δικαιώμ'!J13</f>
        <v>0.14650000000000002</v>
      </c>
      <c r="I13" s="29">
        <f>'2-δικαιώμ'!K13</f>
        <v>12.219106000000004</v>
      </c>
      <c r="J13" s="29">
        <f>'2-δικαιώμ'!L13</f>
        <v>2.4438212000000004</v>
      </c>
      <c r="K13" s="186"/>
      <c r="L13" s="186"/>
      <c r="M13" s="38"/>
      <c r="N13" s="38"/>
      <c r="O13" s="38"/>
      <c r="P13" s="186"/>
      <c r="Q13" s="38"/>
      <c r="R13" s="38"/>
      <c r="S13" s="38"/>
      <c r="T13" s="38"/>
      <c r="U13" s="186"/>
      <c r="V13" s="38">
        <f>'2-δικαιώμ'!I13+'2-δικαιώμ'!J13</f>
        <v>21.877190800000001</v>
      </c>
      <c r="W13" s="38">
        <f>'2-δικαιώμ'!K13</f>
        <v>12.219106000000004</v>
      </c>
      <c r="X13" s="38">
        <f>'2-δικαιώμ'!L13</f>
        <v>2.4438212000000004</v>
      </c>
      <c r="Y13" s="186"/>
      <c r="Z13" s="38"/>
      <c r="AA13" s="38"/>
      <c r="AB13" s="38"/>
      <c r="AC13" s="38"/>
      <c r="AD13" s="38"/>
    </row>
    <row r="14" spans="1:30" s="19" customFormat="1">
      <c r="A14" s="151">
        <f>'1-συμβολαια'!A14</f>
        <v>0</v>
      </c>
      <c r="B14" s="151" t="str">
        <f>'1-συμβολαια'!C14</f>
        <v>τόκοι δανείου Α' [προυπολογιζόμενοι VS πληρωμένοι]</v>
      </c>
      <c r="C14" s="250">
        <f>'1-συμβολαια'!D14</f>
        <v>57318.327272727271</v>
      </c>
      <c r="D14" s="29">
        <f>'8-κ-15-17'!D14</f>
        <v>745.13825454545463</v>
      </c>
      <c r="E14" s="29">
        <f>'8-κ-15-17'!M14</f>
        <v>0</v>
      </c>
      <c r="F14" s="29">
        <f>'8-κ-15-17'!V14</f>
        <v>0</v>
      </c>
      <c r="G14" s="29">
        <f>'2-δικαιώμ'!I14</f>
        <v>62.504629854545449</v>
      </c>
      <c r="H14" s="29">
        <f>'2-δικαιώμ'!J14</f>
        <v>0.14650000000000002</v>
      </c>
      <c r="I14" s="29">
        <f>'2-δικαιώμ'!K14</f>
        <v>34.871294363636366</v>
      </c>
      <c r="J14" s="29">
        <f>'2-δικαιώμ'!L14</f>
        <v>6.9742588727272734</v>
      </c>
      <c r="K14" s="186"/>
      <c r="L14" s="186"/>
      <c r="M14" s="38"/>
      <c r="N14" s="38"/>
      <c r="O14" s="38"/>
      <c r="P14" s="186"/>
      <c r="Q14" s="38"/>
      <c r="R14" s="38"/>
      <c r="S14" s="38"/>
      <c r="T14" s="38"/>
      <c r="U14" s="186"/>
      <c r="V14" s="38">
        <f>'2-δικαιώμ'!I14+'2-δικαιώμ'!J14</f>
        <v>62.651129854545452</v>
      </c>
      <c r="W14" s="38">
        <f>'2-δικαιώμ'!K14</f>
        <v>34.871294363636366</v>
      </c>
      <c r="X14" s="38">
        <f>'2-δικαιώμ'!L14</f>
        <v>6.9742588727272734</v>
      </c>
      <c r="Y14" s="186"/>
      <c r="Z14" s="38"/>
      <c r="AA14" s="38"/>
      <c r="AB14" s="38"/>
      <c r="AC14" s="38"/>
      <c r="AD14" s="38"/>
    </row>
    <row r="15" spans="1:30" s="19" customFormat="1">
      <c r="A15" s="151">
        <f>'1-συμβολαια'!A15</f>
        <v>0</v>
      </c>
      <c r="B15" s="151" t="str">
        <f>'1-συμβολαια'!C15</f>
        <v>τόκοι δανείου Α.2' [προυπολογιζόμενοι VS πληρωμένοι]</v>
      </c>
      <c r="C15" s="250">
        <f>'1-συμβολαια'!D15</f>
        <v>111.11</v>
      </c>
      <c r="D15" s="29">
        <f>'8-κ-15-17'!D15</f>
        <v>1.4444300000000001</v>
      </c>
      <c r="E15" s="29">
        <f>'8-κ-15-17'!M15</f>
        <v>0</v>
      </c>
      <c r="F15" s="29">
        <f>'8-κ-15-17'!V15</f>
        <v>0</v>
      </c>
      <c r="G15" s="29">
        <f>'2-δικαιώμ'!I15</f>
        <v>0.72083520000000001</v>
      </c>
      <c r="H15" s="29">
        <f>'2-δικαιώμ'!J15</f>
        <v>0.14650000000000002</v>
      </c>
      <c r="I15" s="29">
        <f>'2-δικαιώμ'!K15</f>
        <v>0.54696400000000001</v>
      </c>
      <c r="J15" s="29">
        <f>'2-δικαιώμ'!L15</f>
        <v>0.1093928</v>
      </c>
      <c r="K15" s="186"/>
      <c r="L15" s="186"/>
      <c r="M15" s="38"/>
      <c r="N15" s="38"/>
      <c r="O15" s="38"/>
      <c r="P15" s="186"/>
      <c r="Q15" s="38"/>
      <c r="R15" s="38"/>
      <c r="S15" s="38"/>
      <c r="T15" s="38"/>
      <c r="U15" s="186"/>
      <c r="V15" s="38">
        <f>'2-δικαιώμ'!I15+'2-δικαιώμ'!J15</f>
        <v>0.86733520000000008</v>
      </c>
      <c r="W15" s="38">
        <f>'2-δικαιώμ'!K15</f>
        <v>0.54696400000000001</v>
      </c>
      <c r="X15" s="38">
        <f>'2-δικαιώμ'!L15</f>
        <v>0.1093928</v>
      </c>
      <c r="Y15" s="186"/>
      <c r="Z15" s="38"/>
      <c r="AA15" s="38"/>
      <c r="AB15" s="38"/>
      <c r="AC15" s="38"/>
      <c r="AD15" s="38"/>
    </row>
    <row r="16" spans="1:30">
      <c r="A16" s="631" t="str">
        <f>'1-συμβολαια'!A16</f>
        <v>σύνολο</v>
      </c>
      <c r="B16" s="632"/>
      <c r="C16" s="633"/>
      <c r="D16" s="361">
        <f t="shared" ref="D16:J16" si="0">SUM(D3:D15)</f>
        <v>1924.5193972727275</v>
      </c>
      <c r="E16" s="361">
        <f t="shared" si="0"/>
        <v>0</v>
      </c>
      <c r="F16" s="361">
        <f t="shared" si="0"/>
        <v>0</v>
      </c>
      <c r="G16" s="361">
        <f t="shared" si="0"/>
        <v>165.89151392727274</v>
      </c>
      <c r="H16" s="361">
        <f t="shared" si="0"/>
        <v>1.9050000000000007</v>
      </c>
      <c r="I16" s="361">
        <f t="shared" si="0"/>
        <v>94.066952181818195</v>
      </c>
      <c r="J16" s="361">
        <f t="shared" si="0"/>
        <v>18.813390436363637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</row>
    <row r="19" spans="2:12">
      <c r="B19" s="101"/>
      <c r="D19" s="2"/>
      <c r="E19" s="2"/>
      <c r="F19" s="2"/>
      <c r="G19" s="2"/>
      <c r="H19" s="2"/>
      <c r="I19" s="2"/>
      <c r="J19" s="2"/>
    </row>
    <row r="20" spans="2:12" ht="15.75">
      <c r="B20" s="259" t="s">
        <v>394</v>
      </c>
      <c r="D20" s="2"/>
      <c r="E20" s="2"/>
      <c r="F20" s="2"/>
      <c r="G20" s="169"/>
      <c r="H20" s="343">
        <v>0.15</v>
      </c>
      <c r="I20" s="344">
        <v>2.93</v>
      </c>
      <c r="J20" s="5" t="s">
        <v>397</v>
      </c>
      <c r="L20" s="345">
        <f>I20-H20</f>
        <v>2.7800000000000002</v>
      </c>
    </row>
    <row r="21" spans="2:12" ht="12.75">
      <c r="B21" s="260" t="s">
        <v>395</v>
      </c>
      <c r="D21" s="2"/>
      <c r="E21" s="2"/>
      <c r="F21" s="2"/>
      <c r="G21" s="2"/>
      <c r="H21" s="207">
        <v>0.44</v>
      </c>
      <c r="I21" s="341">
        <v>0.56000000000000005</v>
      </c>
      <c r="J21" s="3" t="s">
        <v>398</v>
      </c>
      <c r="L21" s="345">
        <f>I21-H21</f>
        <v>0.12000000000000005</v>
      </c>
    </row>
    <row r="22" spans="2:12" ht="15.75">
      <c r="B22" s="275" t="s">
        <v>396</v>
      </c>
      <c r="D22" s="2"/>
      <c r="E22" s="2"/>
      <c r="F22" s="2"/>
      <c r="G22" s="352">
        <v>0.05</v>
      </c>
      <c r="H22" s="8"/>
      <c r="I22" s="4">
        <v>0.73</v>
      </c>
      <c r="J22" s="5" t="s">
        <v>133</v>
      </c>
      <c r="L22" s="5"/>
    </row>
    <row r="23" spans="2:12">
      <c r="B23" s="101"/>
      <c r="D23" s="2"/>
      <c r="E23" s="2"/>
      <c r="F23" s="2"/>
      <c r="G23" s="352">
        <v>0.05</v>
      </c>
      <c r="H23" s="8"/>
      <c r="I23" s="4">
        <v>1.47</v>
      </c>
      <c r="J23" s="3" t="s">
        <v>399</v>
      </c>
    </row>
    <row r="24" spans="2:12">
      <c r="B24" s="101"/>
      <c r="D24" s="2"/>
      <c r="E24" s="2"/>
      <c r="F24" s="2"/>
      <c r="G24" s="352">
        <v>0.05</v>
      </c>
      <c r="H24" s="8"/>
      <c r="I24" s="4">
        <v>3.99</v>
      </c>
      <c r="J24" s="5" t="s">
        <v>400</v>
      </c>
      <c r="K24" s="5"/>
      <c r="L24" s="5"/>
    </row>
    <row r="25" spans="2:12">
      <c r="B25" s="101"/>
      <c r="D25" s="2"/>
      <c r="E25" s="2"/>
      <c r="F25" s="2"/>
      <c r="G25" s="352">
        <v>0.05</v>
      </c>
      <c r="H25" s="8"/>
      <c r="I25" s="4"/>
      <c r="J25" s="5" t="s">
        <v>484</v>
      </c>
      <c r="K25" s="5"/>
      <c r="L25" s="5"/>
    </row>
    <row r="26" spans="2:12">
      <c r="B26" s="101"/>
      <c r="D26" s="2"/>
      <c r="E26" s="2"/>
      <c r="F26" s="2"/>
      <c r="G26" s="352">
        <v>0.05</v>
      </c>
      <c r="H26" s="8"/>
      <c r="I26" s="4"/>
      <c r="J26" s="5" t="s">
        <v>486</v>
      </c>
      <c r="K26" s="5"/>
      <c r="L26" s="5"/>
    </row>
    <row r="27" spans="2:12">
      <c r="B27" s="101"/>
      <c r="D27" s="2"/>
      <c r="E27" s="2"/>
      <c r="F27" s="2"/>
      <c r="G27" s="352"/>
      <c r="H27" s="8"/>
      <c r="I27" s="4"/>
      <c r="J27" s="5"/>
      <c r="K27" s="5"/>
      <c r="L27" s="5"/>
    </row>
    <row r="28" spans="2:12">
      <c r="B28" s="101"/>
      <c r="D28" s="2"/>
      <c r="E28" s="2"/>
      <c r="F28" s="2"/>
      <c r="G28" s="2"/>
      <c r="H28" s="5" t="s">
        <v>487</v>
      </c>
      <c r="I28" s="5"/>
      <c r="J28" s="5" t="s">
        <v>133</v>
      </c>
      <c r="K28" s="5"/>
      <c r="L28" s="5"/>
    </row>
    <row r="29" spans="2:12">
      <c r="G29" s="2"/>
      <c r="H29" s="5" t="s">
        <v>488</v>
      </c>
      <c r="I29" s="5"/>
      <c r="J29" s="5" t="s">
        <v>134</v>
      </c>
      <c r="K29" s="5"/>
      <c r="L29" s="5"/>
    </row>
    <row r="30" spans="2:12">
      <c r="G30" s="2"/>
      <c r="H30" s="5" t="s">
        <v>489</v>
      </c>
      <c r="I30" s="5"/>
      <c r="J30" s="5" t="s">
        <v>135</v>
      </c>
      <c r="K30" s="5"/>
      <c r="L30" s="5"/>
    </row>
    <row r="31" spans="2:12" ht="15">
      <c r="G31" s="2"/>
      <c r="H31" s="4">
        <v>2.2000000000000002</v>
      </c>
      <c r="I31" s="357"/>
      <c r="J31" s="5" t="s">
        <v>401</v>
      </c>
      <c r="K31" s="5"/>
      <c r="L31" s="5"/>
    </row>
    <row r="32" spans="2:12" ht="15">
      <c r="G32" s="2"/>
      <c r="H32" s="2">
        <v>2.93</v>
      </c>
      <c r="I32" s="358"/>
      <c r="J32" s="3" t="s">
        <v>402</v>
      </c>
      <c r="K32" s="5"/>
      <c r="L32" s="5"/>
    </row>
  </sheetData>
  <mergeCells count="13">
    <mergeCell ref="Z1:AD1"/>
    <mergeCell ref="A16:C1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B23" sqref="B23"/>
    </sheetView>
  </sheetViews>
  <sheetFormatPr defaultRowHeight="11.25"/>
  <cols>
    <col min="1" max="1" width="10.42578125" style="8" bestFit="1" customWidth="1"/>
    <col min="2" max="2" width="77" style="10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19" s="6" customFormat="1" ht="34.5" customHeight="1">
      <c r="A1" s="522" t="s">
        <v>1</v>
      </c>
      <c r="B1" s="524" t="s">
        <v>0</v>
      </c>
      <c r="C1" s="559" t="s">
        <v>7</v>
      </c>
      <c r="D1" s="651" t="s">
        <v>45</v>
      </c>
      <c r="E1" s="652"/>
      <c r="F1" s="652"/>
      <c r="G1" s="653" t="s">
        <v>411</v>
      </c>
      <c r="H1" s="654"/>
      <c r="I1" s="654"/>
      <c r="J1" s="654"/>
      <c r="K1" s="655"/>
      <c r="L1" s="649" t="s">
        <v>57</v>
      </c>
      <c r="M1" s="646" t="s">
        <v>29</v>
      </c>
      <c r="N1" s="647"/>
      <c r="O1" s="647"/>
      <c r="P1" s="647"/>
      <c r="Q1" s="647"/>
      <c r="R1" s="647"/>
      <c r="S1" s="648"/>
    </row>
    <row r="2" spans="1:19" ht="34.5" customHeight="1" thickBot="1">
      <c r="A2" s="523"/>
      <c r="B2" s="525"/>
      <c r="C2" s="560"/>
      <c r="D2" s="272" t="s">
        <v>319</v>
      </c>
      <c r="E2" s="272" t="s">
        <v>410</v>
      </c>
      <c r="F2" s="278" t="s">
        <v>90</v>
      </c>
      <c r="G2" s="276" t="s">
        <v>319</v>
      </c>
      <c r="H2" s="277" t="s">
        <v>323</v>
      </c>
      <c r="I2" s="277" t="s">
        <v>412</v>
      </c>
      <c r="J2" s="277" t="s">
        <v>324</v>
      </c>
      <c r="K2" s="274" t="s">
        <v>33</v>
      </c>
      <c r="L2" s="650"/>
      <c r="M2" s="517"/>
      <c r="N2" s="518"/>
      <c r="O2" s="518"/>
      <c r="P2" s="518"/>
      <c r="Q2" s="518"/>
      <c r="R2" s="518"/>
      <c r="S2" s="519"/>
    </row>
    <row r="3" spans="1:19" s="136" customFormat="1" ht="14.25">
      <c r="A3" s="138">
        <f>'1-συμβολαια'!A3</f>
        <v>2774</v>
      </c>
      <c r="B3" s="139" t="str">
        <f>'1-συμβολαια'!C3</f>
        <v>κατασχέσεως ΑΡΣΗ για δάνειο Β.2'  [1.635.748δρχ = 4.800,44€]</v>
      </c>
      <c r="C3" s="140">
        <f>'1-συμβολαια'!D3</f>
        <v>0</v>
      </c>
      <c r="D3" s="280"/>
      <c r="E3" s="280"/>
      <c r="F3" s="279"/>
      <c r="G3" s="423"/>
      <c r="H3" s="424"/>
      <c r="I3" s="424"/>
      <c r="J3" s="424"/>
      <c r="K3" s="424">
        <f t="shared" ref="K3:K15" si="0">D3+E3-G3-H3-I3-J3</f>
        <v>0</v>
      </c>
      <c r="L3" s="424"/>
      <c r="M3" s="156" t="s">
        <v>137</v>
      </c>
      <c r="N3" s="156" t="s">
        <v>417</v>
      </c>
      <c r="O3" s="156" t="s">
        <v>132</v>
      </c>
      <c r="P3" s="156" t="s">
        <v>418</v>
      </c>
      <c r="Q3" s="156" t="s">
        <v>419</v>
      </c>
      <c r="R3" s="156" t="s">
        <v>420</v>
      </c>
      <c r="S3" s="26"/>
    </row>
    <row r="4" spans="1:19" s="136" customFormat="1" ht="14.25">
      <c r="A4" s="138">
        <f>'1-συμβολαια'!A4</f>
        <v>0</v>
      </c>
      <c r="B4" s="139">
        <f>'1-συμβολαια'!C4</f>
        <v>0</v>
      </c>
      <c r="C4" s="140">
        <f>'1-συμβολαια'!D4</f>
        <v>0</v>
      </c>
      <c r="D4" s="280"/>
      <c r="E4" s="280"/>
      <c r="F4" s="279"/>
      <c r="G4" s="423"/>
      <c r="H4" s="424"/>
      <c r="I4" s="424"/>
      <c r="J4" s="424"/>
      <c r="K4" s="424">
        <f t="shared" si="0"/>
        <v>0</v>
      </c>
      <c r="L4" s="424"/>
      <c r="M4" s="156" t="s">
        <v>137</v>
      </c>
      <c r="N4" s="156" t="s">
        <v>417</v>
      </c>
      <c r="O4" s="156" t="s">
        <v>132</v>
      </c>
      <c r="P4" s="156" t="s">
        <v>418</v>
      </c>
      <c r="Q4" s="156" t="s">
        <v>419</v>
      </c>
      <c r="R4" s="156" t="s">
        <v>420</v>
      </c>
      <c r="S4" s="26"/>
    </row>
    <row r="5" spans="1:19" s="136" customFormat="1" ht="14.25">
      <c r="A5" s="138" t="str">
        <f>'1-συμβολαια'!A5</f>
        <v>2ο</v>
      </c>
      <c r="B5" s="139" t="str">
        <f>'1-συμβολαια'!C5</f>
        <v>δανείου  Β' ΕΞΟΦΛΗΣΗ [= 2.500.000δρχ</v>
      </c>
      <c r="C5" s="140">
        <f>'1-συμβολαια'!D5</f>
        <v>7336.76</v>
      </c>
      <c r="D5" s="280"/>
      <c r="E5" s="280"/>
      <c r="F5" s="279"/>
      <c r="G5" s="423"/>
      <c r="H5" s="424"/>
      <c r="I5" s="424"/>
      <c r="J5" s="424"/>
      <c r="K5" s="424">
        <f t="shared" si="0"/>
        <v>0</v>
      </c>
      <c r="L5" s="424"/>
      <c r="M5" s="156" t="s">
        <v>137</v>
      </c>
      <c r="N5" s="156" t="s">
        <v>417</v>
      </c>
      <c r="O5" s="156" t="s">
        <v>132</v>
      </c>
      <c r="P5" s="156" t="s">
        <v>418</v>
      </c>
      <c r="Q5" s="156" t="s">
        <v>419</v>
      </c>
      <c r="R5" s="156" t="s">
        <v>420</v>
      </c>
      <c r="S5" s="26"/>
    </row>
    <row r="6" spans="1:19" s="136" customFormat="1" ht="14.25">
      <c r="A6" s="138">
        <f>'1-συμβολαια'!A6</f>
        <v>0</v>
      </c>
      <c r="B6" s="139" t="str">
        <f>'1-συμβολαια'!C6</f>
        <v>δανείου  Β.2' ΕΞΟΦΛΗΣΗ ΥΠΟΛΟΙΠΟΥ = 1.635.748δρχ</v>
      </c>
      <c r="C6" s="140">
        <f>'1-συμβολαια'!D6</f>
        <v>4800.4399999999996</v>
      </c>
      <c r="D6" s="280"/>
      <c r="E6" s="280"/>
      <c r="F6" s="279"/>
      <c r="G6" s="423"/>
      <c r="H6" s="424"/>
      <c r="I6" s="424"/>
      <c r="J6" s="424"/>
      <c r="K6" s="424">
        <f t="shared" si="0"/>
        <v>0</v>
      </c>
      <c r="L6" s="424"/>
      <c r="M6" s="156" t="s">
        <v>137</v>
      </c>
      <c r="N6" s="156" t="s">
        <v>417</v>
      </c>
      <c r="O6" s="156" t="s">
        <v>132</v>
      </c>
      <c r="P6" s="156" t="s">
        <v>418</v>
      </c>
      <c r="Q6" s="156" t="s">
        <v>419</v>
      </c>
      <c r="R6" s="156" t="s">
        <v>420</v>
      </c>
      <c r="S6" s="26"/>
    </row>
    <row r="7" spans="1:19" s="136" customFormat="1" ht="14.25">
      <c r="A7" s="138">
        <f>'1-συμβολαια'!A7</f>
        <v>0</v>
      </c>
      <c r="B7" s="139" t="str">
        <f>'1-συμβολαια'!C7</f>
        <v>υποθήκη δανείου Β' …. ΕΞΑΛΕΙΨΗ</v>
      </c>
      <c r="C7" s="140">
        <f>'1-συμβολαια'!D7</f>
        <v>8151.95</v>
      </c>
      <c r="D7" s="280"/>
      <c r="E7" s="280"/>
      <c r="F7" s="279"/>
      <c r="G7" s="423"/>
      <c r="H7" s="424"/>
      <c r="I7" s="424"/>
      <c r="J7" s="424"/>
      <c r="K7" s="424">
        <f t="shared" si="0"/>
        <v>0</v>
      </c>
      <c r="L7" s="424"/>
      <c r="M7" s="156" t="s">
        <v>137</v>
      </c>
      <c r="N7" s="156" t="s">
        <v>417</v>
      </c>
      <c r="O7" s="156" t="s">
        <v>132</v>
      </c>
      <c r="P7" s="156" t="s">
        <v>418</v>
      </c>
      <c r="Q7" s="156" t="s">
        <v>419</v>
      </c>
      <c r="R7" s="156" t="s">
        <v>420</v>
      </c>
      <c r="S7" s="26"/>
    </row>
    <row r="8" spans="1:19" s="136" customFormat="1" ht="14.25">
      <c r="A8" s="138">
        <f>'1-συμβολαια'!A8</f>
        <v>0</v>
      </c>
      <c r="B8" s="139" t="str">
        <f>'1-συμβολαια'!C8</f>
        <v>τόκοι δανείου Β' [προυπολογιζόμενοι VS πληρωμένοι]</v>
      </c>
      <c r="C8" s="140">
        <f>'1-συμβολαια'!D8</f>
        <v>23882.636363636364</v>
      </c>
      <c r="D8" s="280"/>
      <c r="E8" s="280"/>
      <c r="F8" s="279"/>
      <c r="G8" s="423"/>
      <c r="H8" s="424"/>
      <c r="I8" s="424"/>
      <c r="J8" s="424"/>
      <c r="K8" s="424">
        <f t="shared" si="0"/>
        <v>0</v>
      </c>
      <c r="L8" s="424"/>
      <c r="M8" s="156" t="s">
        <v>137</v>
      </c>
      <c r="N8" s="156" t="s">
        <v>417</v>
      </c>
      <c r="O8" s="156" t="s">
        <v>132</v>
      </c>
      <c r="P8" s="156" t="s">
        <v>418</v>
      </c>
      <c r="Q8" s="156" t="s">
        <v>419</v>
      </c>
      <c r="R8" s="156" t="s">
        <v>420</v>
      </c>
      <c r="S8" s="26"/>
    </row>
    <row r="9" spans="1:19" s="136" customFormat="1" ht="14.25">
      <c r="A9" s="138">
        <f>'1-συμβολαια'!A9</f>
        <v>0</v>
      </c>
      <c r="B9" s="139" t="str">
        <f>'1-συμβολαια'!C9</f>
        <v>τόκοι δανείου Β.2' [προυπολογιζόμενοι VS πληρωμένοι]</v>
      </c>
      <c r="C9" s="140">
        <f>'1-συμβολαια'!D9</f>
        <v>111.11</v>
      </c>
      <c r="D9" s="280"/>
      <c r="E9" s="280"/>
      <c r="F9" s="279"/>
      <c r="G9" s="423"/>
      <c r="H9" s="424"/>
      <c r="I9" s="424"/>
      <c r="J9" s="424"/>
      <c r="K9" s="424">
        <f t="shared" si="0"/>
        <v>0</v>
      </c>
      <c r="L9" s="424"/>
      <c r="M9" s="156" t="s">
        <v>137</v>
      </c>
      <c r="N9" s="156" t="s">
        <v>417</v>
      </c>
      <c r="O9" s="156" t="s">
        <v>132</v>
      </c>
      <c r="P9" s="156" t="s">
        <v>418</v>
      </c>
      <c r="Q9" s="156" t="s">
        <v>419</v>
      </c>
      <c r="R9" s="156" t="s">
        <v>420</v>
      </c>
      <c r="S9" s="26"/>
    </row>
    <row r="10" spans="1:19" s="136" customFormat="1" ht="14.25">
      <c r="A10" s="138">
        <f>'1-συμβολαια'!A10</f>
        <v>0</v>
      </c>
      <c r="B10" s="139">
        <f>'1-συμβολαια'!C10</f>
        <v>0</v>
      </c>
      <c r="C10" s="140">
        <f>'1-συμβολαια'!D10</f>
        <v>0</v>
      </c>
      <c r="D10" s="280"/>
      <c r="E10" s="280"/>
      <c r="F10" s="279"/>
      <c r="G10" s="423"/>
      <c r="H10" s="424"/>
      <c r="I10" s="424"/>
      <c r="J10" s="424"/>
      <c r="K10" s="424">
        <f t="shared" si="0"/>
        <v>0</v>
      </c>
      <c r="L10" s="424"/>
      <c r="M10" s="156" t="s">
        <v>137</v>
      </c>
      <c r="N10" s="156" t="s">
        <v>417</v>
      </c>
      <c r="O10" s="156" t="s">
        <v>132</v>
      </c>
      <c r="P10" s="156" t="s">
        <v>418</v>
      </c>
      <c r="Q10" s="156" t="s">
        <v>419</v>
      </c>
      <c r="R10" s="156" t="s">
        <v>420</v>
      </c>
      <c r="S10" s="26"/>
    </row>
    <row r="11" spans="1:19" s="136" customFormat="1" ht="14.25">
      <c r="A11" s="138" t="str">
        <f>'1-συμβολαια'!A11</f>
        <v>3ο</v>
      </c>
      <c r="B11" s="139" t="str">
        <f>'1-συμβολαια'!C11</f>
        <v>δανείου  Α' ΕΞΟΦΛΗΣΗ [= 6.000.000δρχ</v>
      </c>
      <c r="C11" s="140">
        <f>'1-συμβολαια'!D11</f>
        <v>17608.22</v>
      </c>
      <c r="D11" s="280"/>
      <c r="E11" s="280"/>
      <c r="F11" s="279"/>
      <c r="G11" s="423"/>
      <c r="H11" s="424"/>
      <c r="I11" s="424"/>
      <c r="J11" s="424"/>
      <c r="K11" s="424">
        <f t="shared" si="0"/>
        <v>0</v>
      </c>
      <c r="L11" s="424"/>
      <c r="M11" s="156" t="s">
        <v>137</v>
      </c>
      <c r="N11" s="156" t="s">
        <v>417</v>
      </c>
      <c r="O11" s="156" t="s">
        <v>132</v>
      </c>
      <c r="P11" s="156" t="s">
        <v>418</v>
      </c>
      <c r="Q11" s="156" t="s">
        <v>419</v>
      </c>
      <c r="R11" s="156" t="s">
        <v>420</v>
      </c>
      <c r="S11" s="26"/>
    </row>
    <row r="12" spans="1:19" s="136" customFormat="1" ht="14.25">
      <c r="A12" s="138">
        <f>'1-συμβολαια'!A12</f>
        <v>0</v>
      </c>
      <c r="B12" s="139" t="str">
        <f>'1-συμβολαια'!C12</f>
        <v xml:space="preserve">δανείου Α.2' ΕΞΟΦΛΗΣΗ ΥΠΟΛΟΙΠΟΥ = 3.119.471δρχ </v>
      </c>
      <c r="C12" s="140">
        <f>'1-συμβολαια'!D12</f>
        <v>9154.7199999999993</v>
      </c>
      <c r="D12" s="280"/>
      <c r="E12" s="280"/>
      <c r="F12" s="279"/>
      <c r="G12" s="423"/>
      <c r="H12" s="424"/>
      <c r="I12" s="424"/>
      <c r="J12" s="424"/>
      <c r="K12" s="424">
        <f t="shared" si="0"/>
        <v>0</v>
      </c>
      <c r="L12" s="424"/>
      <c r="M12" s="156" t="s">
        <v>137</v>
      </c>
      <c r="N12" s="156" t="s">
        <v>417</v>
      </c>
      <c r="O12" s="156" t="s">
        <v>132</v>
      </c>
      <c r="P12" s="156" t="s">
        <v>418</v>
      </c>
      <c r="Q12" s="156" t="s">
        <v>419</v>
      </c>
      <c r="R12" s="156" t="s">
        <v>420</v>
      </c>
      <c r="S12" s="26"/>
    </row>
    <row r="13" spans="1:19" s="136" customFormat="1" ht="14.25">
      <c r="A13" s="138">
        <f>'1-συμβολαια'!A13</f>
        <v>0</v>
      </c>
      <c r="B13" s="139" t="str">
        <f>'1-συμβολαια'!C13</f>
        <v>υποθήκη δανείου Α' …. ΕΞΑΛΕΙΨΗ</v>
      </c>
      <c r="C13" s="140">
        <f>'1-συμβολαια'!D13</f>
        <v>19564.68</v>
      </c>
      <c r="D13" s="280"/>
      <c r="E13" s="280"/>
      <c r="F13" s="279"/>
      <c r="G13" s="423"/>
      <c r="H13" s="424"/>
      <c r="I13" s="424"/>
      <c r="J13" s="424"/>
      <c r="K13" s="424">
        <f t="shared" si="0"/>
        <v>0</v>
      </c>
      <c r="L13" s="424"/>
      <c r="M13" s="156" t="s">
        <v>137</v>
      </c>
      <c r="N13" s="156" t="s">
        <v>417</v>
      </c>
      <c r="O13" s="156" t="s">
        <v>132</v>
      </c>
      <c r="P13" s="156" t="s">
        <v>418</v>
      </c>
      <c r="Q13" s="156" t="s">
        <v>419</v>
      </c>
      <c r="R13" s="156" t="s">
        <v>420</v>
      </c>
      <c r="S13" s="26"/>
    </row>
    <row r="14" spans="1:19" s="136" customFormat="1" ht="14.25">
      <c r="A14" s="138">
        <f>'1-συμβολαια'!A14</f>
        <v>0</v>
      </c>
      <c r="B14" s="139" t="str">
        <f>'1-συμβολαια'!C14</f>
        <v>τόκοι δανείου Α' [προυπολογιζόμενοι VS πληρωμένοι]</v>
      </c>
      <c r="C14" s="140">
        <f>'1-συμβολαια'!D14</f>
        <v>57318.327272727271</v>
      </c>
      <c r="D14" s="280"/>
      <c r="E14" s="280"/>
      <c r="F14" s="279"/>
      <c r="G14" s="423"/>
      <c r="H14" s="424"/>
      <c r="I14" s="424"/>
      <c r="J14" s="424"/>
      <c r="K14" s="424">
        <f t="shared" si="0"/>
        <v>0</v>
      </c>
      <c r="L14" s="424"/>
      <c r="M14" s="156" t="s">
        <v>137</v>
      </c>
      <c r="N14" s="156" t="s">
        <v>417</v>
      </c>
      <c r="O14" s="156" t="s">
        <v>132</v>
      </c>
      <c r="P14" s="156" t="s">
        <v>418</v>
      </c>
      <c r="Q14" s="156" t="s">
        <v>419</v>
      </c>
      <c r="R14" s="156" t="s">
        <v>420</v>
      </c>
      <c r="S14" s="26"/>
    </row>
    <row r="15" spans="1:19" s="136" customFormat="1" ht="14.25">
      <c r="A15" s="138">
        <f>'1-συμβολαια'!A15</f>
        <v>0</v>
      </c>
      <c r="B15" s="139" t="str">
        <f>'1-συμβολαια'!C15</f>
        <v>τόκοι δανείου Α.2' [προυπολογιζόμενοι VS πληρωμένοι]</v>
      </c>
      <c r="C15" s="140">
        <f>'1-συμβολαια'!D15</f>
        <v>111.11</v>
      </c>
      <c r="D15" s="280"/>
      <c r="E15" s="280"/>
      <c r="F15" s="279"/>
      <c r="G15" s="423"/>
      <c r="H15" s="424"/>
      <c r="I15" s="424"/>
      <c r="J15" s="424"/>
      <c r="K15" s="424">
        <f t="shared" si="0"/>
        <v>0</v>
      </c>
      <c r="L15" s="424"/>
      <c r="M15" s="156" t="s">
        <v>137</v>
      </c>
      <c r="N15" s="156" t="s">
        <v>417</v>
      </c>
      <c r="O15" s="156" t="s">
        <v>132</v>
      </c>
      <c r="P15" s="156" t="s">
        <v>418</v>
      </c>
      <c r="Q15" s="156" t="s">
        <v>419</v>
      </c>
      <c r="R15" s="156" t="s">
        <v>420</v>
      </c>
      <c r="S15" s="26"/>
    </row>
    <row r="16" spans="1:19" ht="15.75">
      <c r="A16" s="538" t="s">
        <v>56</v>
      </c>
      <c r="B16" s="539"/>
      <c r="C16" s="539"/>
      <c r="D16" s="281">
        <f t="shared" ref="D16:L16" si="1">SUM(D3:D15)</f>
        <v>0</v>
      </c>
      <c r="E16" s="281">
        <f t="shared" si="1"/>
        <v>0</v>
      </c>
      <c r="F16" s="281">
        <f t="shared" si="1"/>
        <v>0</v>
      </c>
      <c r="G16" s="425">
        <f t="shared" si="1"/>
        <v>0</v>
      </c>
      <c r="H16" s="425">
        <f t="shared" si="1"/>
        <v>0</v>
      </c>
      <c r="I16" s="425">
        <f t="shared" si="1"/>
        <v>0</v>
      </c>
      <c r="J16" s="425">
        <f t="shared" si="1"/>
        <v>0</v>
      </c>
      <c r="K16" s="425">
        <f t="shared" si="1"/>
        <v>0</v>
      </c>
      <c r="L16" s="425">
        <f t="shared" si="1"/>
        <v>0</v>
      </c>
    </row>
    <row r="17" spans="13:25" ht="15.75">
      <c r="M17" s="153" t="s">
        <v>102</v>
      </c>
      <c r="N17" s="169"/>
      <c r="O17" s="169"/>
      <c r="P17" s="169"/>
      <c r="Q17" s="169"/>
      <c r="R17" s="169"/>
      <c r="S17" s="169"/>
      <c r="T17" s="149"/>
      <c r="U17" s="149"/>
      <c r="V17" s="149"/>
      <c r="W17" s="149"/>
      <c r="X17" s="5"/>
    </row>
    <row r="18" spans="13:25" ht="15.75">
      <c r="M18" s="273"/>
      <c r="N18" s="153" t="s">
        <v>413</v>
      </c>
      <c r="O18" s="273"/>
      <c r="P18" s="273"/>
      <c r="Q18" s="273"/>
      <c r="R18" s="273"/>
      <c r="S18" s="273"/>
      <c r="T18" s="273"/>
      <c r="U18" s="273"/>
      <c r="V18" s="273"/>
      <c r="W18" s="283"/>
      <c r="X18" s="283"/>
      <c r="Y18" s="283"/>
    </row>
    <row r="19" spans="13:25" ht="15.75">
      <c r="M19" s="283"/>
      <c r="N19" s="283"/>
      <c r="O19" s="169" t="s">
        <v>103</v>
      </c>
      <c r="P19" s="169"/>
      <c r="Q19" s="169"/>
      <c r="R19" s="169"/>
      <c r="S19" s="169"/>
      <c r="T19" s="169"/>
      <c r="U19" s="169"/>
      <c r="V19" s="169"/>
      <c r="W19" s="169"/>
      <c r="X19" s="283"/>
      <c r="Y19" s="282"/>
    </row>
    <row r="20" spans="13:25" ht="15.75">
      <c r="M20" s="283"/>
      <c r="N20" s="283"/>
      <c r="O20" s="283"/>
      <c r="P20" s="284" t="s">
        <v>414</v>
      </c>
      <c r="Q20" s="283"/>
      <c r="R20" s="283"/>
      <c r="S20" s="284"/>
      <c r="T20" s="284"/>
      <c r="U20" s="284"/>
      <c r="V20" s="284"/>
      <c r="W20" s="284"/>
      <c r="X20" s="284"/>
      <c r="Y20" s="282"/>
    </row>
    <row r="21" spans="13:25" ht="15.75">
      <c r="M21" s="283"/>
      <c r="N21" s="283"/>
      <c r="O21" s="283"/>
      <c r="P21" s="283"/>
      <c r="Q21" s="169" t="s">
        <v>415</v>
      </c>
      <c r="R21" s="169"/>
      <c r="S21" s="169"/>
      <c r="T21" s="284"/>
      <c r="U21" s="284"/>
      <c r="V21" s="169"/>
      <c r="W21" s="169"/>
      <c r="X21" s="169"/>
      <c r="Y21" s="282"/>
    </row>
    <row r="22" spans="13:25" ht="15.75">
      <c r="M22" s="283"/>
      <c r="N22" s="283"/>
      <c r="O22" s="283"/>
      <c r="P22" s="283"/>
      <c r="Q22" s="283"/>
      <c r="R22" s="284" t="s">
        <v>416</v>
      </c>
      <c r="S22" s="284"/>
      <c r="T22" s="284"/>
      <c r="U22" s="284"/>
      <c r="V22" s="284"/>
      <c r="W22" s="284"/>
      <c r="X22" s="284"/>
      <c r="Y22" s="282"/>
    </row>
    <row r="23" spans="13:25" ht="15.75">
      <c r="T23" s="154"/>
      <c r="Y23" s="282"/>
    </row>
    <row r="24" spans="13:25" ht="15.75">
      <c r="T24" s="154"/>
    </row>
    <row r="25" spans="13:25" ht="15.75">
      <c r="T25" s="154"/>
    </row>
    <row r="26" spans="13:25" ht="15.75">
      <c r="T26" s="154"/>
    </row>
  </sheetData>
  <mergeCells count="8">
    <mergeCell ref="M1:S2"/>
    <mergeCell ref="L1:L2"/>
    <mergeCell ref="A16:C1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5"/>
  <sheetViews>
    <sheetView workbookViewId="0">
      <pane ySplit="2" topLeftCell="A3" activePane="bottomLeft" state="frozen"/>
      <selection pane="bottomLeft" activeCell="A11" sqref="A11:A15"/>
    </sheetView>
  </sheetViews>
  <sheetFormatPr defaultRowHeight="15"/>
  <cols>
    <col min="1" max="1" width="11.5703125" style="125" bestFit="1" customWidth="1"/>
    <col min="2" max="2" width="66.7109375" style="126" bestFit="1" customWidth="1"/>
    <col min="3" max="3" width="14.28515625" style="127" customWidth="1"/>
    <col min="4" max="4" width="10.42578125" style="127" bestFit="1" customWidth="1"/>
    <col min="5" max="5" width="16.7109375" style="127" bestFit="1" customWidth="1"/>
    <col min="6" max="6" width="7.85546875" style="124" customWidth="1"/>
    <col min="7" max="7" width="10" style="124" customWidth="1"/>
    <col min="8" max="8" width="6.140625" style="124" bestFit="1" customWidth="1"/>
    <col min="9" max="12" width="7.140625" style="124" customWidth="1"/>
    <col min="13" max="13" width="6.28515625" style="124" customWidth="1"/>
    <col min="14" max="21" width="7.140625" style="124" customWidth="1"/>
    <col min="22" max="22" width="30.85546875" style="124" customWidth="1"/>
    <col min="23" max="220" width="9.140625" style="112"/>
    <col min="221" max="221" width="9" style="112" bestFit="1" customWidth="1"/>
    <col min="222" max="222" width="9.85546875" style="112" bestFit="1" customWidth="1"/>
    <col min="223" max="223" width="9.140625" style="112" bestFit="1" customWidth="1"/>
    <col min="224" max="224" width="16" style="112" bestFit="1" customWidth="1"/>
    <col min="225" max="225" width="9" style="112" bestFit="1" customWidth="1"/>
    <col min="226" max="226" width="7.85546875" style="112" bestFit="1" customWidth="1"/>
    <col min="227" max="227" width="11.7109375" style="112" bestFit="1" customWidth="1"/>
    <col min="228" max="228" width="14.28515625" style="112" customWidth="1"/>
    <col min="229" max="229" width="11.7109375" style="112" bestFit="1" customWidth="1"/>
    <col min="230" max="230" width="14.140625" style="112" bestFit="1" customWidth="1"/>
    <col min="231" max="231" width="16.7109375" style="112" customWidth="1"/>
    <col min="232" max="232" width="16.5703125" style="112" customWidth="1"/>
    <col min="233" max="234" width="7.85546875" style="112" bestFit="1" customWidth="1"/>
    <col min="235" max="235" width="8" style="112" bestFit="1" customWidth="1"/>
    <col min="236" max="237" width="7.85546875" style="112" bestFit="1" customWidth="1"/>
    <col min="238" max="238" width="9.7109375" style="112" customWidth="1"/>
    <col min="239" max="239" width="12.85546875" style="112" customWidth="1"/>
    <col min="240" max="476" width="9.140625" style="112"/>
    <col min="477" max="477" width="9" style="112" bestFit="1" customWidth="1"/>
    <col min="478" max="478" width="9.85546875" style="112" bestFit="1" customWidth="1"/>
    <col min="479" max="479" width="9.140625" style="112" bestFit="1" customWidth="1"/>
    <col min="480" max="480" width="16" style="112" bestFit="1" customWidth="1"/>
    <col min="481" max="481" width="9" style="112" bestFit="1" customWidth="1"/>
    <col min="482" max="482" width="7.85546875" style="112" bestFit="1" customWidth="1"/>
    <col min="483" max="483" width="11.7109375" style="112" bestFit="1" customWidth="1"/>
    <col min="484" max="484" width="14.28515625" style="112" customWidth="1"/>
    <col min="485" max="485" width="11.7109375" style="112" bestFit="1" customWidth="1"/>
    <col min="486" max="486" width="14.140625" style="112" bestFit="1" customWidth="1"/>
    <col min="487" max="487" width="16.7109375" style="112" customWidth="1"/>
    <col min="488" max="488" width="16.5703125" style="112" customWidth="1"/>
    <col min="489" max="490" width="7.85546875" style="112" bestFit="1" customWidth="1"/>
    <col min="491" max="491" width="8" style="112" bestFit="1" customWidth="1"/>
    <col min="492" max="493" width="7.85546875" style="112" bestFit="1" customWidth="1"/>
    <col min="494" max="494" width="9.7109375" style="112" customWidth="1"/>
    <col min="495" max="495" width="12.85546875" style="112" customWidth="1"/>
    <col min="496" max="732" width="9.140625" style="112"/>
    <col min="733" max="733" width="9" style="112" bestFit="1" customWidth="1"/>
    <col min="734" max="734" width="9.85546875" style="112" bestFit="1" customWidth="1"/>
    <col min="735" max="735" width="9.140625" style="112" bestFit="1" customWidth="1"/>
    <col min="736" max="736" width="16" style="112" bestFit="1" customWidth="1"/>
    <col min="737" max="737" width="9" style="112" bestFit="1" customWidth="1"/>
    <col min="738" max="738" width="7.85546875" style="112" bestFit="1" customWidth="1"/>
    <col min="739" max="739" width="11.7109375" style="112" bestFit="1" customWidth="1"/>
    <col min="740" max="740" width="14.28515625" style="112" customWidth="1"/>
    <col min="741" max="741" width="11.7109375" style="112" bestFit="1" customWidth="1"/>
    <col min="742" max="742" width="14.140625" style="112" bestFit="1" customWidth="1"/>
    <col min="743" max="743" width="16.7109375" style="112" customWidth="1"/>
    <col min="744" max="744" width="16.5703125" style="112" customWidth="1"/>
    <col min="745" max="746" width="7.85546875" style="112" bestFit="1" customWidth="1"/>
    <col min="747" max="747" width="8" style="112" bestFit="1" customWidth="1"/>
    <col min="748" max="749" width="7.85546875" style="112" bestFit="1" customWidth="1"/>
    <col min="750" max="750" width="9.7109375" style="112" customWidth="1"/>
    <col min="751" max="751" width="12.85546875" style="112" customWidth="1"/>
    <col min="752" max="988" width="9.140625" style="112"/>
    <col min="989" max="989" width="9" style="112" bestFit="1" customWidth="1"/>
    <col min="990" max="990" width="9.85546875" style="112" bestFit="1" customWidth="1"/>
    <col min="991" max="991" width="9.140625" style="112" bestFit="1" customWidth="1"/>
    <col min="992" max="992" width="16" style="112" bestFit="1" customWidth="1"/>
    <col min="993" max="993" width="9" style="112" bestFit="1" customWidth="1"/>
    <col min="994" max="994" width="7.85546875" style="112" bestFit="1" customWidth="1"/>
    <col min="995" max="995" width="11.7109375" style="112" bestFit="1" customWidth="1"/>
    <col min="996" max="996" width="14.28515625" style="112" customWidth="1"/>
    <col min="997" max="997" width="11.7109375" style="112" bestFit="1" customWidth="1"/>
    <col min="998" max="998" width="14.140625" style="112" bestFit="1" customWidth="1"/>
    <col min="999" max="999" width="16.7109375" style="112" customWidth="1"/>
    <col min="1000" max="1000" width="16.5703125" style="112" customWidth="1"/>
    <col min="1001" max="1002" width="7.85546875" style="112" bestFit="1" customWidth="1"/>
    <col min="1003" max="1003" width="8" style="112" bestFit="1" customWidth="1"/>
    <col min="1004" max="1005" width="7.85546875" style="112" bestFit="1" customWidth="1"/>
    <col min="1006" max="1006" width="9.7109375" style="112" customWidth="1"/>
    <col min="1007" max="1007" width="12.85546875" style="112" customWidth="1"/>
    <col min="1008" max="1244" width="9.140625" style="112"/>
    <col min="1245" max="1245" width="9" style="112" bestFit="1" customWidth="1"/>
    <col min="1246" max="1246" width="9.85546875" style="112" bestFit="1" customWidth="1"/>
    <col min="1247" max="1247" width="9.140625" style="112" bestFit="1" customWidth="1"/>
    <col min="1248" max="1248" width="16" style="112" bestFit="1" customWidth="1"/>
    <col min="1249" max="1249" width="9" style="112" bestFit="1" customWidth="1"/>
    <col min="1250" max="1250" width="7.85546875" style="112" bestFit="1" customWidth="1"/>
    <col min="1251" max="1251" width="11.7109375" style="112" bestFit="1" customWidth="1"/>
    <col min="1252" max="1252" width="14.28515625" style="112" customWidth="1"/>
    <col min="1253" max="1253" width="11.7109375" style="112" bestFit="1" customWidth="1"/>
    <col min="1254" max="1254" width="14.140625" style="112" bestFit="1" customWidth="1"/>
    <col min="1255" max="1255" width="16.7109375" style="112" customWidth="1"/>
    <col min="1256" max="1256" width="16.5703125" style="112" customWidth="1"/>
    <col min="1257" max="1258" width="7.85546875" style="112" bestFit="1" customWidth="1"/>
    <col min="1259" max="1259" width="8" style="112" bestFit="1" customWidth="1"/>
    <col min="1260" max="1261" width="7.85546875" style="112" bestFit="1" customWidth="1"/>
    <col min="1262" max="1262" width="9.7109375" style="112" customWidth="1"/>
    <col min="1263" max="1263" width="12.85546875" style="112" customWidth="1"/>
    <col min="1264" max="1500" width="9.140625" style="112"/>
    <col min="1501" max="1501" width="9" style="112" bestFit="1" customWidth="1"/>
    <col min="1502" max="1502" width="9.85546875" style="112" bestFit="1" customWidth="1"/>
    <col min="1503" max="1503" width="9.140625" style="112" bestFit="1" customWidth="1"/>
    <col min="1504" max="1504" width="16" style="112" bestFit="1" customWidth="1"/>
    <col min="1505" max="1505" width="9" style="112" bestFit="1" customWidth="1"/>
    <col min="1506" max="1506" width="7.85546875" style="112" bestFit="1" customWidth="1"/>
    <col min="1507" max="1507" width="11.7109375" style="112" bestFit="1" customWidth="1"/>
    <col min="1508" max="1508" width="14.28515625" style="112" customWidth="1"/>
    <col min="1509" max="1509" width="11.7109375" style="112" bestFit="1" customWidth="1"/>
    <col min="1510" max="1510" width="14.140625" style="112" bestFit="1" customWidth="1"/>
    <col min="1511" max="1511" width="16.7109375" style="112" customWidth="1"/>
    <col min="1512" max="1512" width="16.5703125" style="112" customWidth="1"/>
    <col min="1513" max="1514" width="7.85546875" style="112" bestFit="1" customWidth="1"/>
    <col min="1515" max="1515" width="8" style="112" bestFit="1" customWidth="1"/>
    <col min="1516" max="1517" width="7.85546875" style="112" bestFit="1" customWidth="1"/>
    <col min="1518" max="1518" width="9.7109375" style="112" customWidth="1"/>
    <col min="1519" max="1519" width="12.85546875" style="112" customWidth="1"/>
    <col min="1520" max="1756" width="9.140625" style="112"/>
    <col min="1757" max="1757" width="9" style="112" bestFit="1" customWidth="1"/>
    <col min="1758" max="1758" width="9.85546875" style="112" bestFit="1" customWidth="1"/>
    <col min="1759" max="1759" width="9.140625" style="112" bestFit="1" customWidth="1"/>
    <col min="1760" max="1760" width="16" style="112" bestFit="1" customWidth="1"/>
    <col min="1761" max="1761" width="9" style="112" bestFit="1" customWidth="1"/>
    <col min="1762" max="1762" width="7.85546875" style="112" bestFit="1" customWidth="1"/>
    <col min="1763" max="1763" width="11.7109375" style="112" bestFit="1" customWidth="1"/>
    <col min="1764" max="1764" width="14.28515625" style="112" customWidth="1"/>
    <col min="1765" max="1765" width="11.7109375" style="112" bestFit="1" customWidth="1"/>
    <col min="1766" max="1766" width="14.140625" style="112" bestFit="1" customWidth="1"/>
    <col min="1767" max="1767" width="16.7109375" style="112" customWidth="1"/>
    <col min="1768" max="1768" width="16.5703125" style="112" customWidth="1"/>
    <col min="1769" max="1770" width="7.85546875" style="112" bestFit="1" customWidth="1"/>
    <col min="1771" max="1771" width="8" style="112" bestFit="1" customWidth="1"/>
    <col min="1772" max="1773" width="7.85546875" style="112" bestFit="1" customWidth="1"/>
    <col min="1774" max="1774" width="9.7109375" style="112" customWidth="1"/>
    <col min="1775" max="1775" width="12.85546875" style="112" customWidth="1"/>
    <col min="1776" max="2012" width="9.140625" style="112"/>
    <col min="2013" max="2013" width="9" style="112" bestFit="1" customWidth="1"/>
    <col min="2014" max="2014" width="9.85546875" style="112" bestFit="1" customWidth="1"/>
    <col min="2015" max="2015" width="9.140625" style="112" bestFit="1" customWidth="1"/>
    <col min="2016" max="2016" width="16" style="112" bestFit="1" customWidth="1"/>
    <col min="2017" max="2017" width="9" style="112" bestFit="1" customWidth="1"/>
    <col min="2018" max="2018" width="7.85546875" style="112" bestFit="1" customWidth="1"/>
    <col min="2019" max="2019" width="11.7109375" style="112" bestFit="1" customWidth="1"/>
    <col min="2020" max="2020" width="14.28515625" style="112" customWidth="1"/>
    <col min="2021" max="2021" width="11.7109375" style="112" bestFit="1" customWidth="1"/>
    <col min="2022" max="2022" width="14.140625" style="112" bestFit="1" customWidth="1"/>
    <col min="2023" max="2023" width="16.7109375" style="112" customWidth="1"/>
    <col min="2024" max="2024" width="16.5703125" style="112" customWidth="1"/>
    <col min="2025" max="2026" width="7.85546875" style="112" bestFit="1" customWidth="1"/>
    <col min="2027" max="2027" width="8" style="112" bestFit="1" customWidth="1"/>
    <col min="2028" max="2029" width="7.85546875" style="112" bestFit="1" customWidth="1"/>
    <col min="2030" max="2030" width="9.7109375" style="112" customWidth="1"/>
    <col min="2031" max="2031" width="12.85546875" style="112" customWidth="1"/>
    <col min="2032" max="2268" width="9.140625" style="112"/>
    <col min="2269" max="2269" width="9" style="112" bestFit="1" customWidth="1"/>
    <col min="2270" max="2270" width="9.85546875" style="112" bestFit="1" customWidth="1"/>
    <col min="2271" max="2271" width="9.140625" style="112" bestFit="1" customWidth="1"/>
    <col min="2272" max="2272" width="16" style="112" bestFit="1" customWidth="1"/>
    <col min="2273" max="2273" width="9" style="112" bestFit="1" customWidth="1"/>
    <col min="2274" max="2274" width="7.85546875" style="112" bestFit="1" customWidth="1"/>
    <col min="2275" max="2275" width="11.7109375" style="112" bestFit="1" customWidth="1"/>
    <col min="2276" max="2276" width="14.28515625" style="112" customWidth="1"/>
    <col min="2277" max="2277" width="11.7109375" style="112" bestFit="1" customWidth="1"/>
    <col min="2278" max="2278" width="14.140625" style="112" bestFit="1" customWidth="1"/>
    <col min="2279" max="2279" width="16.7109375" style="112" customWidth="1"/>
    <col min="2280" max="2280" width="16.5703125" style="112" customWidth="1"/>
    <col min="2281" max="2282" width="7.85546875" style="112" bestFit="1" customWidth="1"/>
    <col min="2283" max="2283" width="8" style="112" bestFit="1" customWidth="1"/>
    <col min="2284" max="2285" width="7.85546875" style="112" bestFit="1" customWidth="1"/>
    <col min="2286" max="2286" width="9.7109375" style="112" customWidth="1"/>
    <col min="2287" max="2287" width="12.85546875" style="112" customWidth="1"/>
    <col min="2288" max="2524" width="9.140625" style="112"/>
    <col min="2525" max="2525" width="9" style="112" bestFit="1" customWidth="1"/>
    <col min="2526" max="2526" width="9.85546875" style="112" bestFit="1" customWidth="1"/>
    <col min="2527" max="2527" width="9.140625" style="112" bestFit="1" customWidth="1"/>
    <col min="2528" max="2528" width="16" style="112" bestFit="1" customWidth="1"/>
    <col min="2529" max="2529" width="9" style="112" bestFit="1" customWidth="1"/>
    <col min="2530" max="2530" width="7.85546875" style="112" bestFit="1" customWidth="1"/>
    <col min="2531" max="2531" width="11.7109375" style="112" bestFit="1" customWidth="1"/>
    <col min="2532" max="2532" width="14.28515625" style="112" customWidth="1"/>
    <col min="2533" max="2533" width="11.7109375" style="112" bestFit="1" customWidth="1"/>
    <col min="2534" max="2534" width="14.140625" style="112" bestFit="1" customWidth="1"/>
    <col min="2535" max="2535" width="16.7109375" style="112" customWidth="1"/>
    <col min="2536" max="2536" width="16.5703125" style="112" customWidth="1"/>
    <col min="2537" max="2538" width="7.85546875" style="112" bestFit="1" customWidth="1"/>
    <col min="2539" max="2539" width="8" style="112" bestFit="1" customWidth="1"/>
    <col min="2540" max="2541" width="7.85546875" style="112" bestFit="1" customWidth="1"/>
    <col min="2542" max="2542" width="9.7109375" style="112" customWidth="1"/>
    <col min="2543" max="2543" width="12.85546875" style="112" customWidth="1"/>
    <col min="2544" max="2780" width="9.140625" style="112"/>
    <col min="2781" max="2781" width="9" style="112" bestFit="1" customWidth="1"/>
    <col min="2782" max="2782" width="9.85546875" style="112" bestFit="1" customWidth="1"/>
    <col min="2783" max="2783" width="9.140625" style="112" bestFit="1" customWidth="1"/>
    <col min="2784" max="2784" width="16" style="112" bestFit="1" customWidth="1"/>
    <col min="2785" max="2785" width="9" style="112" bestFit="1" customWidth="1"/>
    <col min="2786" max="2786" width="7.85546875" style="112" bestFit="1" customWidth="1"/>
    <col min="2787" max="2787" width="11.7109375" style="112" bestFit="1" customWidth="1"/>
    <col min="2788" max="2788" width="14.28515625" style="112" customWidth="1"/>
    <col min="2789" max="2789" width="11.7109375" style="112" bestFit="1" customWidth="1"/>
    <col min="2790" max="2790" width="14.140625" style="112" bestFit="1" customWidth="1"/>
    <col min="2791" max="2791" width="16.7109375" style="112" customWidth="1"/>
    <col min="2792" max="2792" width="16.5703125" style="112" customWidth="1"/>
    <col min="2793" max="2794" width="7.85546875" style="112" bestFit="1" customWidth="1"/>
    <col min="2795" max="2795" width="8" style="112" bestFit="1" customWidth="1"/>
    <col min="2796" max="2797" width="7.85546875" style="112" bestFit="1" customWidth="1"/>
    <col min="2798" max="2798" width="9.7109375" style="112" customWidth="1"/>
    <col min="2799" max="2799" width="12.85546875" style="112" customWidth="1"/>
    <col min="2800" max="3036" width="9.140625" style="112"/>
    <col min="3037" max="3037" width="9" style="112" bestFit="1" customWidth="1"/>
    <col min="3038" max="3038" width="9.85546875" style="112" bestFit="1" customWidth="1"/>
    <col min="3039" max="3039" width="9.140625" style="112" bestFit="1" customWidth="1"/>
    <col min="3040" max="3040" width="16" style="112" bestFit="1" customWidth="1"/>
    <col min="3041" max="3041" width="9" style="112" bestFit="1" customWidth="1"/>
    <col min="3042" max="3042" width="7.85546875" style="112" bestFit="1" customWidth="1"/>
    <col min="3043" max="3043" width="11.7109375" style="112" bestFit="1" customWidth="1"/>
    <col min="3044" max="3044" width="14.28515625" style="112" customWidth="1"/>
    <col min="3045" max="3045" width="11.7109375" style="112" bestFit="1" customWidth="1"/>
    <col min="3046" max="3046" width="14.140625" style="112" bestFit="1" customWidth="1"/>
    <col min="3047" max="3047" width="16.7109375" style="112" customWidth="1"/>
    <col min="3048" max="3048" width="16.5703125" style="112" customWidth="1"/>
    <col min="3049" max="3050" width="7.85546875" style="112" bestFit="1" customWidth="1"/>
    <col min="3051" max="3051" width="8" style="112" bestFit="1" customWidth="1"/>
    <col min="3052" max="3053" width="7.85546875" style="112" bestFit="1" customWidth="1"/>
    <col min="3054" max="3054" width="9.7109375" style="112" customWidth="1"/>
    <col min="3055" max="3055" width="12.85546875" style="112" customWidth="1"/>
    <col min="3056" max="3292" width="9.140625" style="112"/>
    <col min="3293" max="3293" width="9" style="112" bestFit="1" customWidth="1"/>
    <col min="3294" max="3294" width="9.85546875" style="112" bestFit="1" customWidth="1"/>
    <col min="3295" max="3295" width="9.140625" style="112" bestFit="1" customWidth="1"/>
    <col min="3296" max="3296" width="16" style="112" bestFit="1" customWidth="1"/>
    <col min="3297" max="3297" width="9" style="112" bestFit="1" customWidth="1"/>
    <col min="3298" max="3298" width="7.85546875" style="112" bestFit="1" customWidth="1"/>
    <col min="3299" max="3299" width="11.7109375" style="112" bestFit="1" customWidth="1"/>
    <col min="3300" max="3300" width="14.28515625" style="112" customWidth="1"/>
    <col min="3301" max="3301" width="11.7109375" style="112" bestFit="1" customWidth="1"/>
    <col min="3302" max="3302" width="14.140625" style="112" bestFit="1" customWidth="1"/>
    <col min="3303" max="3303" width="16.7109375" style="112" customWidth="1"/>
    <col min="3304" max="3304" width="16.5703125" style="112" customWidth="1"/>
    <col min="3305" max="3306" width="7.85546875" style="112" bestFit="1" customWidth="1"/>
    <col min="3307" max="3307" width="8" style="112" bestFit="1" customWidth="1"/>
    <col min="3308" max="3309" width="7.85546875" style="112" bestFit="1" customWidth="1"/>
    <col min="3310" max="3310" width="9.7109375" style="112" customWidth="1"/>
    <col min="3311" max="3311" width="12.85546875" style="112" customWidth="1"/>
    <col min="3312" max="3548" width="9.140625" style="112"/>
    <col min="3549" max="3549" width="9" style="112" bestFit="1" customWidth="1"/>
    <col min="3550" max="3550" width="9.85546875" style="112" bestFit="1" customWidth="1"/>
    <col min="3551" max="3551" width="9.140625" style="112" bestFit="1" customWidth="1"/>
    <col min="3552" max="3552" width="16" style="112" bestFit="1" customWidth="1"/>
    <col min="3553" max="3553" width="9" style="112" bestFit="1" customWidth="1"/>
    <col min="3554" max="3554" width="7.85546875" style="112" bestFit="1" customWidth="1"/>
    <col min="3555" max="3555" width="11.7109375" style="112" bestFit="1" customWidth="1"/>
    <col min="3556" max="3556" width="14.28515625" style="112" customWidth="1"/>
    <col min="3557" max="3557" width="11.7109375" style="112" bestFit="1" customWidth="1"/>
    <col min="3558" max="3558" width="14.140625" style="112" bestFit="1" customWidth="1"/>
    <col min="3559" max="3559" width="16.7109375" style="112" customWidth="1"/>
    <col min="3560" max="3560" width="16.5703125" style="112" customWidth="1"/>
    <col min="3561" max="3562" width="7.85546875" style="112" bestFit="1" customWidth="1"/>
    <col min="3563" max="3563" width="8" style="112" bestFit="1" customWidth="1"/>
    <col min="3564" max="3565" width="7.85546875" style="112" bestFit="1" customWidth="1"/>
    <col min="3566" max="3566" width="9.7109375" style="112" customWidth="1"/>
    <col min="3567" max="3567" width="12.85546875" style="112" customWidth="1"/>
    <col min="3568" max="3804" width="9.140625" style="112"/>
    <col min="3805" max="3805" width="9" style="112" bestFit="1" customWidth="1"/>
    <col min="3806" max="3806" width="9.85546875" style="112" bestFit="1" customWidth="1"/>
    <col min="3807" max="3807" width="9.140625" style="112" bestFit="1" customWidth="1"/>
    <col min="3808" max="3808" width="16" style="112" bestFit="1" customWidth="1"/>
    <col min="3809" max="3809" width="9" style="112" bestFit="1" customWidth="1"/>
    <col min="3810" max="3810" width="7.85546875" style="112" bestFit="1" customWidth="1"/>
    <col min="3811" max="3811" width="11.7109375" style="112" bestFit="1" customWidth="1"/>
    <col min="3812" max="3812" width="14.28515625" style="112" customWidth="1"/>
    <col min="3813" max="3813" width="11.7109375" style="112" bestFit="1" customWidth="1"/>
    <col min="3814" max="3814" width="14.140625" style="112" bestFit="1" customWidth="1"/>
    <col min="3815" max="3815" width="16.7109375" style="112" customWidth="1"/>
    <col min="3816" max="3816" width="16.5703125" style="112" customWidth="1"/>
    <col min="3817" max="3818" width="7.85546875" style="112" bestFit="1" customWidth="1"/>
    <col min="3819" max="3819" width="8" style="112" bestFit="1" customWidth="1"/>
    <col min="3820" max="3821" width="7.85546875" style="112" bestFit="1" customWidth="1"/>
    <col min="3822" max="3822" width="9.7109375" style="112" customWidth="1"/>
    <col min="3823" max="3823" width="12.85546875" style="112" customWidth="1"/>
    <col min="3824" max="4060" width="9.140625" style="112"/>
    <col min="4061" max="4061" width="9" style="112" bestFit="1" customWidth="1"/>
    <col min="4062" max="4062" width="9.85546875" style="112" bestFit="1" customWidth="1"/>
    <col min="4063" max="4063" width="9.140625" style="112" bestFit="1" customWidth="1"/>
    <col min="4064" max="4064" width="16" style="112" bestFit="1" customWidth="1"/>
    <col min="4065" max="4065" width="9" style="112" bestFit="1" customWidth="1"/>
    <col min="4066" max="4066" width="7.85546875" style="112" bestFit="1" customWidth="1"/>
    <col min="4067" max="4067" width="11.7109375" style="112" bestFit="1" customWidth="1"/>
    <col min="4068" max="4068" width="14.28515625" style="112" customWidth="1"/>
    <col min="4069" max="4069" width="11.7109375" style="112" bestFit="1" customWidth="1"/>
    <col min="4070" max="4070" width="14.140625" style="112" bestFit="1" customWidth="1"/>
    <col min="4071" max="4071" width="16.7109375" style="112" customWidth="1"/>
    <col min="4072" max="4072" width="16.5703125" style="112" customWidth="1"/>
    <col min="4073" max="4074" width="7.85546875" style="112" bestFit="1" customWidth="1"/>
    <col min="4075" max="4075" width="8" style="112" bestFit="1" customWidth="1"/>
    <col min="4076" max="4077" width="7.85546875" style="112" bestFit="1" customWidth="1"/>
    <col min="4078" max="4078" width="9.7109375" style="112" customWidth="1"/>
    <col min="4079" max="4079" width="12.85546875" style="112" customWidth="1"/>
    <col min="4080" max="4316" width="9.140625" style="112"/>
    <col min="4317" max="4317" width="9" style="112" bestFit="1" customWidth="1"/>
    <col min="4318" max="4318" width="9.85546875" style="112" bestFit="1" customWidth="1"/>
    <col min="4319" max="4319" width="9.140625" style="112" bestFit="1" customWidth="1"/>
    <col min="4320" max="4320" width="16" style="112" bestFit="1" customWidth="1"/>
    <col min="4321" max="4321" width="9" style="112" bestFit="1" customWidth="1"/>
    <col min="4322" max="4322" width="7.85546875" style="112" bestFit="1" customWidth="1"/>
    <col min="4323" max="4323" width="11.7109375" style="112" bestFit="1" customWidth="1"/>
    <col min="4324" max="4324" width="14.28515625" style="112" customWidth="1"/>
    <col min="4325" max="4325" width="11.7109375" style="112" bestFit="1" customWidth="1"/>
    <col min="4326" max="4326" width="14.140625" style="112" bestFit="1" customWidth="1"/>
    <col min="4327" max="4327" width="16.7109375" style="112" customWidth="1"/>
    <col min="4328" max="4328" width="16.5703125" style="112" customWidth="1"/>
    <col min="4329" max="4330" width="7.85546875" style="112" bestFit="1" customWidth="1"/>
    <col min="4331" max="4331" width="8" style="112" bestFit="1" customWidth="1"/>
    <col min="4332" max="4333" width="7.85546875" style="112" bestFit="1" customWidth="1"/>
    <col min="4334" max="4334" width="9.7109375" style="112" customWidth="1"/>
    <col min="4335" max="4335" width="12.85546875" style="112" customWidth="1"/>
    <col min="4336" max="4572" width="9.140625" style="112"/>
    <col min="4573" max="4573" width="9" style="112" bestFit="1" customWidth="1"/>
    <col min="4574" max="4574" width="9.85546875" style="112" bestFit="1" customWidth="1"/>
    <col min="4575" max="4575" width="9.140625" style="112" bestFit="1" customWidth="1"/>
    <col min="4576" max="4576" width="16" style="112" bestFit="1" customWidth="1"/>
    <col min="4577" max="4577" width="9" style="112" bestFit="1" customWidth="1"/>
    <col min="4578" max="4578" width="7.85546875" style="112" bestFit="1" customWidth="1"/>
    <col min="4579" max="4579" width="11.7109375" style="112" bestFit="1" customWidth="1"/>
    <col min="4580" max="4580" width="14.28515625" style="112" customWidth="1"/>
    <col min="4581" max="4581" width="11.7109375" style="112" bestFit="1" customWidth="1"/>
    <col min="4582" max="4582" width="14.140625" style="112" bestFit="1" customWidth="1"/>
    <col min="4583" max="4583" width="16.7109375" style="112" customWidth="1"/>
    <col min="4584" max="4584" width="16.5703125" style="112" customWidth="1"/>
    <col min="4585" max="4586" width="7.85546875" style="112" bestFit="1" customWidth="1"/>
    <col min="4587" max="4587" width="8" style="112" bestFit="1" customWidth="1"/>
    <col min="4588" max="4589" width="7.85546875" style="112" bestFit="1" customWidth="1"/>
    <col min="4590" max="4590" width="9.7109375" style="112" customWidth="1"/>
    <col min="4591" max="4591" width="12.85546875" style="112" customWidth="1"/>
    <col min="4592" max="4828" width="9.140625" style="112"/>
    <col min="4829" max="4829" width="9" style="112" bestFit="1" customWidth="1"/>
    <col min="4830" max="4830" width="9.85546875" style="112" bestFit="1" customWidth="1"/>
    <col min="4831" max="4831" width="9.140625" style="112" bestFit="1" customWidth="1"/>
    <col min="4832" max="4832" width="16" style="112" bestFit="1" customWidth="1"/>
    <col min="4833" max="4833" width="9" style="112" bestFit="1" customWidth="1"/>
    <col min="4834" max="4834" width="7.85546875" style="112" bestFit="1" customWidth="1"/>
    <col min="4835" max="4835" width="11.7109375" style="112" bestFit="1" customWidth="1"/>
    <col min="4836" max="4836" width="14.28515625" style="112" customWidth="1"/>
    <col min="4837" max="4837" width="11.7109375" style="112" bestFit="1" customWidth="1"/>
    <col min="4838" max="4838" width="14.140625" style="112" bestFit="1" customWidth="1"/>
    <col min="4839" max="4839" width="16.7109375" style="112" customWidth="1"/>
    <col min="4840" max="4840" width="16.5703125" style="112" customWidth="1"/>
    <col min="4841" max="4842" width="7.85546875" style="112" bestFit="1" customWidth="1"/>
    <col min="4843" max="4843" width="8" style="112" bestFit="1" customWidth="1"/>
    <col min="4844" max="4845" width="7.85546875" style="112" bestFit="1" customWidth="1"/>
    <col min="4846" max="4846" width="9.7109375" style="112" customWidth="1"/>
    <col min="4847" max="4847" width="12.85546875" style="112" customWidth="1"/>
    <col min="4848" max="5084" width="9.140625" style="112"/>
    <col min="5085" max="5085" width="9" style="112" bestFit="1" customWidth="1"/>
    <col min="5086" max="5086" width="9.85546875" style="112" bestFit="1" customWidth="1"/>
    <col min="5087" max="5087" width="9.140625" style="112" bestFit="1" customWidth="1"/>
    <col min="5088" max="5088" width="16" style="112" bestFit="1" customWidth="1"/>
    <col min="5089" max="5089" width="9" style="112" bestFit="1" customWidth="1"/>
    <col min="5090" max="5090" width="7.85546875" style="112" bestFit="1" customWidth="1"/>
    <col min="5091" max="5091" width="11.7109375" style="112" bestFit="1" customWidth="1"/>
    <col min="5092" max="5092" width="14.28515625" style="112" customWidth="1"/>
    <col min="5093" max="5093" width="11.7109375" style="112" bestFit="1" customWidth="1"/>
    <col min="5094" max="5094" width="14.140625" style="112" bestFit="1" customWidth="1"/>
    <col min="5095" max="5095" width="16.7109375" style="112" customWidth="1"/>
    <col min="5096" max="5096" width="16.5703125" style="112" customWidth="1"/>
    <col min="5097" max="5098" width="7.85546875" style="112" bestFit="1" customWidth="1"/>
    <col min="5099" max="5099" width="8" style="112" bestFit="1" customWidth="1"/>
    <col min="5100" max="5101" width="7.85546875" style="112" bestFit="1" customWidth="1"/>
    <col min="5102" max="5102" width="9.7109375" style="112" customWidth="1"/>
    <col min="5103" max="5103" width="12.85546875" style="112" customWidth="1"/>
    <col min="5104" max="5340" width="9.140625" style="112"/>
    <col min="5341" max="5341" width="9" style="112" bestFit="1" customWidth="1"/>
    <col min="5342" max="5342" width="9.85546875" style="112" bestFit="1" customWidth="1"/>
    <col min="5343" max="5343" width="9.140625" style="112" bestFit="1" customWidth="1"/>
    <col min="5344" max="5344" width="16" style="112" bestFit="1" customWidth="1"/>
    <col min="5345" max="5345" width="9" style="112" bestFit="1" customWidth="1"/>
    <col min="5346" max="5346" width="7.85546875" style="112" bestFit="1" customWidth="1"/>
    <col min="5347" max="5347" width="11.7109375" style="112" bestFit="1" customWidth="1"/>
    <col min="5348" max="5348" width="14.28515625" style="112" customWidth="1"/>
    <col min="5349" max="5349" width="11.7109375" style="112" bestFit="1" customWidth="1"/>
    <col min="5350" max="5350" width="14.140625" style="112" bestFit="1" customWidth="1"/>
    <col min="5351" max="5351" width="16.7109375" style="112" customWidth="1"/>
    <col min="5352" max="5352" width="16.5703125" style="112" customWidth="1"/>
    <col min="5353" max="5354" width="7.85546875" style="112" bestFit="1" customWidth="1"/>
    <col min="5355" max="5355" width="8" style="112" bestFit="1" customWidth="1"/>
    <col min="5356" max="5357" width="7.85546875" style="112" bestFit="1" customWidth="1"/>
    <col min="5358" max="5358" width="9.7109375" style="112" customWidth="1"/>
    <col min="5359" max="5359" width="12.85546875" style="112" customWidth="1"/>
    <col min="5360" max="5596" width="9.140625" style="112"/>
    <col min="5597" max="5597" width="9" style="112" bestFit="1" customWidth="1"/>
    <col min="5598" max="5598" width="9.85546875" style="112" bestFit="1" customWidth="1"/>
    <col min="5599" max="5599" width="9.140625" style="112" bestFit="1" customWidth="1"/>
    <col min="5600" max="5600" width="16" style="112" bestFit="1" customWidth="1"/>
    <col min="5601" max="5601" width="9" style="112" bestFit="1" customWidth="1"/>
    <col min="5602" max="5602" width="7.85546875" style="112" bestFit="1" customWidth="1"/>
    <col min="5603" max="5603" width="11.7109375" style="112" bestFit="1" customWidth="1"/>
    <col min="5604" max="5604" width="14.28515625" style="112" customWidth="1"/>
    <col min="5605" max="5605" width="11.7109375" style="112" bestFit="1" customWidth="1"/>
    <col min="5606" max="5606" width="14.140625" style="112" bestFit="1" customWidth="1"/>
    <col min="5607" max="5607" width="16.7109375" style="112" customWidth="1"/>
    <col min="5608" max="5608" width="16.5703125" style="112" customWidth="1"/>
    <col min="5609" max="5610" width="7.85546875" style="112" bestFit="1" customWidth="1"/>
    <col min="5611" max="5611" width="8" style="112" bestFit="1" customWidth="1"/>
    <col min="5612" max="5613" width="7.85546875" style="112" bestFit="1" customWidth="1"/>
    <col min="5614" max="5614" width="9.7109375" style="112" customWidth="1"/>
    <col min="5615" max="5615" width="12.85546875" style="112" customWidth="1"/>
    <col min="5616" max="5852" width="9.140625" style="112"/>
    <col min="5853" max="5853" width="9" style="112" bestFit="1" customWidth="1"/>
    <col min="5854" max="5854" width="9.85546875" style="112" bestFit="1" customWidth="1"/>
    <col min="5855" max="5855" width="9.140625" style="112" bestFit="1" customWidth="1"/>
    <col min="5856" max="5856" width="16" style="112" bestFit="1" customWidth="1"/>
    <col min="5857" max="5857" width="9" style="112" bestFit="1" customWidth="1"/>
    <col min="5858" max="5858" width="7.85546875" style="112" bestFit="1" customWidth="1"/>
    <col min="5859" max="5859" width="11.7109375" style="112" bestFit="1" customWidth="1"/>
    <col min="5860" max="5860" width="14.28515625" style="112" customWidth="1"/>
    <col min="5861" max="5861" width="11.7109375" style="112" bestFit="1" customWidth="1"/>
    <col min="5862" max="5862" width="14.140625" style="112" bestFit="1" customWidth="1"/>
    <col min="5863" max="5863" width="16.7109375" style="112" customWidth="1"/>
    <col min="5864" max="5864" width="16.5703125" style="112" customWidth="1"/>
    <col min="5865" max="5866" width="7.85546875" style="112" bestFit="1" customWidth="1"/>
    <col min="5867" max="5867" width="8" style="112" bestFit="1" customWidth="1"/>
    <col min="5868" max="5869" width="7.85546875" style="112" bestFit="1" customWidth="1"/>
    <col min="5870" max="5870" width="9.7109375" style="112" customWidth="1"/>
    <col min="5871" max="5871" width="12.85546875" style="112" customWidth="1"/>
    <col min="5872" max="6108" width="9.140625" style="112"/>
    <col min="6109" max="6109" width="9" style="112" bestFit="1" customWidth="1"/>
    <col min="6110" max="6110" width="9.85546875" style="112" bestFit="1" customWidth="1"/>
    <col min="6111" max="6111" width="9.140625" style="112" bestFit="1" customWidth="1"/>
    <col min="6112" max="6112" width="16" style="112" bestFit="1" customWidth="1"/>
    <col min="6113" max="6113" width="9" style="112" bestFit="1" customWidth="1"/>
    <col min="6114" max="6114" width="7.85546875" style="112" bestFit="1" customWidth="1"/>
    <col min="6115" max="6115" width="11.7109375" style="112" bestFit="1" customWidth="1"/>
    <col min="6116" max="6116" width="14.28515625" style="112" customWidth="1"/>
    <col min="6117" max="6117" width="11.7109375" style="112" bestFit="1" customWidth="1"/>
    <col min="6118" max="6118" width="14.140625" style="112" bestFit="1" customWidth="1"/>
    <col min="6119" max="6119" width="16.7109375" style="112" customWidth="1"/>
    <col min="6120" max="6120" width="16.5703125" style="112" customWidth="1"/>
    <col min="6121" max="6122" width="7.85546875" style="112" bestFit="1" customWidth="1"/>
    <col min="6123" max="6123" width="8" style="112" bestFit="1" customWidth="1"/>
    <col min="6124" max="6125" width="7.85546875" style="112" bestFit="1" customWidth="1"/>
    <col min="6126" max="6126" width="9.7109375" style="112" customWidth="1"/>
    <col min="6127" max="6127" width="12.85546875" style="112" customWidth="1"/>
    <col min="6128" max="6364" width="9.140625" style="112"/>
    <col min="6365" max="6365" width="9" style="112" bestFit="1" customWidth="1"/>
    <col min="6366" max="6366" width="9.85546875" style="112" bestFit="1" customWidth="1"/>
    <col min="6367" max="6367" width="9.140625" style="112" bestFit="1" customWidth="1"/>
    <col min="6368" max="6368" width="16" style="112" bestFit="1" customWidth="1"/>
    <col min="6369" max="6369" width="9" style="112" bestFit="1" customWidth="1"/>
    <col min="6370" max="6370" width="7.85546875" style="112" bestFit="1" customWidth="1"/>
    <col min="6371" max="6371" width="11.7109375" style="112" bestFit="1" customWidth="1"/>
    <col min="6372" max="6372" width="14.28515625" style="112" customWidth="1"/>
    <col min="6373" max="6373" width="11.7109375" style="112" bestFit="1" customWidth="1"/>
    <col min="6374" max="6374" width="14.140625" style="112" bestFit="1" customWidth="1"/>
    <col min="6375" max="6375" width="16.7109375" style="112" customWidth="1"/>
    <col min="6376" max="6376" width="16.5703125" style="112" customWidth="1"/>
    <col min="6377" max="6378" width="7.85546875" style="112" bestFit="1" customWidth="1"/>
    <col min="6379" max="6379" width="8" style="112" bestFit="1" customWidth="1"/>
    <col min="6380" max="6381" width="7.85546875" style="112" bestFit="1" customWidth="1"/>
    <col min="6382" max="6382" width="9.7109375" style="112" customWidth="1"/>
    <col min="6383" max="6383" width="12.85546875" style="112" customWidth="1"/>
    <col min="6384" max="6620" width="9.140625" style="112"/>
    <col min="6621" max="6621" width="9" style="112" bestFit="1" customWidth="1"/>
    <col min="6622" max="6622" width="9.85546875" style="112" bestFit="1" customWidth="1"/>
    <col min="6623" max="6623" width="9.140625" style="112" bestFit="1" customWidth="1"/>
    <col min="6624" max="6624" width="16" style="112" bestFit="1" customWidth="1"/>
    <col min="6625" max="6625" width="9" style="112" bestFit="1" customWidth="1"/>
    <col min="6626" max="6626" width="7.85546875" style="112" bestFit="1" customWidth="1"/>
    <col min="6627" max="6627" width="11.7109375" style="112" bestFit="1" customWidth="1"/>
    <col min="6628" max="6628" width="14.28515625" style="112" customWidth="1"/>
    <col min="6629" max="6629" width="11.7109375" style="112" bestFit="1" customWidth="1"/>
    <col min="6630" max="6630" width="14.140625" style="112" bestFit="1" customWidth="1"/>
    <col min="6631" max="6631" width="16.7109375" style="112" customWidth="1"/>
    <col min="6632" max="6632" width="16.5703125" style="112" customWidth="1"/>
    <col min="6633" max="6634" width="7.85546875" style="112" bestFit="1" customWidth="1"/>
    <col min="6635" max="6635" width="8" style="112" bestFit="1" customWidth="1"/>
    <col min="6636" max="6637" width="7.85546875" style="112" bestFit="1" customWidth="1"/>
    <col min="6638" max="6638" width="9.7109375" style="112" customWidth="1"/>
    <col min="6639" max="6639" width="12.85546875" style="112" customWidth="1"/>
    <col min="6640" max="6876" width="9.140625" style="112"/>
    <col min="6877" max="6877" width="9" style="112" bestFit="1" customWidth="1"/>
    <col min="6878" max="6878" width="9.85546875" style="112" bestFit="1" customWidth="1"/>
    <col min="6879" max="6879" width="9.140625" style="112" bestFit="1" customWidth="1"/>
    <col min="6880" max="6880" width="16" style="112" bestFit="1" customWidth="1"/>
    <col min="6881" max="6881" width="9" style="112" bestFit="1" customWidth="1"/>
    <col min="6882" max="6882" width="7.85546875" style="112" bestFit="1" customWidth="1"/>
    <col min="6883" max="6883" width="11.7109375" style="112" bestFit="1" customWidth="1"/>
    <col min="6884" max="6884" width="14.28515625" style="112" customWidth="1"/>
    <col min="6885" max="6885" width="11.7109375" style="112" bestFit="1" customWidth="1"/>
    <col min="6886" max="6886" width="14.140625" style="112" bestFit="1" customWidth="1"/>
    <col min="6887" max="6887" width="16.7109375" style="112" customWidth="1"/>
    <col min="6888" max="6888" width="16.5703125" style="112" customWidth="1"/>
    <col min="6889" max="6890" width="7.85546875" style="112" bestFit="1" customWidth="1"/>
    <col min="6891" max="6891" width="8" style="112" bestFit="1" customWidth="1"/>
    <col min="6892" max="6893" width="7.85546875" style="112" bestFit="1" customWidth="1"/>
    <col min="6894" max="6894" width="9.7109375" style="112" customWidth="1"/>
    <col min="6895" max="6895" width="12.85546875" style="112" customWidth="1"/>
    <col min="6896" max="7132" width="9.140625" style="112"/>
    <col min="7133" max="7133" width="9" style="112" bestFit="1" customWidth="1"/>
    <col min="7134" max="7134" width="9.85546875" style="112" bestFit="1" customWidth="1"/>
    <col min="7135" max="7135" width="9.140625" style="112" bestFit="1" customWidth="1"/>
    <col min="7136" max="7136" width="16" style="112" bestFit="1" customWidth="1"/>
    <col min="7137" max="7137" width="9" style="112" bestFit="1" customWidth="1"/>
    <col min="7138" max="7138" width="7.85546875" style="112" bestFit="1" customWidth="1"/>
    <col min="7139" max="7139" width="11.7109375" style="112" bestFit="1" customWidth="1"/>
    <col min="7140" max="7140" width="14.28515625" style="112" customWidth="1"/>
    <col min="7141" max="7141" width="11.7109375" style="112" bestFit="1" customWidth="1"/>
    <col min="7142" max="7142" width="14.140625" style="112" bestFit="1" customWidth="1"/>
    <col min="7143" max="7143" width="16.7109375" style="112" customWidth="1"/>
    <col min="7144" max="7144" width="16.5703125" style="112" customWidth="1"/>
    <col min="7145" max="7146" width="7.85546875" style="112" bestFit="1" customWidth="1"/>
    <col min="7147" max="7147" width="8" style="112" bestFit="1" customWidth="1"/>
    <col min="7148" max="7149" width="7.85546875" style="112" bestFit="1" customWidth="1"/>
    <col min="7150" max="7150" width="9.7109375" style="112" customWidth="1"/>
    <col min="7151" max="7151" width="12.85546875" style="112" customWidth="1"/>
    <col min="7152" max="7388" width="9.140625" style="112"/>
    <col min="7389" max="7389" width="9" style="112" bestFit="1" customWidth="1"/>
    <col min="7390" max="7390" width="9.85546875" style="112" bestFit="1" customWidth="1"/>
    <col min="7391" max="7391" width="9.140625" style="112" bestFit="1" customWidth="1"/>
    <col min="7392" max="7392" width="16" style="112" bestFit="1" customWidth="1"/>
    <col min="7393" max="7393" width="9" style="112" bestFit="1" customWidth="1"/>
    <col min="7394" max="7394" width="7.85546875" style="112" bestFit="1" customWidth="1"/>
    <col min="7395" max="7395" width="11.7109375" style="112" bestFit="1" customWidth="1"/>
    <col min="7396" max="7396" width="14.28515625" style="112" customWidth="1"/>
    <col min="7397" max="7397" width="11.7109375" style="112" bestFit="1" customWidth="1"/>
    <col min="7398" max="7398" width="14.140625" style="112" bestFit="1" customWidth="1"/>
    <col min="7399" max="7399" width="16.7109375" style="112" customWidth="1"/>
    <col min="7400" max="7400" width="16.5703125" style="112" customWidth="1"/>
    <col min="7401" max="7402" width="7.85546875" style="112" bestFit="1" customWidth="1"/>
    <col min="7403" max="7403" width="8" style="112" bestFit="1" customWidth="1"/>
    <col min="7404" max="7405" width="7.85546875" style="112" bestFit="1" customWidth="1"/>
    <col min="7406" max="7406" width="9.7109375" style="112" customWidth="1"/>
    <col min="7407" max="7407" width="12.85546875" style="112" customWidth="1"/>
    <col min="7408" max="7644" width="9.140625" style="112"/>
    <col min="7645" max="7645" width="9" style="112" bestFit="1" customWidth="1"/>
    <col min="7646" max="7646" width="9.85546875" style="112" bestFit="1" customWidth="1"/>
    <col min="7647" max="7647" width="9.140625" style="112" bestFit="1" customWidth="1"/>
    <col min="7648" max="7648" width="16" style="112" bestFit="1" customWidth="1"/>
    <col min="7649" max="7649" width="9" style="112" bestFit="1" customWidth="1"/>
    <col min="7650" max="7650" width="7.85546875" style="112" bestFit="1" customWidth="1"/>
    <col min="7651" max="7651" width="11.7109375" style="112" bestFit="1" customWidth="1"/>
    <col min="7652" max="7652" width="14.28515625" style="112" customWidth="1"/>
    <col min="7653" max="7653" width="11.7109375" style="112" bestFit="1" customWidth="1"/>
    <col min="7654" max="7654" width="14.140625" style="112" bestFit="1" customWidth="1"/>
    <col min="7655" max="7655" width="16.7109375" style="112" customWidth="1"/>
    <col min="7656" max="7656" width="16.5703125" style="112" customWidth="1"/>
    <col min="7657" max="7658" width="7.85546875" style="112" bestFit="1" customWidth="1"/>
    <col min="7659" max="7659" width="8" style="112" bestFit="1" customWidth="1"/>
    <col min="7660" max="7661" width="7.85546875" style="112" bestFit="1" customWidth="1"/>
    <col min="7662" max="7662" width="9.7109375" style="112" customWidth="1"/>
    <col min="7663" max="7663" width="12.85546875" style="112" customWidth="1"/>
    <col min="7664" max="7900" width="9.140625" style="112"/>
    <col min="7901" max="7901" width="9" style="112" bestFit="1" customWidth="1"/>
    <col min="7902" max="7902" width="9.85546875" style="112" bestFit="1" customWidth="1"/>
    <col min="7903" max="7903" width="9.140625" style="112" bestFit="1" customWidth="1"/>
    <col min="7904" max="7904" width="16" style="112" bestFit="1" customWidth="1"/>
    <col min="7905" max="7905" width="9" style="112" bestFit="1" customWidth="1"/>
    <col min="7906" max="7906" width="7.85546875" style="112" bestFit="1" customWidth="1"/>
    <col min="7907" max="7907" width="11.7109375" style="112" bestFit="1" customWidth="1"/>
    <col min="7908" max="7908" width="14.28515625" style="112" customWidth="1"/>
    <col min="7909" max="7909" width="11.7109375" style="112" bestFit="1" customWidth="1"/>
    <col min="7910" max="7910" width="14.140625" style="112" bestFit="1" customWidth="1"/>
    <col min="7911" max="7911" width="16.7109375" style="112" customWidth="1"/>
    <col min="7912" max="7912" width="16.5703125" style="112" customWidth="1"/>
    <col min="7913" max="7914" width="7.85546875" style="112" bestFit="1" customWidth="1"/>
    <col min="7915" max="7915" width="8" style="112" bestFit="1" customWidth="1"/>
    <col min="7916" max="7917" width="7.85546875" style="112" bestFit="1" customWidth="1"/>
    <col min="7918" max="7918" width="9.7109375" style="112" customWidth="1"/>
    <col min="7919" max="7919" width="12.85546875" style="112" customWidth="1"/>
    <col min="7920" max="8156" width="9.140625" style="112"/>
    <col min="8157" max="8157" width="9" style="112" bestFit="1" customWidth="1"/>
    <col min="8158" max="8158" width="9.85546875" style="112" bestFit="1" customWidth="1"/>
    <col min="8159" max="8159" width="9.140625" style="112" bestFit="1" customWidth="1"/>
    <col min="8160" max="8160" width="16" style="112" bestFit="1" customWidth="1"/>
    <col min="8161" max="8161" width="9" style="112" bestFit="1" customWidth="1"/>
    <col min="8162" max="8162" width="7.85546875" style="112" bestFit="1" customWidth="1"/>
    <col min="8163" max="8163" width="11.7109375" style="112" bestFit="1" customWidth="1"/>
    <col min="8164" max="8164" width="14.28515625" style="112" customWidth="1"/>
    <col min="8165" max="8165" width="11.7109375" style="112" bestFit="1" customWidth="1"/>
    <col min="8166" max="8166" width="14.140625" style="112" bestFit="1" customWidth="1"/>
    <col min="8167" max="8167" width="16.7109375" style="112" customWidth="1"/>
    <col min="8168" max="8168" width="16.5703125" style="112" customWidth="1"/>
    <col min="8169" max="8170" width="7.85546875" style="112" bestFit="1" customWidth="1"/>
    <col min="8171" max="8171" width="8" style="112" bestFit="1" customWidth="1"/>
    <col min="8172" max="8173" width="7.85546875" style="112" bestFit="1" customWidth="1"/>
    <col min="8174" max="8174" width="9.7109375" style="112" customWidth="1"/>
    <col min="8175" max="8175" width="12.85546875" style="112" customWidth="1"/>
    <col min="8176" max="8412" width="9.140625" style="112"/>
    <col min="8413" max="8413" width="9" style="112" bestFit="1" customWidth="1"/>
    <col min="8414" max="8414" width="9.85546875" style="112" bestFit="1" customWidth="1"/>
    <col min="8415" max="8415" width="9.140625" style="112" bestFit="1" customWidth="1"/>
    <col min="8416" max="8416" width="16" style="112" bestFit="1" customWidth="1"/>
    <col min="8417" max="8417" width="9" style="112" bestFit="1" customWidth="1"/>
    <col min="8418" max="8418" width="7.85546875" style="112" bestFit="1" customWidth="1"/>
    <col min="8419" max="8419" width="11.7109375" style="112" bestFit="1" customWidth="1"/>
    <col min="8420" max="8420" width="14.28515625" style="112" customWidth="1"/>
    <col min="8421" max="8421" width="11.7109375" style="112" bestFit="1" customWidth="1"/>
    <col min="8422" max="8422" width="14.140625" style="112" bestFit="1" customWidth="1"/>
    <col min="8423" max="8423" width="16.7109375" style="112" customWidth="1"/>
    <col min="8424" max="8424" width="16.5703125" style="112" customWidth="1"/>
    <col min="8425" max="8426" width="7.85546875" style="112" bestFit="1" customWidth="1"/>
    <col min="8427" max="8427" width="8" style="112" bestFit="1" customWidth="1"/>
    <col min="8428" max="8429" width="7.85546875" style="112" bestFit="1" customWidth="1"/>
    <col min="8430" max="8430" width="9.7109375" style="112" customWidth="1"/>
    <col min="8431" max="8431" width="12.85546875" style="112" customWidth="1"/>
    <col min="8432" max="8668" width="9.140625" style="112"/>
    <col min="8669" max="8669" width="9" style="112" bestFit="1" customWidth="1"/>
    <col min="8670" max="8670" width="9.85546875" style="112" bestFit="1" customWidth="1"/>
    <col min="8671" max="8671" width="9.140625" style="112" bestFit="1" customWidth="1"/>
    <col min="8672" max="8672" width="16" style="112" bestFit="1" customWidth="1"/>
    <col min="8673" max="8673" width="9" style="112" bestFit="1" customWidth="1"/>
    <col min="8674" max="8674" width="7.85546875" style="112" bestFit="1" customWidth="1"/>
    <col min="8675" max="8675" width="11.7109375" style="112" bestFit="1" customWidth="1"/>
    <col min="8676" max="8676" width="14.28515625" style="112" customWidth="1"/>
    <col min="8677" max="8677" width="11.7109375" style="112" bestFit="1" customWidth="1"/>
    <col min="8678" max="8678" width="14.140625" style="112" bestFit="1" customWidth="1"/>
    <col min="8679" max="8679" width="16.7109375" style="112" customWidth="1"/>
    <col min="8680" max="8680" width="16.5703125" style="112" customWidth="1"/>
    <col min="8681" max="8682" width="7.85546875" style="112" bestFit="1" customWidth="1"/>
    <col min="8683" max="8683" width="8" style="112" bestFit="1" customWidth="1"/>
    <col min="8684" max="8685" width="7.85546875" style="112" bestFit="1" customWidth="1"/>
    <col min="8686" max="8686" width="9.7109375" style="112" customWidth="1"/>
    <col min="8687" max="8687" width="12.85546875" style="112" customWidth="1"/>
    <col min="8688" max="8924" width="9.140625" style="112"/>
    <col min="8925" max="8925" width="9" style="112" bestFit="1" customWidth="1"/>
    <col min="8926" max="8926" width="9.85546875" style="112" bestFit="1" customWidth="1"/>
    <col min="8927" max="8927" width="9.140625" style="112" bestFit="1" customWidth="1"/>
    <col min="8928" max="8928" width="16" style="112" bestFit="1" customWidth="1"/>
    <col min="8929" max="8929" width="9" style="112" bestFit="1" customWidth="1"/>
    <col min="8930" max="8930" width="7.85546875" style="112" bestFit="1" customWidth="1"/>
    <col min="8931" max="8931" width="11.7109375" style="112" bestFit="1" customWidth="1"/>
    <col min="8932" max="8932" width="14.28515625" style="112" customWidth="1"/>
    <col min="8933" max="8933" width="11.7109375" style="112" bestFit="1" customWidth="1"/>
    <col min="8934" max="8934" width="14.140625" style="112" bestFit="1" customWidth="1"/>
    <col min="8935" max="8935" width="16.7109375" style="112" customWidth="1"/>
    <col min="8936" max="8936" width="16.5703125" style="112" customWidth="1"/>
    <col min="8937" max="8938" width="7.85546875" style="112" bestFit="1" customWidth="1"/>
    <col min="8939" max="8939" width="8" style="112" bestFit="1" customWidth="1"/>
    <col min="8940" max="8941" width="7.85546875" style="112" bestFit="1" customWidth="1"/>
    <col min="8942" max="8942" width="9.7109375" style="112" customWidth="1"/>
    <col min="8943" max="8943" width="12.85546875" style="112" customWidth="1"/>
    <col min="8944" max="9180" width="9.140625" style="112"/>
    <col min="9181" max="9181" width="9" style="112" bestFit="1" customWidth="1"/>
    <col min="9182" max="9182" width="9.85546875" style="112" bestFit="1" customWidth="1"/>
    <col min="9183" max="9183" width="9.140625" style="112" bestFit="1" customWidth="1"/>
    <col min="9184" max="9184" width="16" style="112" bestFit="1" customWidth="1"/>
    <col min="9185" max="9185" width="9" style="112" bestFit="1" customWidth="1"/>
    <col min="9186" max="9186" width="7.85546875" style="112" bestFit="1" customWidth="1"/>
    <col min="9187" max="9187" width="11.7109375" style="112" bestFit="1" customWidth="1"/>
    <col min="9188" max="9188" width="14.28515625" style="112" customWidth="1"/>
    <col min="9189" max="9189" width="11.7109375" style="112" bestFit="1" customWidth="1"/>
    <col min="9190" max="9190" width="14.140625" style="112" bestFit="1" customWidth="1"/>
    <col min="9191" max="9191" width="16.7109375" style="112" customWidth="1"/>
    <col min="9192" max="9192" width="16.5703125" style="112" customWidth="1"/>
    <col min="9193" max="9194" width="7.85546875" style="112" bestFit="1" customWidth="1"/>
    <col min="9195" max="9195" width="8" style="112" bestFit="1" customWidth="1"/>
    <col min="9196" max="9197" width="7.85546875" style="112" bestFit="1" customWidth="1"/>
    <col min="9198" max="9198" width="9.7109375" style="112" customWidth="1"/>
    <col min="9199" max="9199" width="12.85546875" style="112" customWidth="1"/>
    <col min="9200" max="9436" width="9.140625" style="112"/>
    <col min="9437" max="9437" width="9" style="112" bestFit="1" customWidth="1"/>
    <col min="9438" max="9438" width="9.85546875" style="112" bestFit="1" customWidth="1"/>
    <col min="9439" max="9439" width="9.140625" style="112" bestFit="1" customWidth="1"/>
    <col min="9440" max="9440" width="16" style="112" bestFit="1" customWidth="1"/>
    <col min="9441" max="9441" width="9" style="112" bestFit="1" customWidth="1"/>
    <col min="9442" max="9442" width="7.85546875" style="112" bestFit="1" customWidth="1"/>
    <col min="9443" max="9443" width="11.7109375" style="112" bestFit="1" customWidth="1"/>
    <col min="9444" max="9444" width="14.28515625" style="112" customWidth="1"/>
    <col min="9445" max="9445" width="11.7109375" style="112" bestFit="1" customWidth="1"/>
    <col min="9446" max="9446" width="14.140625" style="112" bestFit="1" customWidth="1"/>
    <col min="9447" max="9447" width="16.7109375" style="112" customWidth="1"/>
    <col min="9448" max="9448" width="16.5703125" style="112" customWidth="1"/>
    <col min="9449" max="9450" width="7.85546875" style="112" bestFit="1" customWidth="1"/>
    <col min="9451" max="9451" width="8" style="112" bestFit="1" customWidth="1"/>
    <col min="9452" max="9453" width="7.85546875" style="112" bestFit="1" customWidth="1"/>
    <col min="9454" max="9454" width="9.7109375" style="112" customWidth="1"/>
    <col min="9455" max="9455" width="12.85546875" style="112" customWidth="1"/>
    <col min="9456" max="9692" width="9.140625" style="112"/>
    <col min="9693" max="9693" width="9" style="112" bestFit="1" customWidth="1"/>
    <col min="9694" max="9694" width="9.85546875" style="112" bestFit="1" customWidth="1"/>
    <col min="9695" max="9695" width="9.140625" style="112" bestFit="1" customWidth="1"/>
    <col min="9696" max="9696" width="16" style="112" bestFit="1" customWidth="1"/>
    <col min="9697" max="9697" width="9" style="112" bestFit="1" customWidth="1"/>
    <col min="9698" max="9698" width="7.85546875" style="112" bestFit="1" customWidth="1"/>
    <col min="9699" max="9699" width="11.7109375" style="112" bestFit="1" customWidth="1"/>
    <col min="9700" max="9700" width="14.28515625" style="112" customWidth="1"/>
    <col min="9701" max="9701" width="11.7109375" style="112" bestFit="1" customWidth="1"/>
    <col min="9702" max="9702" width="14.140625" style="112" bestFit="1" customWidth="1"/>
    <col min="9703" max="9703" width="16.7109375" style="112" customWidth="1"/>
    <col min="9704" max="9704" width="16.5703125" style="112" customWidth="1"/>
    <col min="9705" max="9706" width="7.85546875" style="112" bestFit="1" customWidth="1"/>
    <col min="9707" max="9707" width="8" style="112" bestFit="1" customWidth="1"/>
    <col min="9708" max="9709" width="7.85546875" style="112" bestFit="1" customWidth="1"/>
    <col min="9710" max="9710" width="9.7109375" style="112" customWidth="1"/>
    <col min="9711" max="9711" width="12.85546875" style="112" customWidth="1"/>
    <col min="9712" max="9948" width="9.140625" style="112"/>
    <col min="9949" max="9949" width="9" style="112" bestFit="1" customWidth="1"/>
    <col min="9950" max="9950" width="9.85546875" style="112" bestFit="1" customWidth="1"/>
    <col min="9951" max="9951" width="9.140625" style="112" bestFit="1" customWidth="1"/>
    <col min="9952" max="9952" width="16" style="112" bestFit="1" customWidth="1"/>
    <col min="9953" max="9953" width="9" style="112" bestFit="1" customWidth="1"/>
    <col min="9954" max="9954" width="7.85546875" style="112" bestFit="1" customWidth="1"/>
    <col min="9955" max="9955" width="11.7109375" style="112" bestFit="1" customWidth="1"/>
    <col min="9956" max="9956" width="14.28515625" style="112" customWidth="1"/>
    <col min="9957" max="9957" width="11.7109375" style="112" bestFit="1" customWidth="1"/>
    <col min="9958" max="9958" width="14.140625" style="112" bestFit="1" customWidth="1"/>
    <col min="9959" max="9959" width="16.7109375" style="112" customWidth="1"/>
    <col min="9960" max="9960" width="16.5703125" style="112" customWidth="1"/>
    <col min="9961" max="9962" width="7.85546875" style="112" bestFit="1" customWidth="1"/>
    <col min="9963" max="9963" width="8" style="112" bestFit="1" customWidth="1"/>
    <col min="9964" max="9965" width="7.85546875" style="112" bestFit="1" customWidth="1"/>
    <col min="9966" max="9966" width="9.7109375" style="112" customWidth="1"/>
    <col min="9967" max="9967" width="12.85546875" style="112" customWidth="1"/>
    <col min="9968" max="10204" width="9.140625" style="112"/>
    <col min="10205" max="10205" width="9" style="112" bestFit="1" customWidth="1"/>
    <col min="10206" max="10206" width="9.85546875" style="112" bestFit="1" customWidth="1"/>
    <col min="10207" max="10207" width="9.140625" style="112" bestFit="1" customWidth="1"/>
    <col min="10208" max="10208" width="16" style="112" bestFit="1" customWidth="1"/>
    <col min="10209" max="10209" width="9" style="112" bestFit="1" customWidth="1"/>
    <col min="10210" max="10210" width="7.85546875" style="112" bestFit="1" customWidth="1"/>
    <col min="10211" max="10211" width="11.7109375" style="112" bestFit="1" customWidth="1"/>
    <col min="10212" max="10212" width="14.28515625" style="112" customWidth="1"/>
    <col min="10213" max="10213" width="11.7109375" style="112" bestFit="1" customWidth="1"/>
    <col min="10214" max="10214" width="14.140625" style="112" bestFit="1" customWidth="1"/>
    <col min="10215" max="10215" width="16.7109375" style="112" customWidth="1"/>
    <col min="10216" max="10216" width="16.5703125" style="112" customWidth="1"/>
    <col min="10217" max="10218" width="7.85546875" style="112" bestFit="1" customWidth="1"/>
    <col min="10219" max="10219" width="8" style="112" bestFit="1" customWidth="1"/>
    <col min="10220" max="10221" width="7.85546875" style="112" bestFit="1" customWidth="1"/>
    <col min="10222" max="10222" width="9.7109375" style="112" customWidth="1"/>
    <col min="10223" max="10223" width="12.85546875" style="112" customWidth="1"/>
    <col min="10224" max="10460" width="9.140625" style="112"/>
    <col min="10461" max="10461" width="9" style="112" bestFit="1" customWidth="1"/>
    <col min="10462" max="10462" width="9.85546875" style="112" bestFit="1" customWidth="1"/>
    <col min="10463" max="10463" width="9.140625" style="112" bestFit="1" customWidth="1"/>
    <col min="10464" max="10464" width="16" style="112" bestFit="1" customWidth="1"/>
    <col min="10465" max="10465" width="9" style="112" bestFit="1" customWidth="1"/>
    <col min="10466" max="10466" width="7.85546875" style="112" bestFit="1" customWidth="1"/>
    <col min="10467" max="10467" width="11.7109375" style="112" bestFit="1" customWidth="1"/>
    <col min="10468" max="10468" width="14.28515625" style="112" customWidth="1"/>
    <col min="10469" max="10469" width="11.7109375" style="112" bestFit="1" customWidth="1"/>
    <col min="10470" max="10470" width="14.140625" style="112" bestFit="1" customWidth="1"/>
    <col min="10471" max="10471" width="16.7109375" style="112" customWidth="1"/>
    <col min="10472" max="10472" width="16.5703125" style="112" customWidth="1"/>
    <col min="10473" max="10474" width="7.85546875" style="112" bestFit="1" customWidth="1"/>
    <col min="10475" max="10475" width="8" style="112" bestFit="1" customWidth="1"/>
    <col min="10476" max="10477" width="7.85546875" style="112" bestFit="1" customWidth="1"/>
    <col min="10478" max="10478" width="9.7109375" style="112" customWidth="1"/>
    <col min="10479" max="10479" width="12.85546875" style="112" customWidth="1"/>
    <col min="10480" max="10716" width="9.140625" style="112"/>
    <col min="10717" max="10717" width="9" style="112" bestFit="1" customWidth="1"/>
    <col min="10718" max="10718" width="9.85546875" style="112" bestFit="1" customWidth="1"/>
    <col min="10719" max="10719" width="9.140625" style="112" bestFit="1" customWidth="1"/>
    <col min="10720" max="10720" width="16" style="112" bestFit="1" customWidth="1"/>
    <col min="10721" max="10721" width="9" style="112" bestFit="1" customWidth="1"/>
    <col min="10722" max="10722" width="7.85546875" style="112" bestFit="1" customWidth="1"/>
    <col min="10723" max="10723" width="11.7109375" style="112" bestFit="1" customWidth="1"/>
    <col min="10724" max="10724" width="14.28515625" style="112" customWidth="1"/>
    <col min="10725" max="10725" width="11.7109375" style="112" bestFit="1" customWidth="1"/>
    <col min="10726" max="10726" width="14.140625" style="112" bestFit="1" customWidth="1"/>
    <col min="10727" max="10727" width="16.7109375" style="112" customWidth="1"/>
    <col min="10728" max="10728" width="16.5703125" style="112" customWidth="1"/>
    <col min="10729" max="10730" width="7.85546875" style="112" bestFit="1" customWidth="1"/>
    <col min="10731" max="10731" width="8" style="112" bestFit="1" customWidth="1"/>
    <col min="10732" max="10733" width="7.85546875" style="112" bestFit="1" customWidth="1"/>
    <col min="10734" max="10734" width="9.7109375" style="112" customWidth="1"/>
    <col min="10735" max="10735" width="12.85546875" style="112" customWidth="1"/>
    <col min="10736" max="10972" width="9.140625" style="112"/>
    <col min="10973" max="10973" width="9" style="112" bestFit="1" customWidth="1"/>
    <col min="10974" max="10974" width="9.85546875" style="112" bestFit="1" customWidth="1"/>
    <col min="10975" max="10975" width="9.140625" style="112" bestFit="1" customWidth="1"/>
    <col min="10976" max="10976" width="16" style="112" bestFit="1" customWidth="1"/>
    <col min="10977" max="10977" width="9" style="112" bestFit="1" customWidth="1"/>
    <col min="10978" max="10978" width="7.85546875" style="112" bestFit="1" customWidth="1"/>
    <col min="10979" max="10979" width="11.7109375" style="112" bestFit="1" customWidth="1"/>
    <col min="10980" max="10980" width="14.28515625" style="112" customWidth="1"/>
    <col min="10981" max="10981" width="11.7109375" style="112" bestFit="1" customWidth="1"/>
    <col min="10982" max="10982" width="14.140625" style="112" bestFit="1" customWidth="1"/>
    <col min="10983" max="10983" width="16.7109375" style="112" customWidth="1"/>
    <col min="10984" max="10984" width="16.5703125" style="112" customWidth="1"/>
    <col min="10985" max="10986" width="7.85546875" style="112" bestFit="1" customWidth="1"/>
    <col min="10987" max="10987" width="8" style="112" bestFit="1" customWidth="1"/>
    <col min="10988" max="10989" width="7.85546875" style="112" bestFit="1" customWidth="1"/>
    <col min="10990" max="10990" width="9.7109375" style="112" customWidth="1"/>
    <col min="10991" max="10991" width="12.85546875" style="112" customWidth="1"/>
    <col min="10992" max="11228" width="9.140625" style="112"/>
    <col min="11229" max="11229" width="9" style="112" bestFit="1" customWidth="1"/>
    <col min="11230" max="11230" width="9.85546875" style="112" bestFit="1" customWidth="1"/>
    <col min="11231" max="11231" width="9.140625" style="112" bestFit="1" customWidth="1"/>
    <col min="11232" max="11232" width="16" style="112" bestFit="1" customWidth="1"/>
    <col min="11233" max="11233" width="9" style="112" bestFit="1" customWidth="1"/>
    <col min="11234" max="11234" width="7.85546875" style="112" bestFit="1" customWidth="1"/>
    <col min="11235" max="11235" width="11.7109375" style="112" bestFit="1" customWidth="1"/>
    <col min="11236" max="11236" width="14.28515625" style="112" customWidth="1"/>
    <col min="11237" max="11237" width="11.7109375" style="112" bestFit="1" customWidth="1"/>
    <col min="11238" max="11238" width="14.140625" style="112" bestFit="1" customWidth="1"/>
    <col min="11239" max="11239" width="16.7109375" style="112" customWidth="1"/>
    <col min="11240" max="11240" width="16.5703125" style="112" customWidth="1"/>
    <col min="11241" max="11242" width="7.85546875" style="112" bestFit="1" customWidth="1"/>
    <col min="11243" max="11243" width="8" style="112" bestFit="1" customWidth="1"/>
    <col min="11244" max="11245" width="7.85546875" style="112" bestFit="1" customWidth="1"/>
    <col min="11246" max="11246" width="9.7109375" style="112" customWidth="1"/>
    <col min="11247" max="11247" width="12.85546875" style="112" customWidth="1"/>
    <col min="11248" max="11484" width="9.140625" style="112"/>
    <col min="11485" max="11485" width="9" style="112" bestFit="1" customWidth="1"/>
    <col min="11486" max="11486" width="9.85546875" style="112" bestFit="1" customWidth="1"/>
    <col min="11487" max="11487" width="9.140625" style="112" bestFit="1" customWidth="1"/>
    <col min="11488" max="11488" width="16" style="112" bestFit="1" customWidth="1"/>
    <col min="11489" max="11489" width="9" style="112" bestFit="1" customWidth="1"/>
    <col min="11490" max="11490" width="7.85546875" style="112" bestFit="1" customWidth="1"/>
    <col min="11491" max="11491" width="11.7109375" style="112" bestFit="1" customWidth="1"/>
    <col min="11492" max="11492" width="14.28515625" style="112" customWidth="1"/>
    <col min="11493" max="11493" width="11.7109375" style="112" bestFit="1" customWidth="1"/>
    <col min="11494" max="11494" width="14.140625" style="112" bestFit="1" customWidth="1"/>
    <col min="11495" max="11495" width="16.7109375" style="112" customWidth="1"/>
    <col min="11496" max="11496" width="16.5703125" style="112" customWidth="1"/>
    <col min="11497" max="11498" width="7.85546875" style="112" bestFit="1" customWidth="1"/>
    <col min="11499" max="11499" width="8" style="112" bestFit="1" customWidth="1"/>
    <col min="11500" max="11501" width="7.85546875" style="112" bestFit="1" customWidth="1"/>
    <col min="11502" max="11502" width="9.7109375" style="112" customWidth="1"/>
    <col min="11503" max="11503" width="12.85546875" style="112" customWidth="1"/>
    <col min="11504" max="11740" width="9.140625" style="112"/>
    <col min="11741" max="11741" width="9" style="112" bestFit="1" customWidth="1"/>
    <col min="11742" max="11742" width="9.85546875" style="112" bestFit="1" customWidth="1"/>
    <col min="11743" max="11743" width="9.140625" style="112" bestFit="1" customWidth="1"/>
    <col min="11744" max="11744" width="16" style="112" bestFit="1" customWidth="1"/>
    <col min="11745" max="11745" width="9" style="112" bestFit="1" customWidth="1"/>
    <col min="11746" max="11746" width="7.85546875" style="112" bestFit="1" customWidth="1"/>
    <col min="11747" max="11747" width="11.7109375" style="112" bestFit="1" customWidth="1"/>
    <col min="11748" max="11748" width="14.28515625" style="112" customWidth="1"/>
    <col min="11749" max="11749" width="11.7109375" style="112" bestFit="1" customWidth="1"/>
    <col min="11750" max="11750" width="14.140625" style="112" bestFit="1" customWidth="1"/>
    <col min="11751" max="11751" width="16.7109375" style="112" customWidth="1"/>
    <col min="11752" max="11752" width="16.5703125" style="112" customWidth="1"/>
    <col min="11753" max="11754" width="7.85546875" style="112" bestFit="1" customWidth="1"/>
    <col min="11755" max="11755" width="8" style="112" bestFit="1" customWidth="1"/>
    <col min="11756" max="11757" width="7.85546875" style="112" bestFit="1" customWidth="1"/>
    <col min="11758" max="11758" width="9.7109375" style="112" customWidth="1"/>
    <col min="11759" max="11759" width="12.85546875" style="112" customWidth="1"/>
    <col min="11760" max="11996" width="9.140625" style="112"/>
    <col min="11997" max="11997" width="9" style="112" bestFit="1" customWidth="1"/>
    <col min="11998" max="11998" width="9.85546875" style="112" bestFit="1" customWidth="1"/>
    <col min="11999" max="11999" width="9.140625" style="112" bestFit="1" customWidth="1"/>
    <col min="12000" max="12000" width="16" style="112" bestFit="1" customWidth="1"/>
    <col min="12001" max="12001" width="9" style="112" bestFit="1" customWidth="1"/>
    <col min="12002" max="12002" width="7.85546875" style="112" bestFit="1" customWidth="1"/>
    <col min="12003" max="12003" width="11.7109375" style="112" bestFit="1" customWidth="1"/>
    <col min="12004" max="12004" width="14.28515625" style="112" customWidth="1"/>
    <col min="12005" max="12005" width="11.7109375" style="112" bestFit="1" customWidth="1"/>
    <col min="12006" max="12006" width="14.140625" style="112" bestFit="1" customWidth="1"/>
    <col min="12007" max="12007" width="16.7109375" style="112" customWidth="1"/>
    <col min="12008" max="12008" width="16.5703125" style="112" customWidth="1"/>
    <col min="12009" max="12010" width="7.85546875" style="112" bestFit="1" customWidth="1"/>
    <col min="12011" max="12011" width="8" style="112" bestFit="1" customWidth="1"/>
    <col min="12012" max="12013" width="7.85546875" style="112" bestFit="1" customWidth="1"/>
    <col min="12014" max="12014" width="9.7109375" style="112" customWidth="1"/>
    <col min="12015" max="12015" width="12.85546875" style="112" customWidth="1"/>
    <col min="12016" max="12252" width="9.140625" style="112"/>
    <col min="12253" max="12253" width="9" style="112" bestFit="1" customWidth="1"/>
    <col min="12254" max="12254" width="9.85546875" style="112" bestFit="1" customWidth="1"/>
    <col min="12255" max="12255" width="9.140625" style="112" bestFit="1" customWidth="1"/>
    <col min="12256" max="12256" width="16" style="112" bestFit="1" customWidth="1"/>
    <col min="12257" max="12257" width="9" style="112" bestFit="1" customWidth="1"/>
    <col min="12258" max="12258" width="7.85546875" style="112" bestFit="1" customWidth="1"/>
    <col min="12259" max="12259" width="11.7109375" style="112" bestFit="1" customWidth="1"/>
    <col min="12260" max="12260" width="14.28515625" style="112" customWidth="1"/>
    <col min="12261" max="12261" width="11.7109375" style="112" bestFit="1" customWidth="1"/>
    <col min="12262" max="12262" width="14.140625" style="112" bestFit="1" customWidth="1"/>
    <col min="12263" max="12263" width="16.7109375" style="112" customWidth="1"/>
    <col min="12264" max="12264" width="16.5703125" style="112" customWidth="1"/>
    <col min="12265" max="12266" width="7.85546875" style="112" bestFit="1" customWidth="1"/>
    <col min="12267" max="12267" width="8" style="112" bestFit="1" customWidth="1"/>
    <col min="12268" max="12269" width="7.85546875" style="112" bestFit="1" customWidth="1"/>
    <col min="12270" max="12270" width="9.7109375" style="112" customWidth="1"/>
    <col min="12271" max="12271" width="12.85546875" style="112" customWidth="1"/>
    <col min="12272" max="12508" width="9.140625" style="112"/>
    <col min="12509" max="12509" width="9" style="112" bestFit="1" customWidth="1"/>
    <col min="12510" max="12510" width="9.85546875" style="112" bestFit="1" customWidth="1"/>
    <col min="12511" max="12511" width="9.140625" style="112" bestFit="1" customWidth="1"/>
    <col min="12512" max="12512" width="16" style="112" bestFit="1" customWidth="1"/>
    <col min="12513" max="12513" width="9" style="112" bestFit="1" customWidth="1"/>
    <col min="12514" max="12514" width="7.85546875" style="112" bestFit="1" customWidth="1"/>
    <col min="12515" max="12515" width="11.7109375" style="112" bestFit="1" customWidth="1"/>
    <col min="12516" max="12516" width="14.28515625" style="112" customWidth="1"/>
    <col min="12517" max="12517" width="11.7109375" style="112" bestFit="1" customWidth="1"/>
    <col min="12518" max="12518" width="14.140625" style="112" bestFit="1" customWidth="1"/>
    <col min="12519" max="12519" width="16.7109375" style="112" customWidth="1"/>
    <col min="12520" max="12520" width="16.5703125" style="112" customWidth="1"/>
    <col min="12521" max="12522" width="7.85546875" style="112" bestFit="1" customWidth="1"/>
    <col min="12523" max="12523" width="8" style="112" bestFit="1" customWidth="1"/>
    <col min="12524" max="12525" width="7.85546875" style="112" bestFit="1" customWidth="1"/>
    <col min="12526" max="12526" width="9.7109375" style="112" customWidth="1"/>
    <col min="12527" max="12527" width="12.85546875" style="112" customWidth="1"/>
    <col min="12528" max="12764" width="9.140625" style="112"/>
    <col min="12765" max="12765" width="9" style="112" bestFit="1" customWidth="1"/>
    <col min="12766" max="12766" width="9.85546875" style="112" bestFit="1" customWidth="1"/>
    <col min="12767" max="12767" width="9.140625" style="112" bestFit="1" customWidth="1"/>
    <col min="12768" max="12768" width="16" style="112" bestFit="1" customWidth="1"/>
    <col min="12769" max="12769" width="9" style="112" bestFit="1" customWidth="1"/>
    <col min="12770" max="12770" width="7.85546875" style="112" bestFit="1" customWidth="1"/>
    <col min="12771" max="12771" width="11.7109375" style="112" bestFit="1" customWidth="1"/>
    <col min="12772" max="12772" width="14.28515625" style="112" customWidth="1"/>
    <col min="12773" max="12773" width="11.7109375" style="112" bestFit="1" customWidth="1"/>
    <col min="12774" max="12774" width="14.140625" style="112" bestFit="1" customWidth="1"/>
    <col min="12775" max="12775" width="16.7109375" style="112" customWidth="1"/>
    <col min="12776" max="12776" width="16.5703125" style="112" customWidth="1"/>
    <col min="12777" max="12778" width="7.85546875" style="112" bestFit="1" customWidth="1"/>
    <col min="12779" max="12779" width="8" style="112" bestFit="1" customWidth="1"/>
    <col min="12780" max="12781" width="7.85546875" style="112" bestFit="1" customWidth="1"/>
    <col min="12782" max="12782" width="9.7109375" style="112" customWidth="1"/>
    <col min="12783" max="12783" width="12.85546875" style="112" customWidth="1"/>
    <col min="12784" max="13020" width="9.140625" style="112"/>
    <col min="13021" max="13021" width="9" style="112" bestFit="1" customWidth="1"/>
    <col min="13022" max="13022" width="9.85546875" style="112" bestFit="1" customWidth="1"/>
    <col min="13023" max="13023" width="9.140625" style="112" bestFit="1" customWidth="1"/>
    <col min="13024" max="13024" width="16" style="112" bestFit="1" customWidth="1"/>
    <col min="13025" max="13025" width="9" style="112" bestFit="1" customWidth="1"/>
    <col min="13026" max="13026" width="7.85546875" style="112" bestFit="1" customWidth="1"/>
    <col min="13027" max="13027" width="11.7109375" style="112" bestFit="1" customWidth="1"/>
    <col min="13028" max="13028" width="14.28515625" style="112" customWidth="1"/>
    <col min="13029" max="13029" width="11.7109375" style="112" bestFit="1" customWidth="1"/>
    <col min="13030" max="13030" width="14.140625" style="112" bestFit="1" customWidth="1"/>
    <col min="13031" max="13031" width="16.7109375" style="112" customWidth="1"/>
    <col min="13032" max="13032" width="16.5703125" style="112" customWidth="1"/>
    <col min="13033" max="13034" width="7.85546875" style="112" bestFit="1" customWidth="1"/>
    <col min="13035" max="13035" width="8" style="112" bestFit="1" customWidth="1"/>
    <col min="13036" max="13037" width="7.85546875" style="112" bestFit="1" customWidth="1"/>
    <col min="13038" max="13038" width="9.7109375" style="112" customWidth="1"/>
    <col min="13039" max="13039" width="12.85546875" style="112" customWidth="1"/>
    <col min="13040" max="13276" width="9.140625" style="112"/>
    <col min="13277" max="13277" width="9" style="112" bestFit="1" customWidth="1"/>
    <col min="13278" max="13278" width="9.85546875" style="112" bestFit="1" customWidth="1"/>
    <col min="13279" max="13279" width="9.140625" style="112" bestFit="1" customWidth="1"/>
    <col min="13280" max="13280" width="16" style="112" bestFit="1" customWidth="1"/>
    <col min="13281" max="13281" width="9" style="112" bestFit="1" customWidth="1"/>
    <col min="13282" max="13282" width="7.85546875" style="112" bestFit="1" customWidth="1"/>
    <col min="13283" max="13283" width="11.7109375" style="112" bestFit="1" customWidth="1"/>
    <col min="13284" max="13284" width="14.28515625" style="112" customWidth="1"/>
    <col min="13285" max="13285" width="11.7109375" style="112" bestFit="1" customWidth="1"/>
    <col min="13286" max="13286" width="14.140625" style="112" bestFit="1" customWidth="1"/>
    <col min="13287" max="13287" width="16.7109375" style="112" customWidth="1"/>
    <col min="13288" max="13288" width="16.5703125" style="112" customWidth="1"/>
    <col min="13289" max="13290" width="7.85546875" style="112" bestFit="1" customWidth="1"/>
    <col min="13291" max="13291" width="8" style="112" bestFit="1" customWidth="1"/>
    <col min="13292" max="13293" width="7.85546875" style="112" bestFit="1" customWidth="1"/>
    <col min="13294" max="13294" width="9.7109375" style="112" customWidth="1"/>
    <col min="13295" max="13295" width="12.85546875" style="112" customWidth="1"/>
    <col min="13296" max="13532" width="9.140625" style="112"/>
    <col min="13533" max="13533" width="9" style="112" bestFit="1" customWidth="1"/>
    <col min="13534" max="13534" width="9.85546875" style="112" bestFit="1" customWidth="1"/>
    <col min="13535" max="13535" width="9.140625" style="112" bestFit="1" customWidth="1"/>
    <col min="13536" max="13536" width="16" style="112" bestFit="1" customWidth="1"/>
    <col min="13537" max="13537" width="9" style="112" bestFit="1" customWidth="1"/>
    <col min="13538" max="13538" width="7.85546875" style="112" bestFit="1" customWidth="1"/>
    <col min="13539" max="13539" width="11.7109375" style="112" bestFit="1" customWidth="1"/>
    <col min="13540" max="13540" width="14.28515625" style="112" customWidth="1"/>
    <col min="13541" max="13541" width="11.7109375" style="112" bestFit="1" customWidth="1"/>
    <col min="13542" max="13542" width="14.140625" style="112" bestFit="1" customWidth="1"/>
    <col min="13543" max="13543" width="16.7109375" style="112" customWidth="1"/>
    <col min="13544" max="13544" width="16.5703125" style="112" customWidth="1"/>
    <col min="13545" max="13546" width="7.85546875" style="112" bestFit="1" customWidth="1"/>
    <col min="13547" max="13547" width="8" style="112" bestFit="1" customWidth="1"/>
    <col min="13548" max="13549" width="7.85546875" style="112" bestFit="1" customWidth="1"/>
    <col min="13550" max="13550" width="9.7109375" style="112" customWidth="1"/>
    <col min="13551" max="13551" width="12.85546875" style="112" customWidth="1"/>
    <col min="13552" max="13788" width="9.140625" style="112"/>
    <col min="13789" max="13789" width="9" style="112" bestFit="1" customWidth="1"/>
    <col min="13790" max="13790" width="9.85546875" style="112" bestFit="1" customWidth="1"/>
    <col min="13791" max="13791" width="9.140625" style="112" bestFit="1" customWidth="1"/>
    <col min="13792" max="13792" width="16" style="112" bestFit="1" customWidth="1"/>
    <col min="13793" max="13793" width="9" style="112" bestFit="1" customWidth="1"/>
    <col min="13794" max="13794" width="7.85546875" style="112" bestFit="1" customWidth="1"/>
    <col min="13795" max="13795" width="11.7109375" style="112" bestFit="1" customWidth="1"/>
    <col min="13796" max="13796" width="14.28515625" style="112" customWidth="1"/>
    <col min="13797" max="13797" width="11.7109375" style="112" bestFit="1" customWidth="1"/>
    <col min="13798" max="13798" width="14.140625" style="112" bestFit="1" customWidth="1"/>
    <col min="13799" max="13799" width="16.7109375" style="112" customWidth="1"/>
    <col min="13800" max="13800" width="16.5703125" style="112" customWidth="1"/>
    <col min="13801" max="13802" width="7.85546875" style="112" bestFit="1" customWidth="1"/>
    <col min="13803" max="13803" width="8" style="112" bestFit="1" customWidth="1"/>
    <col min="13804" max="13805" width="7.85546875" style="112" bestFit="1" customWidth="1"/>
    <col min="13806" max="13806" width="9.7109375" style="112" customWidth="1"/>
    <col min="13807" max="13807" width="12.85546875" style="112" customWidth="1"/>
    <col min="13808" max="14044" width="9.140625" style="112"/>
    <col min="14045" max="14045" width="9" style="112" bestFit="1" customWidth="1"/>
    <col min="14046" max="14046" width="9.85546875" style="112" bestFit="1" customWidth="1"/>
    <col min="14047" max="14047" width="9.140625" style="112" bestFit="1" customWidth="1"/>
    <col min="14048" max="14048" width="16" style="112" bestFit="1" customWidth="1"/>
    <col min="14049" max="14049" width="9" style="112" bestFit="1" customWidth="1"/>
    <col min="14050" max="14050" width="7.85546875" style="112" bestFit="1" customWidth="1"/>
    <col min="14051" max="14051" width="11.7109375" style="112" bestFit="1" customWidth="1"/>
    <col min="14052" max="14052" width="14.28515625" style="112" customWidth="1"/>
    <col min="14053" max="14053" width="11.7109375" style="112" bestFit="1" customWidth="1"/>
    <col min="14054" max="14054" width="14.140625" style="112" bestFit="1" customWidth="1"/>
    <col min="14055" max="14055" width="16.7109375" style="112" customWidth="1"/>
    <col min="14056" max="14056" width="16.5703125" style="112" customWidth="1"/>
    <col min="14057" max="14058" width="7.85546875" style="112" bestFit="1" customWidth="1"/>
    <col min="14059" max="14059" width="8" style="112" bestFit="1" customWidth="1"/>
    <col min="14060" max="14061" width="7.85546875" style="112" bestFit="1" customWidth="1"/>
    <col min="14062" max="14062" width="9.7109375" style="112" customWidth="1"/>
    <col min="14063" max="14063" width="12.85546875" style="112" customWidth="1"/>
    <col min="14064" max="14300" width="9.140625" style="112"/>
    <col min="14301" max="14301" width="9" style="112" bestFit="1" customWidth="1"/>
    <col min="14302" max="14302" width="9.85546875" style="112" bestFit="1" customWidth="1"/>
    <col min="14303" max="14303" width="9.140625" style="112" bestFit="1" customWidth="1"/>
    <col min="14304" max="14304" width="16" style="112" bestFit="1" customWidth="1"/>
    <col min="14305" max="14305" width="9" style="112" bestFit="1" customWidth="1"/>
    <col min="14306" max="14306" width="7.85546875" style="112" bestFit="1" customWidth="1"/>
    <col min="14307" max="14307" width="11.7109375" style="112" bestFit="1" customWidth="1"/>
    <col min="14308" max="14308" width="14.28515625" style="112" customWidth="1"/>
    <col min="14309" max="14309" width="11.7109375" style="112" bestFit="1" customWidth="1"/>
    <col min="14310" max="14310" width="14.140625" style="112" bestFit="1" customWidth="1"/>
    <col min="14311" max="14311" width="16.7109375" style="112" customWidth="1"/>
    <col min="14312" max="14312" width="16.5703125" style="112" customWidth="1"/>
    <col min="14313" max="14314" width="7.85546875" style="112" bestFit="1" customWidth="1"/>
    <col min="14315" max="14315" width="8" style="112" bestFit="1" customWidth="1"/>
    <col min="14316" max="14317" width="7.85546875" style="112" bestFit="1" customWidth="1"/>
    <col min="14318" max="14318" width="9.7109375" style="112" customWidth="1"/>
    <col min="14319" max="14319" width="12.85546875" style="112" customWidth="1"/>
    <col min="14320" max="14556" width="9.140625" style="112"/>
    <col min="14557" max="14557" width="9" style="112" bestFit="1" customWidth="1"/>
    <col min="14558" max="14558" width="9.85546875" style="112" bestFit="1" customWidth="1"/>
    <col min="14559" max="14559" width="9.140625" style="112" bestFit="1" customWidth="1"/>
    <col min="14560" max="14560" width="16" style="112" bestFit="1" customWidth="1"/>
    <col min="14561" max="14561" width="9" style="112" bestFit="1" customWidth="1"/>
    <col min="14562" max="14562" width="7.85546875" style="112" bestFit="1" customWidth="1"/>
    <col min="14563" max="14563" width="11.7109375" style="112" bestFit="1" customWidth="1"/>
    <col min="14564" max="14564" width="14.28515625" style="112" customWidth="1"/>
    <col min="14565" max="14565" width="11.7109375" style="112" bestFit="1" customWidth="1"/>
    <col min="14566" max="14566" width="14.140625" style="112" bestFit="1" customWidth="1"/>
    <col min="14567" max="14567" width="16.7109375" style="112" customWidth="1"/>
    <col min="14568" max="14568" width="16.5703125" style="112" customWidth="1"/>
    <col min="14569" max="14570" width="7.85546875" style="112" bestFit="1" customWidth="1"/>
    <col min="14571" max="14571" width="8" style="112" bestFit="1" customWidth="1"/>
    <col min="14572" max="14573" width="7.85546875" style="112" bestFit="1" customWidth="1"/>
    <col min="14574" max="14574" width="9.7109375" style="112" customWidth="1"/>
    <col min="14575" max="14575" width="12.85546875" style="112" customWidth="1"/>
    <col min="14576" max="14812" width="9.140625" style="112"/>
    <col min="14813" max="14813" width="9" style="112" bestFit="1" customWidth="1"/>
    <col min="14814" max="14814" width="9.85546875" style="112" bestFit="1" customWidth="1"/>
    <col min="14815" max="14815" width="9.140625" style="112" bestFit="1" customWidth="1"/>
    <col min="14816" max="14816" width="16" style="112" bestFit="1" customWidth="1"/>
    <col min="14817" max="14817" width="9" style="112" bestFit="1" customWidth="1"/>
    <col min="14818" max="14818" width="7.85546875" style="112" bestFit="1" customWidth="1"/>
    <col min="14819" max="14819" width="11.7109375" style="112" bestFit="1" customWidth="1"/>
    <col min="14820" max="14820" width="14.28515625" style="112" customWidth="1"/>
    <col min="14821" max="14821" width="11.7109375" style="112" bestFit="1" customWidth="1"/>
    <col min="14822" max="14822" width="14.140625" style="112" bestFit="1" customWidth="1"/>
    <col min="14823" max="14823" width="16.7109375" style="112" customWidth="1"/>
    <col min="14824" max="14824" width="16.5703125" style="112" customWidth="1"/>
    <col min="14825" max="14826" width="7.85546875" style="112" bestFit="1" customWidth="1"/>
    <col min="14827" max="14827" width="8" style="112" bestFit="1" customWidth="1"/>
    <col min="14828" max="14829" width="7.85546875" style="112" bestFit="1" customWidth="1"/>
    <col min="14830" max="14830" width="9.7109375" style="112" customWidth="1"/>
    <col min="14831" max="14831" width="12.85546875" style="112" customWidth="1"/>
    <col min="14832" max="15068" width="9.140625" style="112"/>
    <col min="15069" max="15069" width="9" style="112" bestFit="1" customWidth="1"/>
    <col min="15070" max="15070" width="9.85546875" style="112" bestFit="1" customWidth="1"/>
    <col min="15071" max="15071" width="9.140625" style="112" bestFit="1" customWidth="1"/>
    <col min="15072" max="15072" width="16" style="112" bestFit="1" customWidth="1"/>
    <col min="15073" max="15073" width="9" style="112" bestFit="1" customWidth="1"/>
    <col min="15074" max="15074" width="7.85546875" style="112" bestFit="1" customWidth="1"/>
    <col min="15075" max="15075" width="11.7109375" style="112" bestFit="1" customWidth="1"/>
    <col min="15076" max="15076" width="14.28515625" style="112" customWidth="1"/>
    <col min="15077" max="15077" width="11.7109375" style="112" bestFit="1" customWidth="1"/>
    <col min="15078" max="15078" width="14.140625" style="112" bestFit="1" customWidth="1"/>
    <col min="15079" max="15079" width="16.7109375" style="112" customWidth="1"/>
    <col min="15080" max="15080" width="16.5703125" style="112" customWidth="1"/>
    <col min="15081" max="15082" width="7.85546875" style="112" bestFit="1" customWidth="1"/>
    <col min="15083" max="15083" width="8" style="112" bestFit="1" customWidth="1"/>
    <col min="15084" max="15085" width="7.85546875" style="112" bestFit="1" customWidth="1"/>
    <col min="15086" max="15086" width="9.7109375" style="112" customWidth="1"/>
    <col min="15087" max="15087" width="12.85546875" style="112" customWidth="1"/>
    <col min="15088" max="15324" width="9.140625" style="112"/>
    <col min="15325" max="15325" width="9" style="112" bestFit="1" customWidth="1"/>
    <col min="15326" max="15326" width="9.85546875" style="112" bestFit="1" customWidth="1"/>
    <col min="15327" max="15327" width="9.140625" style="112" bestFit="1" customWidth="1"/>
    <col min="15328" max="15328" width="16" style="112" bestFit="1" customWidth="1"/>
    <col min="15329" max="15329" width="9" style="112" bestFit="1" customWidth="1"/>
    <col min="15330" max="15330" width="7.85546875" style="112" bestFit="1" customWidth="1"/>
    <col min="15331" max="15331" width="11.7109375" style="112" bestFit="1" customWidth="1"/>
    <col min="15332" max="15332" width="14.28515625" style="112" customWidth="1"/>
    <col min="15333" max="15333" width="11.7109375" style="112" bestFit="1" customWidth="1"/>
    <col min="15334" max="15334" width="14.140625" style="112" bestFit="1" customWidth="1"/>
    <col min="15335" max="15335" width="16.7109375" style="112" customWidth="1"/>
    <col min="15336" max="15336" width="16.5703125" style="112" customWidth="1"/>
    <col min="15337" max="15338" width="7.85546875" style="112" bestFit="1" customWidth="1"/>
    <col min="15339" max="15339" width="8" style="112" bestFit="1" customWidth="1"/>
    <col min="15340" max="15341" width="7.85546875" style="112" bestFit="1" customWidth="1"/>
    <col min="15342" max="15342" width="9.7109375" style="112" customWidth="1"/>
    <col min="15343" max="15343" width="12.85546875" style="112" customWidth="1"/>
    <col min="15344" max="15580" width="9.140625" style="112"/>
    <col min="15581" max="15581" width="9" style="112" bestFit="1" customWidth="1"/>
    <col min="15582" max="15582" width="9.85546875" style="112" bestFit="1" customWidth="1"/>
    <col min="15583" max="15583" width="9.140625" style="112" bestFit="1" customWidth="1"/>
    <col min="15584" max="15584" width="16" style="112" bestFit="1" customWidth="1"/>
    <col min="15585" max="15585" width="9" style="112" bestFit="1" customWidth="1"/>
    <col min="15586" max="15586" width="7.85546875" style="112" bestFit="1" customWidth="1"/>
    <col min="15587" max="15587" width="11.7109375" style="112" bestFit="1" customWidth="1"/>
    <col min="15588" max="15588" width="14.28515625" style="112" customWidth="1"/>
    <col min="15589" max="15589" width="11.7109375" style="112" bestFit="1" customWidth="1"/>
    <col min="15590" max="15590" width="14.140625" style="112" bestFit="1" customWidth="1"/>
    <col min="15591" max="15591" width="16.7109375" style="112" customWidth="1"/>
    <col min="15592" max="15592" width="16.5703125" style="112" customWidth="1"/>
    <col min="15593" max="15594" width="7.85546875" style="112" bestFit="1" customWidth="1"/>
    <col min="15595" max="15595" width="8" style="112" bestFit="1" customWidth="1"/>
    <col min="15596" max="15597" width="7.85546875" style="112" bestFit="1" customWidth="1"/>
    <col min="15598" max="15598" width="9.7109375" style="112" customWidth="1"/>
    <col min="15599" max="15599" width="12.85546875" style="112" customWidth="1"/>
    <col min="15600" max="15836" width="9.140625" style="112"/>
    <col min="15837" max="15837" width="9" style="112" bestFit="1" customWidth="1"/>
    <col min="15838" max="15838" width="9.85546875" style="112" bestFit="1" customWidth="1"/>
    <col min="15839" max="15839" width="9.140625" style="112" bestFit="1" customWidth="1"/>
    <col min="15840" max="15840" width="16" style="112" bestFit="1" customWidth="1"/>
    <col min="15841" max="15841" width="9" style="112" bestFit="1" customWidth="1"/>
    <col min="15842" max="15842" width="7.85546875" style="112" bestFit="1" customWidth="1"/>
    <col min="15843" max="15843" width="11.7109375" style="112" bestFit="1" customWidth="1"/>
    <col min="15844" max="15844" width="14.28515625" style="112" customWidth="1"/>
    <col min="15845" max="15845" width="11.7109375" style="112" bestFit="1" customWidth="1"/>
    <col min="15846" max="15846" width="14.140625" style="112" bestFit="1" customWidth="1"/>
    <col min="15847" max="15847" width="16.7109375" style="112" customWidth="1"/>
    <col min="15848" max="15848" width="16.5703125" style="112" customWidth="1"/>
    <col min="15849" max="15850" width="7.85546875" style="112" bestFit="1" customWidth="1"/>
    <col min="15851" max="15851" width="8" style="112" bestFit="1" customWidth="1"/>
    <col min="15852" max="15853" width="7.85546875" style="112" bestFit="1" customWidth="1"/>
    <col min="15854" max="15854" width="9.7109375" style="112" customWidth="1"/>
    <col min="15855" max="15855" width="12.85546875" style="112" customWidth="1"/>
    <col min="15856" max="16092" width="9.140625" style="112"/>
    <col min="16093" max="16093" width="9" style="112" bestFit="1" customWidth="1"/>
    <col min="16094" max="16094" width="9.85546875" style="112" bestFit="1" customWidth="1"/>
    <col min="16095" max="16095" width="9.140625" style="112" bestFit="1" customWidth="1"/>
    <col min="16096" max="16096" width="16" style="112" bestFit="1" customWidth="1"/>
    <col min="16097" max="16097" width="9" style="112" bestFit="1" customWidth="1"/>
    <col min="16098" max="16098" width="7.85546875" style="112" bestFit="1" customWidth="1"/>
    <col min="16099" max="16099" width="11.7109375" style="112" bestFit="1" customWidth="1"/>
    <col min="16100" max="16100" width="14.28515625" style="112" customWidth="1"/>
    <col min="16101" max="16101" width="11.7109375" style="112" bestFit="1" customWidth="1"/>
    <col min="16102" max="16102" width="14.140625" style="112" bestFit="1" customWidth="1"/>
    <col min="16103" max="16103" width="16.7109375" style="112" customWidth="1"/>
    <col min="16104" max="16104" width="16.5703125" style="112" customWidth="1"/>
    <col min="16105" max="16106" width="7.85546875" style="112" bestFit="1" customWidth="1"/>
    <col min="16107" max="16107" width="8" style="112" bestFit="1" customWidth="1"/>
    <col min="16108" max="16109" width="7.85546875" style="112" bestFit="1" customWidth="1"/>
    <col min="16110" max="16110" width="9.7109375" style="112" customWidth="1"/>
    <col min="16111" max="16111" width="12.85546875" style="112" customWidth="1"/>
    <col min="16112" max="16384" width="9.140625" style="112"/>
  </cols>
  <sheetData>
    <row r="1" spans="1:22" s="121" customFormat="1" ht="15.75" customHeight="1">
      <c r="A1" s="522" t="s">
        <v>1</v>
      </c>
      <c r="B1" s="656" t="s">
        <v>0</v>
      </c>
      <c r="C1" s="658" t="s">
        <v>144</v>
      </c>
      <c r="D1" s="658"/>
      <c r="E1" s="658"/>
      <c r="F1" s="659" t="s">
        <v>29</v>
      </c>
      <c r="G1" s="660"/>
      <c r="H1" s="660"/>
      <c r="I1" s="660"/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1"/>
    </row>
    <row r="2" spans="1:22" ht="16.5" thickBot="1">
      <c r="A2" s="523"/>
      <c r="B2" s="657"/>
      <c r="C2" s="122" t="s">
        <v>23</v>
      </c>
      <c r="D2" s="128" t="s">
        <v>9</v>
      </c>
      <c r="E2" s="135" t="s">
        <v>33</v>
      </c>
      <c r="F2" s="332">
        <v>61</v>
      </c>
      <c r="G2" s="332">
        <v>62</v>
      </c>
      <c r="H2" s="332">
        <v>63</v>
      </c>
      <c r="I2" s="333">
        <v>64</v>
      </c>
      <c r="J2" s="334" t="s">
        <v>446</v>
      </c>
      <c r="K2" s="334" t="s">
        <v>447</v>
      </c>
      <c r="L2" s="334" t="s">
        <v>448</v>
      </c>
      <c r="M2" s="335">
        <v>65</v>
      </c>
      <c r="N2" s="336" t="s">
        <v>449</v>
      </c>
      <c r="O2" s="336" t="s">
        <v>450</v>
      </c>
      <c r="P2" s="336" t="s">
        <v>451</v>
      </c>
      <c r="Q2" s="336" t="s">
        <v>452</v>
      </c>
      <c r="R2" s="336" t="s">
        <v>453</v>
      </c>
      <c r="S2" s="332">
        <v>67</v>
      </c>
      <c r="T2" s="210"/>
      <c r="U2" s="210"/>
      <c r="V2" s="331"/>
    </row>
    <row r="3" spans="1:22" s="165" customFormat="1">
      <c r="A3" s="452">
        <f>'1-συμβολαια'!A3</f>
        <v>2774</v>
      </c>
      <c r="B3" s="444" t="str">
        <f>'1-συμβολαια'!C3</f>
        <v>κατασχέσεως ΑΡΣΗ για δάνειο Β.2'  [1.635.748δρχ = 4.800,44€]</v>
      </c>
      <c r="C3" s="409"/>
      <c r="D3" s="445"/>
      <c r="E3" s="445"/>
      <c r="F3" s="406"/>
      <c r="G3" s="406"/>
      <c r="H3" s="446"/>
      <c r="I3" s="447"/>
      <c r="J3" s="447"/>
      <c r="K3" s="447"/>
      <c r="L3" s="447"/>
      <c r="M3" s="447"/>
      <c r="N3" s="406"/>
      <c r="O3" s="406"/>
      <c r="P3" s="406"/>
      <c r="Q3" s="406"/>
      <c r="R3" s="406"/>
      <c r="S3" s="406"/>
      <c r="T3" s="406"/>
      <c r="U3" s="406"/>
      <c r="V3" s="406"/>
    </row>
    <row r="4" spans="1:22" s="111" customFormat="1">
      <c r="A4" s="114"/>
      <c r="B4" s="123"/>
      <c r="C4" s="132"/>
      <c r="D4" s="285"/>
      <c r="E4" s="285"/>
      <c r="F4" s="115"/>
      <c r="G4" s="115"/>
      <c r="H4" s="167"/>
      <c r="I4" s="214"/>
      <c r="J4" s="214"/>
      <c r="K4" s="214"/>
      <c r="L4" s="214"/>
      <c r="M4" s="214"/>
      <c r="N4" s="115"/>
      <c r="O4" s="115"/>
      <c r="P4" s="115"/>
      <c r="Q4" s="115"/>
      <c r="R4" s="115"/>
      <c r="S4" s="115"/>
      <c r="T4" s="115"/>
      <c r="U4" s="115"/>
      <c r="V4" s="115"/>
    </row>
    <row r="5" spans="1:22" s="165" customFormat="1">
      <c r="A5" s="484" t="str">
        <f>'1-συμβολαια'!A5</f>
        <v>2ο</v>
      </c>
      <c r="B5" s="444" t="str">
        <f>'1-συμβολαια'!C5</f>
        <v>δανείου  Β' ΕΞΟΦΛΗΣΗ [= 2.500.000δρχ</v>
      </c>
      <c r="C5" s="409">
        <f>'1-συμβολαια'!L5</f>
        <v>94.736618000000007</v>
      </c>
      <c r="D5" s="445">
        <f>'1-συμβολαια'!N5</f>
        <v>-0.5</v>
      </c>
      <c r="E5" s="445">
        <f t="shared" ref="E5:E15" si="0">C5-D5</f>
        <v>95.236618000000007</v>
      </c>
      <c r="F5" s="406">
        <v>61</v>
      </c>
      <c r="G5" s="406">
        <v>62</v>
      </c>
      <c r="H5" s="446"/>
      <c r="I5" s="447"/>
      <c r="J5" s="447"/>
      <c r="K5" s="447"/>
      <c r="L5" s="447"/>
      <c r="M5" s="447"/>
      <c r="N5" s="406"/>
      <c r="O5" s="406"/>
      <c r="P5" s="406"/>
      <c r="Q5" s="406"/>
      <c r="R5" s="406"/>
      <c r="S5" s="406"/>
      <c r="T5" s="406"/>
      <c r="U5" s="406"/>
      <c r="V5" s="406"/>
    </row>
    <row r="6" spans="1:22" s="165" customFormat="1">
      <c r="A6" s="484">
        <f>'1-συμβολαια'!A6</f>
        <v>0</v>
      </c>
      <c r="B6" s="444" t="str">
        <f>'1-συμβολαια'!C6</f>
        <v>δανείου  Β.2' ΕΞΟΦΛΗΣΗ ΥΠΟΛΟΙΠΟΥ = 1.635.748δρχ</v>
      </c>
      <c r="C6" s="409">
        <f>'1-συμβολαια'!L6</f>
        <v>63.116753999999993</v>
      </c>
      <c r="D6" s="445">
        <f>'1-συμβολαια'!N6</f>
        <v>0</v>
      </c>
      <c r="E6" s="445">
        <f t="shared" si="0"/>
        <v>63.116753999999993</v>
      </c>
      <c r="F6" s="406">
        <v>61</v>
      </c>
      <c r="G6" s="406">
        <v>62</v>
      </c>
      <c r="H6" s="446"/>
      <c r="I6" s="447"/>
      <c r="J6" s="447"/>
      <c r="K6" s="447"/>
      <c r="L6" s="447"/>
      <c r="M6" s="447"/>
      <c r="N6" s="406"/>
      <c r="O6" s="406"/>
      <c r="P6" s="406"/>
      <c r="Q6" s="406"/>
      <c r="R6" s="406"/>
      <c r="S6" s="406"/>
      <c r="T6" s="406"/>
      <c r="U6" s="406"/>
      <c r="V6" s="406"/>
    </row>
    <row r="7" spans="1:22" s="165" customFormat="1">
      <c r="A7" s="484">
        <f>'1-συμβολαια'!A7</f>
        <v>0</v>
      </c>
      <c r="B7" s="444" t="str">
        <f>'1-συμβολαια'!C7</f>
        <v>υποθήκη δανείου Β' …. ΕΞΑΛΕΙΨΗ</v>
      </c>
      <c r="C7" s="409"/>
      <c r="D7" s="445"/>
      <c r="E7" s="445"/>
      <c r="F7" s="406"/>
      <c r="G7" s="406"/>
      <c r="H7" s="446"/>
      <c r="I7" s="447"/>
      <c r="J7" s="447"/>
      <c r="K7" s="447"/>
      <c r="L7" s="447"/>
      <c r="M7" s="447"/>
      <c r="N7" s="406"/>
      <c r="O7" s="406"/>
      <c r="P7" s="406"/>
      <c r="Q7" s="406"/>
      <c r="R7" s="406"/>
      <c r="S7" s="406"/>
      <c r="T7" s="406"/>
      <c r="U7" s="406"/>
      <c r="V7" s="406"/>
    </row>
    <row r="8" spans="1:22" s="165" customFormat="1">
      <c r="A8" s="484">
        <f>'1-συμβολαια'!A8</f>
        <v>0</v>
      </c>
      <c r="B8" s="444" t="str">
        <f>'1-συμβολαια'!C8</f>
        <v>τόκοι δανείου Β' [προυπολογιζόμενοι VS πληρωμένοι]</v>
      </c>
      <c r="C8" s="409">
        <f>'1-συμβολαια'!L8</f>
        <v>257.75515690909094</v>
      </c>
      <c r="D8" s="445">
        <f>'1-συμβολαια'!N8</f>
        <v>0</v>
      </c>
      <c r="E8" s="445">
        <f t="shared" si="0"/>
        <v>257.75515690909094</v>
      </c>
      <c r="F8" s="406">
        <v>61</v>
      </c>
      <c r="G8" s="406">
        <v>62</v>
      </c>
      <c r="H8" s="446"/>
      <c r="I8" s="447"/>
      <c r="J8" s="447"/>
      <c r="K8" s="447"/>
      <c r="L8" s="447"/>
      <c r="M8" s="447"/>
      <c r="N8" s="406"/>
      <c r="O8" s="406"/>
      <c r="P8" s="406"/>
      <c r="Q8" s="406"/>
      <c r="R8" s="406"/>
      <c r="S8" s="406"/>
      <c r="T8" s="406"/>
      <c r="U8" s="406"/>
      <c r="V8" s="406"/>
    </row>
    <row r="9" spans="1:22" s="165" customFormat="1">
      <c r="A9" s="484">
        <f>'1-συμβολαια'!A9</f>
        <v>0</v>
      </c>
      <c r="B9" s="444" t="str">
        <f>'1-συμβολαια'!C9</f>
        <v>τόκοι δανείου Β.2' [προυπολογιζόμενοι VS πληρωμένοι]</v>
      </c>
      <c r="C9" s="409">
        <f>'1-συμβολαια'!L9</f>
        <v>15.285588000000001</v>
      </c>
      <c r="D9" s="445">
        <f>'1-συμβολαια'!N9</f>
        <v>0</v>
      </c>
      <c r="E9" s="445">
        <f t="shared" si="0"/>
        <v>15.285588000000001</v>
      </c>
      <c r="F9" s="406">
        <v>61</v>
      </c>
      <c r="G9" s="406">
        <v>62</v>
      </c>
      <c r="H9" s="446"/>
      <c r="I9" s="447"/>
      <c r="J9" s="447"/>
      <c r="K9" s="447"/>
      <c r="L9" s="447"/>
      <c r="M9" s="447"/>
      <c r="N9" s="406"/>
      <c r="O9" s="406"/>
      <c r="P9" s="406"/>
      <c r="Q9" s="406"/>
      <c r="R9" s="406"/>
      <c r="S9" s="406"/>
      <c r="T9" s="406"/>
      <c r="U9" s="406"/>
      <c r="V9" s="406"/>
    </row>
    <row r="10" spans="1:22" s="111" customFormat="1">
      <c r="A10" s="114"/>
      <c r="B10" s="123"/>
      <c r="C10" s="132"/>
      <c r="D10" s="285"/>
      <c r="E10" s="285"/>
      <c r="F10" s="115"/>
      <c r="G10" s="115"/>
      <c r="H10" s="167"/>
      <c r="I10" s="214"/>
      <c r="J10" s="214"/>
      <c r="K10" s="214"/>
      <c r="L10" s="214"/>
      <c r="M10" s="214"/>
      <c r="N10" s="115"/>
      <c r="O10" s="115"/>
      <c r="P10" s="115"/>
      <c r="Q10" s="115"/>
      <c r="R10" s="115"/>
      <c r="S10" s="115"/>
      <c r="T10" s="115"/>
      <c r="U10" s="115"/>
      <c r="V10" s="115"/>
    </row>
    <row r="11" spans="1:22" s="165" customFormat="1">
      <c r="A11" s="484" t="str">
        <f>'1-συμβολαια'!A11</f>
        <v>3ο</v>
      </c>
      <c r="B11" s="444" t="str">
        <f>'1-συμβολαια'!C11</f>
        <v>δανείου  Α' ΕΞΟΦΛΗΣΗ [= 6.000.000δρχ</v>
      </c>
      <c r="C11" s="409">
        <f>'1-συμβολαια'!L11</f>
        <v>208.18491000000003</v>
      </c>
      <c r="D11" s="445">
        <f>'1-συμβολαια'!N11</f>
        <v>-0.5</v>
      </c>
      <c r="E11" s="445">
        <f t="shared" si="0"/>
        <v>208.68491000000003</v>
      </c>
      <c r="F11" s="406">
        <v>61</v>
      </c>
      <c r="G11" s="406">
        <v>62</v>
      </c>
      <c r="H11" s="446"/>
      <c r="I11" s="447"/>
      <c r="J11" s="447"/>
      <c r="K11" s="447"/>
      <c r="L11" s="447"/>
      <c r="M11" s="447"/>
      <c r="N11" s="406"/>
      <c r="O11" s="406"/>
      <c r="P11" s="406"/>
      <c r="Q11" s="406"/>
      <c r="R11" s="406"/>
      <c r="S11" s="406"/>
      <c r="T11" s="406"/>
      <c r="U11" s="406"/>
      <c r="V11" s="406"/>
    </row>
    <row r="12" spans="1:22" s="165" customFormat="1">
      <c r="A12" s="484">
        <f>'1-συμβολαια'!A12</f>
        <v>0</v>
      </c>
      <c r="B12" s="444" t="str">
        <f>'1-συμβολαια'!C12</f>
        <v xml:space="preserve">δανείου Α.2' ΕΞΟΦΛΗΣΗ ΥΠΟΛΟΙΠΟΥ = 3.119.471δρχ </v>
      </c>
      <c r="C12" s="409">
        <f>'1-συμβολαια'!L12</f>
        <v>107.53041</v>
      </c>
      <c r="D12" s="445">
        <f>'1-συμβολαια'!N12</f>
        <v>0</v>
      </c>
      <c r="E12" s="445">
        <f t="shared" si="0"/>
        <v>107.53041</v>
      </c>
      <c r="F12" s="406">
        <v>61</v>
      </c>
      <c r="G12" s="406">
        <v>62</v>
      </c>
      <c r="H12" s="446"/>
      <c r="I12" s="447"/>
      <c r="J12" s="447"/>
      <c r="K12" s="447"/>
      <c r="L12" s="447"/>
      <c r="M12" s="447"/>
      <c r="N12" s="406"/>
      <c r="O12" s="406"/>
      <c r="P12" s="406"/>
      <c r="Q12" s="406"/>
      <c r="R12" s="406"/>
      <c r="S12" s="406"/>
      <c r="T12" s="406"/>
      <c r="U12" s="406"/>
      <c r="V12" s="406"/>
    </row>
    <row r="13" spans="1:22" s="165" customFormat="1">
      <c r="A13" s="484">
        <f>'1-συμβολαια'!A13</f>
        <v>0</v>
      </c>
      <c r="B13" s="444" t="str">
        <f>'1-συμβολαια'!C13</f>
        <v>υποθήκη δανείου Α' …. ΕΞΑΛΕΙΨΗ</v>
      </c>
      <c r="C13" s="409"/>
      <c r="D13" s="445"/>
      <c r="E13" s="445"/>
      <c r="F13" s="406"/>
      <c r="G13" s="406"/>
      <c r="H13" s="446"/>
      <c r="I13" s="447"/>
      <c r="J13" s="447"/>
      <c r="K13" s="447"/>
      <c r="L13" s="447"/>
      <c r="M13" s="447"/>
      <c r="N13" s="406"/>
      <c r="O13" s="406"/>
      <c r="P13" s="406"/>
      <c r="Q13" s="406"/>
      <c r="R13" s="406"/>
      <c r="S13" s="406"/>
      <c r="T13" s="406"/>
      <c r="U13" s="406"/>
      <c r="V13" s="406"/>
    </row>
    <row r="14" spans="1:22" s="165" customFormat="1">
      <c r="A14" s="484">
        <f>'1-συμβολαια'!A14</f>
        <v>0</v>
      </c>
      <c r="B14" s="444" t="str">
        <f>'1-συμβολαια'!C14</f>
        <v>τόκοι δανείου Α' [προυπολογιζόμενοι VS πληρωμένοι]</v>
      </c>
      <c r="C14" s="409">
        <f>'1-συμβολαια'!L14</f>
        <v>598.79920418181825</v>
      </c>
      <c r="D14" s="445">
        <f>'1-συμβολαια'!N14</f>
        <v>0</v>
      </c>
      <c r="E14" s="445">
        <f t="shared" si="0"/>
        <v>598.79920418181825</v>
      </c>
      <c r="F14" s="406">
        <v>61</v>
      </c>
      <c r="G14" s="406">
        <v>62</v>
      </c>
      <c r="H14" s="446"/>
      <c r="I14" s="447"/>
      <c r="J14" s="447"/>
      <c r="K14" s="447"/>
      <c r="L14" s="447"/>
      <c r="M14" s="447"/>
      <c r="N14" s="406"/>
      <c r="O14" s="406"/>
      <c r="P14" s="406"/>
      <c r="Q14" s="406"/>
      <c r="R14" s="406"/>
      <c r="S14" s="406"/>
      <c r="T14" s="406"/>
      <c r="U14" s="406"/>
      <c r="V14" s="406"/>
    </row>
    <row r="15" spans="1:22" s="165" customFormat="1">
      <c r="A15" s="484">
        <f>'1-συμβολαια'!A15</f>
        <v>0</v>
      </c>
      <c r="B15" s="444" t="str">
        <f>'1-συμβολαια'!C15</f>
        <v>τόκοι δανείου Α.2' [προυπολογιζόμενοι VS πληρωμένοι]</v>
      </c>
      <c r="C15" s="409">
        <f>'1-συμβολαια'!L15</f>
        <v>15.285588000000001</v>
      </c>
      <c r="D15" s="445">
        <f>'1-συμβολαια'!N15</f>
        <v>0</v>
      </c>
      <c r="E15" s="445">
        <f t="shared" si="0"/>
        <v>15.285588000000001</v>
      </c>
      <c r="F15" s="406">
        <v>61</v>
      </c>
      <c r="G15" s="406">
        <v>62</v>
      </c>
      <c r="H15" s="446"/>
      <c r="I15" s="447"/>
      <c r="J15" s="447"/>
      <c r="K15" s="447"/>
      <c r="L15" s="447"/>
      <c r="M15" s="447"/>
      <c r="N15" s="406"/>
      <c r="O15" s="406"/>
      <c r="P15" s="406"/>
      <c r="Q15" s="406"/>
      <c r="R15" s="406"/>
      <c r="S15" s="406"/>
      <c r="T15" s="406"/>
      <c r="U15" s="406"/>
      <c r="V15" s="406"/>
    </row>
    <row r="16" spans="1:22" ht="15.75">
      <c r="A16" s="538" t="s">
        <v>47</v>
      </c>
      <c r="B16" s="539"/>
      <c r="C16" s="129">
        <f>SUM(C3:C15)</f>
        <v>1360.6942290909092</v>
      </c>
      <c r="D16" s="129">
        <f>SUM(D3:D15)</f>
        <v>-1</v>
      </c>
      <c r="E16" s="129">
        <f>SUM(E3:E15)</f>
        <v>1361.6942290909092</v>
      </c>
      <c r="I16" s="76">
        <f t="shared" ref="I16:T16" si="1">SUM(I3:I15)</f>
        <v>0</v>
      </c>
      <c r="J16" s="76">
        <f t="shared" si="1"/>
        <v>0</v>
      </c>
      <c r="K16" s="76">
        <f t="shared" si="1"/>
        <v>0</v>
      </c>
      <c r="L16" s="76">
        <f t="shared" si="1"/>
        <v>0</v>
      </c>
      <c r="M16" s="76">
        <f t="shared" si="1"/>
        <v>0</v>
      </c>
      <c r="N16" s="76">
        <f t="shared" si="1"/>
        <v>0</v>
      </c>
      <c r="O16" s="76">
        <f t="shared" si="1"/>
        <v>0</v>
      </c>
      <c r="P16" s="76">
        <f t="shared" si="1"/>
        <v>0</v>
      </c>
      <c r="Q16" s="76">
        <f t="shared" si="1"/>
        <v>0</v>
      </c>
      <c r="R16" s="76">
        <f t="shared" si="1"/>
        <v>0</v>
      </c>
      <c r="S16" s="76">
        <f t="shared" si="1"/>
        <v>0</v>
      </c>
      <c r="T16" s="76">
        <f t="shared" si="1"/>
        <v>0</v>
      </c>
    </row>
    <row r="17" spans="3:22"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</row>
    <row r="18" spans="3:22" ht="15.75">
      <c r="F18" s="190" t="s">
        <v>240</v>
      </c>
      <c r="G18" s="153"/>
      <c r="H18" s="337"/>
      <c r="I18" s="337"/>
      <c r="J18" s="337"/>
      <c r="K18" s="337"/>
      <c r="L18" s="337"/>
      <c r="M18" s="337"/>
      <c r="N18" s="337"/>
      <c r="O18" s="337"/>
      <c r="P18" s="337"/>
      <c r="Q18" s="337"/>
      <c r="R18" s="337"/>
      <c r="S18" s="337"/>
      <c r="T18" s="337"/>
      <c r="U18" s="337"/>
      <c r="V18" s="338"/>
    </row>
    <row r="19" spans="3:22" ht="15.75">
      <c r="F19" s="339"/>
      <c r="G19" s="169" t="s">
        <v>241</v>
      </c>
      <c r="H19" s="337"/>
      <c r="I19" s="337"/>
      <c r="J19" s="337"/>
      <c r="K19" s="337"/>
      <c r="L19" s="337"/>
      <c r="M19" s="337"/>
      <c r="N19" s="337"/>
      <c r="O19" s="337"/>
      <c r="P19" s="337"/>
      <c r="Q19" s="337"/>
      <c r="R19" s="337"/>
      <c r="S19" s="337"/>
      <c r="T19" s="337"/>
      <c r="U19" s="337"/>
      <c r="V19" s="338"/>
    </row>
    <row r="20" spans="3:22" ht="15.75">
      <c r="F20" s="338"/>
      <c r="G20" s="338"/>
      <c r="H20" s="190" t="s">
        <v>242</v>
      </c>
      <c r="I20" s="153"/>
      <c r="J20" s="153"/>
      <c r="K20" s="153"/>
      <c r="L20" s="337"/>
      <c r="M20" s="337"/>
      <c r="N20" s="337"/>
      <c r="O20" s="337"/>
      <c r="P20" s="337"/>
      <c r="Q20" s="337"/>
      <c r="R20" s="337"/>
      <c r="S20" s="337"/>
      <c r="T20" s="337"/>
      <c r="U20" s="337"/>
      <c r="V20" s="338"/>
    </row>
    <row r="21" spans="3:22" ht="15.75">
      <c r="F21" s="338"/>
      <c r="G21" s="339"/>
      <c r="H21" s="338"/>
      <c r="I21" s="169" t="s">
        <v>265</v>
      </c>
      <c r="J21" s="169"/>
      <c r="K21" s="169"/>
      <c r="L21" s="340"/>
      <c r="M21" s="340"/>
      <c r="N21" s="340"/>
      <c r="O21" s="340"/>
      <c r="P21" s="340"/>
      <c r="Q21" s="340"/>
      <c r="R21" s="340"/>
      <c r="S21" s="340"/>
      <c r="T21" s="340"/>
      <c r="U21" s="337"/>
      <c r="V21" s="338"/>
    </row>
    <row r="22" spans="3:22" ht="15.75">
      <c r="F22" s="338"/>
      <c r="G22" s="339"/>
      <c r="H22" s="338"/>
      <c r="I22" s="169"/>
      <c r="J22" s="190" t="s">
        <v>454</v>
      </c>
      <c r="K22" s="169"/>
      <c r="L22" s="340"/>
      <c r="M22" s="340"/>
      <c r="N22" s="340"/>
      <c r="O22" s="340"/>
      <c r="P22" s="340"/>
      <c r="Q22" s="340"/>
      <c r="R22" s="340"/>
      <c r="S22" s="340"/>
      <c r="T22" s="340"/>
      <c r="U22" s="337"/>
      <c r="V22" s="338"/>
    </row>
    <row r="23" spans="3:22" ht="15.75">
      <c r="F23" s="338"/>
      <c r="G23" s="339"/>
      <c r="H23" s="338"/>
      <c r="I23" s="169"/>
      <c r="J23" s="169"/>
      <c r="K23" s="169" t="s">
        <v>455</v>
      </c>
      <c r="L23" s="340"/>
      <c r="M23" s="340"/>
      <c r="N23" s="340"/>
      <c r="O23" s="340"/>
      <c r="P23" s="340"/>
      <c r="Q23" s="340"/>
      <c r="R23" s="340"/>
      <c r="S23" s="340"/>
      <c r="T23" s="340"/>
      <c r="U23" s="337"/>
      <c r="V23" s="338"/>
    </row>
    <row r="24" spans="3:22" ht="15.75">
      <c r="F24" s="338"/>
      <c r="G24" s="338"/>
      <c r="H24" s="337"/>
      <c r="I24" s="340"/>
      <c r="J24" s="340"/>
      <c r="K24" s="340"/>
      <c r="L24" s="190" t="s">
        <v>456</v>
      </c>
      <c r="M24" s="340"/>
      <c r="N24" s="340"/>
      <c r="O24" s="340"/>
      <c r="P24" s="340"/>
      <c r="Q24" s="340"/>
      <c r="R24" s="340"/>
      <c r="S24" s="340"/>
      <c r="T24" s="340"/>
      <c r="U24" s="337"/>
      <c r="V24" s="338"/>
    </row>
    <row r="25" spans="3:22" ht="15.75">
      <c r="C25" s="127">
        <f>SUM(C17:C18)</f>
        <v>0</v>
      </c>
      <c r="F25" s="337"/>
      <c r="G25" s="337"/>
      <c r="H25" s="337"/>
      <c r="I25" s="340"/>
      <c r="J25" s="340"/>
      <c r="K25" s="340"/>
      <c r="L25" s="340"/>
      <c r="M25" s="169" t="s">
        <v>266</v>
      </c>
      <c r="N25" s="340"/>
      <c r="O25" s="340"/>
      <c r="P25" s="340"/>
      <c r="Q25" s="340"/>
      <c r="R25" s="340"/>
      <c r="S25" s="340"/>
      <c r="T25" s="340"/>
      <c r="U25" s="337"/>
      <c r="V25" s="338"/>
    </row>
    <row r="26" spans="3:22" ht="15.75">
      <c r="F26" s="338"/>
      <c r="G26" s="338"/>
      <c r="H26" s="337"/>
      <c r="I26" s="340"/>
      <c r="J26" s="340"/>
      <c r="K26" s="340"/>
      <c r="L26" s="340"/>
      <c r="M26" s="340"/>
      <c r="N26" s="190" t="s">
        <v>457</v>
      </c>
      <c r="O26" s="340"/>
      <c r="P26" s="340"/>
      <c r="Q26" s="340"/>
      <c r="R26" s="340"/>
      <c r="S26" s="340"/>
      <c r="T26" s="340"/>
      <c r="U26" s="337"/>
      <c r="V26" s="338"/>
    </row>
    <row r="27" spans="3:22" ht="15.75">
      <c r="F27" s="338"/>
      <c r="G27" s="338"/>
      <c r="H27" s="337"/>
      <c r="I27" s="340"/>
      <c r="J27" s="340"/>
      <c r="K27" s="340"/>
      <c r="L27" s="340"/>
      <c r="M27" s="340"/>
      <c r="N27" s="340"/>
      <c r="O27" s="169" t="s">
        <v>458</v>
      </c>
      <c r="P27" s="340"/>
      <c r="Q27" s="340"/>
      <c r="R27" s="340"/>
      <c r="S27" s="340"/>
      <c r="T27" s="340"/>
      <c r="U27" s="337"/>
      <c r="V27" s="338"/>
    </row>
    <row r="28" spans="3:22" ht="15.75">
      <c r="F28" s="338"/>
      <c r="G28" s="338"/>
      <c r="H28" s="337"/>
      <c r="I28" s="340"/>
      <c r="J28" s="340"/>
      <c r="K28" s="340"/>
      <c r="L28" s="340"/>
      <c r="M28" s="340"/>
      <c r="N28" s="340"/>
      <c r="O28" s="340"/>
      <c r="P28" s="190" t="s">
        <v>267</v>
      </c>
      <c r="Q28" s="340"/>
      <c r="R28" s="340"/>
      <c r="S28" s="340"/>
      <c r="T28" s="340"/>
      <c r="U28" s="337"/>
      <c r="V28" s="338"/>
    </row>
    <row r="29" spans="3:22" ht="15.75">
      <c r="F29" s="338"/>
      <c r="G29" s="338"/>
      <c r="H29" s="337"/>
      <c r="I29" s="340"/>
      <c r="J29" s="340"/>
      <c r="K29" s="340"/>
      <c r="L29" s="340"/>
      <c r="M29" s="340"/>
      <c r="N29" s="340"/>
      <c r="O29" s="340"/>
      <c r="P29" s="340"/>
      <c r="Q29" s="169" t="s">
        <v>268</v>
      </c>
      <c r="R29" s="169"/>
      <c r="S29" s="169"/>
      <c r="T29" s="340"/>
      <c r="U29" s="337"/>
      <c r="V29" s="338"/>
    </row>
    <row r="30" spans="3:22" ht="15.75">
      <c r="F30" s="338"/>
      <c r="G30" s="338"/>
      <c r="H30" s="337"/>
      <c r="I30" s="340"/>
      <c r="J30" s="340"/>
      <c r="K30" s="340"/>
      <c r="L30" s="340"/>
      <c r="M30" s="340"/>
      <c r="N30" s="340"/>
      <c r="O30" s="340"/>
      <c r="P30" s="340"/>
      <c r="Q30" s="340"/>
      <c r="R30" s="190" t="s">
        <v>269</v>
      </c>
      <c r="S30" s="340"/>
      <c r="T30" s="340"/>
      <c r="U30" s="337"/>
      <c r="V30" s="338"/>
    </row>
    <row r="31" spans="3:22" ht="15.75">
      <c r="F31" s="338"/>
      <c r="G31" s="338"/>
      <c r="H31" s="337"/>
      <c r="I31" s="340"/>
      <c r="J31" s="340"/>
      <c r="K31" s="340"/>
      <c r="L31" s="340"/>
      <c r="M31" s="340"/>
      <c r="N31" s="340"/>
      <c r="O31" s="340"/>
      <c r="P31" s="340"/>
      <c r="Q31" s="340"/>
      <c r="R31" s="340"/>
      <c r="S31" s="169" t="s">
        <v>270</v>
      </c>
      <c r="T31" s="340"/>
      <c r="U31" s="337"/>
      <c r="V31" s="338"/>
    </row>
    <row r="32" spans="3:22" ht="15.75">
      <c r="F32" s="338"/>
      <c r="G32" s="338"/>
      <c r="H32" s="337"/>
      <c r="I32" s="340"/>
      <c r="J32" s="340"/>
      <c r="K32" s="340"/>
      <c r="L32" s="340"/>
      <c r="M32" s="340"/>
      <c r="N32" s="340"/>
      <c r="O32" s="340"/>
      <c r="P32" s="340"/>
      <c r="Q32" s="340"/>
      <c r="R32" s="340"/>
      <c r="S32" s="340"/>
      <c r="T32" s="190" t="s">
        <v>459</v>
      </c>
      <c r="U32" s="337"/>
      <c r="V32" s="338"/>
    </row>
    <row r="33" spans="2:22">
      <c r="F33" s="338"/>
      <c r="G33" s="338"/>
      <c r="H33" s="337"/>
      <c r="I33" s="337"/>
      <c r="J33" s="337"/>
      <c r="K33" s="337"/>
      <c r="L33" s="337"/>
      <c r="M33" s="337"/>
      <c r="N33" s="337"/>
      <c r="O33" s="337"/>
      <c r="P33" s="337"/>
      <c r="Q33" s="337"/>
      <c r="R33" s="337"/>
      <c r="S33" s="337"/>
      <c r="T33" s="337"/>
      <c r="U33" s="337"/>
      <c r="V33" s="338"/>
    </row>
    <row r="34" spans="2:22" ht="15.75" customHeight="1">
      <c r="B34" s="266"/>
      <c r="C34" s="374"/>
      <c r="D34" s="376"/>
      <c r="E34" s="375"/>
      <c r="F34" s="375"/>
      <c r="H34" s="147"/>
      <c r="I34" s="147"/>
      <c r="J34" s="147"/>
      <c r="K34" s="147"/>
      <c r="L34" s="147"/>
      <c r="M34" s="147"/>
      <c r="N34" s="147"/>
      <c r="O34" s="147"/>
      <c r="P34" s="147"/>
      <c r="Q34" s="147"/>
      <c r="R34" s="147"/>
      <c r="S34" s="147"/>
      <c r="T34" s="147"/>
      <c r="U34" s="147"/>
    </row>
    <row r="35" spans="2:22" ht="15.75" customHeight="1">
      <c r="B35" s="265"/>
      <c r="C35" s="137"/>
      <c r="D35" s="376"/>
      <c r="E35" s="375"/>
      <c r="F35" s="375"/>
      <c r="H35" s="147"/>
      <c r="I35" s="147"/>
      <c r="J35" s="147"/>
      <c r="K35" s="147"/>
      <c r="L35" s="147"/>
      <c r="M35" s="147"/>
      <c r="N35" s="147"/>
      <c r="O35" s="147"/>
      <c r="P35" s="147"/>
      <c r="Q35" s="147"/>
      <c r="R35" s="147"/>
      <c r="S35" s="147"/>
      <c r="T35" s="147"/>
      <c r="U35" s="147"/>
    </row>
    <row r="36" spans="2:22"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</row>
    <row r="37" spans="2:22">
      <c r="H37" s="147"/>
      <c r="I37" s="147"/>
      <c r="J37" s="147"/>
      <c r="K37" s="147"/>
      <c r="L37" s="147"/>
      <c r="M37" s="147"/>
      <c r="N37" s="147"/>
      <c r="O37" s="147"/>
      <c r="P37" s="147"/>
      <c r="Q37" s="147"/>
      <c r="R37" s="147"/>
      <c r="S37" s="147"/>
      <c r="T37" s="147"/>
      <c r="U37" s="147"/>
    </row>
    <row r="38" spans="2:22">
      <c r="H38" s="147"/>
      <c r="I38" s="147"/>
      <c r="J38" s="147"/>
      <c r="K38" s="147"/>
      <c r="L38" s="147"/>
      <c r="M38" s="147"/>
      <c r="N38" s="147"/>
      <c r="O38" s="147"/>
      <c r="P38" s="147"/>
      <c r="Q38" s="147"/>
      <c r="R38" s="147"/>
      <c r="S38" s="147"/>
      <c r="T38" s="147"/>
      <c r="U38" s="147"/>
    </row>
    <row r="39" spans="2:22">
      <c r="D39" s="376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</row>
    <row r="40" spans="2:22">
      <c r="H40" s="147"/>
      <c r="I40" s="147"/>
      <c r="J40" s="147"/>
      <c r="K40" s="147"/>
      <c r="L40" s="147"/>
      <c r="M40" s="147"/>
      <c r="N40" s="147"/>
      <c r="O40" s="147"/>
      <c r="P40" s="147"/>
      <c r="Q40" s="147"/>
      <c r="R40" s="147"/>
      <c r="S40" s="147"/>
      <c r="T40" s="147"/>
      <c r="U40" s="147"/>
    </row>
    <row r="41" spans="2:22">
      <c r="H41" s="147"/>
      <c r="I41" s="147"/>
      <c r="J41" s="147"/>
      <c r="K41" s="147"/>
      <c r="L41" s="147"/>
      <c r="M41" s="147"/>
      <c r="N41" s="147"/>
      <c r="O41" s="147"/>
      <c r="P41" s="147"/>
      <c r="Q41" s="147"/>
      <c r="R41" s="147"/>
      <c r="S41" s="147"/>
      <c r="T41" s="147"/>
      <c r="U41" s="147"/>
    </row>
    <row r="42" spans="2:22">
      <c r="H42" s="147"/>
      <c r="I42" s="147"/>
      <c r="J42" s="147"/>
      <c r="K42" s="147"/>
      <c r="L42" s="147"/>
      <c r="M42" s="147"/>
      <c r="N42" s="147"/>
      <c r="O42" s="147"/>
      <c r="P42" s="147"/>
      <c r="Q42" s="147"/>
      <c r="R42" s="147"/>
      <c r="S42" s="147"/>
      <c r="T42" s="147"/>
      <c r="U42" s="147"/>
    </row>
    <row r="43" spans="2:22">
      <c r="H43" s="147"/>
      <c r="I43" s="147"/>
      <c r="J43" s="147"/>
      <c r="K43" s="147"/>
      <c r="L43" s="147"/>
      <c r="M43" s="147"/>
      <c r="N43" s="147"/>
      <c r="O43" s="147"/>
      <c r="P43" s="147"/>
      <c r="Q43" s="147"/>
      <c r="R43" s="147"/>
      <c r="S43" s="147"/>
      <c r="T43" s="147"/>
      <c r="U43" s="147"/>
    </row>
    <row r="44" spans="2:22">
      <c r="H44" s="147"/>
      <c r="I44" s="147"/>
      <c r="J44" s="147"/>
      <c r="K44" s="147"/>
      <c r="L44" s="147"/>
      <c r="M44" s="147"/>
      <c r="N44" s="147"/>
      <c r="O44" s="147"/>
      <c r="P44" s="147"/>
      <c r="Q44" s="147"/>
      <c r="R44" s="147"/>
      <c r="S44" s="147"/>
      <c r="T44" s="147"/>
      <c r="U44" s="147"/>
    </row>
    <row r="45" spans="2:22">
      <c r="H45" s="147"/>
      <c r="I45" s="147"/>
      <c r="J45" s="147"/>
      <c r="K45" s="147"/>
      <c r="L45" s="147"/>
      <c r="M45" s="147"/>
      <c r="N45" s="147"/>
      <c r="O45" s="147"/>
      <c r="P45" s="147"/>
      <c r="Q45" s="147"/>
      <c r="R45" s="147"/>
      <c r="S45" s="147"/>
      <c r="T45" s="147"/>
      <c r="U45" s="147"/>
    </row>
  </sheetData>
  <mergeCells count="5">
    <mergeCell ref="A1:A2"/>
    <mergeCell ref="B1:B2"/>
    <mergeCell ref="C1:E1"/>
    <mergeCell ref="A16:B16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42"/>
  <sheetViews>
    <sheetView workbookViewId="0">
      <pane ySplit="2" topLeftCell="A3" activePane="bottomLeft" state="frozen"/>
      <selection pane="bottomLeft" activeCell="A11" sqref="A11:A15"/>
    </sheetView>
  </sheetViews>
  <sheetFormatPr defaultRowHeight="11.25"/>
  <cols>
    <col min="1" max="1" width="7.28515625" style="8" bestFit="1" customWidth="1"/>
    <col min="2" max="2" width="46.5703125" style="175" customWidth="1"/>
    <col min="3" max="4" width="9.42578125" style="2" customWidth="1"/>
    <col min="5" max="5" width="9.42578125" style="90" customWidth="1"/>
    <col min="6" max="6" width="8.140625" style="90" customWidth="1"/>
    <col min="7" max="7" width="10.7109375" style="90" customWidth="1"/>
    <col min="8" max="8" width="9.42578125" style="90" customWidth="1"/>
    <col min="9" max="9" width="7.85546875" style="90" customWidth="1"/>
    <col min="10" max="10" width="7.42578125" style="90" customWidth="1"/>
    <col min="11" max="11" width="6.85546875" style="90" customWidth="1"/>
    <col min="12" max="24" width="7.140625" style="90" customWidth="1"/>
    <col min="25" max="25" width="6.140625" style="90" customWidth="1"/>
    <col min="26" max="26" width="7.140625" style="90" customWidth="1"/>
    <col min="27" max="30" width="6.140625" style="90" customWidth="1"/>
    <col min="31" max="31" width="7.85546875" style="90" customWidth="1"/>
    <col min="32" max="32" width="16.28515625" style="90" customWidth="1"/>
    <col min="33" max="34" width="7.140625" style="90" customWidth="1"/>
    <col min="35" max="35" width="8.140625" style="90" customWidth="1"/>
    <col min="36" max="36" width="7.7109375" style="90" customWidth="1"/>
    <col min="37" max="37" width="7" style="90" customWidth="1"/>
    <col min="38" max="38" width="6.140625" style="90" customWidth="1"/>
    <col min="39" max="43" width="7.85546875" style="90" customWidth="1"/>
    <col min="44" max="44" width="6.140625" style="90" customWidth="1"/>
    <col min="45" max="45" width="6.140625" style="430" customWidth="1"/>
    <col min="46" max="46" width="6.140625" style="90" customWidth="1"/>
    <col min="47" max="48" width="8.28515625" style="90" customWidth="1"/>
    <col min="49" max="52" width="6.140625" style="90" customWidth="1"/>
    <col min="53" max="53" width="8" style="90" customWidth="1"/>
    <col min="54" max="55" width="6.140625" style="90" customWidth="1"/>
    <col min="56" max="56" width="7.42578125" style="90" customWidth="1"/>
    <col min="57" max="57" width="8.5703125" style="90" customWidth="1"/>
    <col min="58" max="64" width="6.140625" style="90" customWidth="1"/>
    <col min="65" max="65" width="6.140625" style="430" customWidth="1"/>
    <col min="66" max="67" width="6.140625" style="90" customWidth="1"/>
    <col min="68" max="68" width="5.5703125" style="90" customWidth="1"/>
    <col min="69" max="75" width="10.5703125" style="90" customWidth="1"/>
    <col min="76" max="77" width="12.42578125" style="90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97" t="s">
        <v>1</v>
      </c>
      <c r="B1" s="672" t="s">
        <v>0</v>
      </c>
      <c r="C1" s="675" t="s">
        <v>93</v>
      </c>
      <c r="D1" s="676"/>
      <c r="E1" s="663" t="s">
        <v>94</v>
      </c>
      <c r="F1" s="663"/>
      <c r="G1" s="663"/>
      <c r="H1" s="664" t="s">
        <v>170</v>
      </c>
      <c r="I1" s="664"/>
      <c r="J1" s="663" t="s">
        <v>174</v>
      </c>
      <c r="K1" s="663"/>
      <c r="L1" s="663"/>
      <c r="M1" s="663"/>
      <c r="N1" s="663"/>
      <c r="O1" s="663"/>
      <c r="P1" s="663"/>
      <c r="Q1" s="663"/>
      <c r="R1" s="663"/>
      <c r="S1" s="663"/>
      <c r="T1" s="663"/>
      <c r="U1" s="663"/>
      <c r="V1" s="663"/>
      <c r="W1" s="663"/>
      <c r="X1" s="663"/>
      <c r="Y1" s="663"/>
      <c r="Z1" s="663"/>
      <c r="AA1" s="663"/>
      <c r="AB1" s="663"/>
      <c r="AC1" s="663"/>
      <c r="AD1" s="663"/>
      <c r="AE1" s="663"/>
      <c r="AF1" s="663"/>
      <c r="AG1" s="674" t="s">
        <v>175</v>
      </c>
      <c r="AH1" s="674"/>
      <c r="AI1" s="674"/>
      <c r="AJ1" s="674"/>
      <c r="AK1" s="674"/>
      <c r="AL1" s="674"/>
      <c r="AM1" s="674"/>
      <c r="AN1" s="674"/>
      <c r="AO1" s="674"/>
      <c r="AP1" s="674"/>
      <c r="AQ1" s="674"/>
      <c r="AR1" s="674"/>
      <c r="AS1" s="674"/>
      <c r="AT1" s="674"/>
      <c r="AU1" s="674"/>
      <c r="AV1" s="665" t="s">
        <v>191</v>
      </c>
      <c r="AW1" s="666"/>
      <c r="AX1" s="666"/>
      <c r="AY1" s="666"/>
      <c r="AZ1" s="666"/>
      <c r="BA1" s="667"/>
      <c r="BB1" s="668" t="s">
        <v>195</v>
      </c>
      <c r="BC1" s="669"/>
      <c r="BD1" s="669"/>
      <c r="BE1" s="670"/>
      <c r="BF1" s="671" t="s">
        <v>183</v>
      </c>
      <c r="BG1" s="671"/>
      <c r="BH1" s="671"/>
      <c r="BI1" s="671"/>
      <c r="BJ1" s="671"/>
      <c r="BK1" s="671"/>
      <c r="BL1" s="671"/>
      <c r="BM1" s="671"/>
      <c r="BN1" s="671"/>
      <c r="BO1" s="671"/>
      <c r="BP1" s="671"/>
      <c r="BQ1" s="671"/>
      <c r="BR1" s="677" t="s">
        <v>512</v>
      </c>
      <c r="BS1" s="678"/>
      <c r="BT1" s="678"/>
      <c r="BU1" s="678"/>
      <c r="BV1" s="678"/>
      <c r="BW1" s="679"/>
      <c r="BX1" s="662" t="s">
        <v>291</v>
      </c>
      <c r="BY1" s="662"/>
      <c r="BZ1" s="662"/>
    </row>
    <row r="2" spans="1:78" ht="23.25" thickBot="1">
      <c r="A2" s="498"/>
      <c r="B2" s="673"/>
      <c r="C2" s="197"/>
      <c r="D2" s="220" t="s">
        <v>91</v>
      </c>
      <c r="E2" s="178"/>
      <c r="F2" s="221" t="s">
        <v>91</v>
      </c>
      <c r="G2" s="177" t="s">
        <v>169</v>
      </c>
      <c r="H2" s="178"/>
      <c r="I2" s="249" t="s">
        <v>91</v>
      </c>
      <c r="J2" s="178" t="s">
        <v>243</v>
      </c>
      <c r="K2" s="178" t="s">
        <v>244</v>
      </c>
      <c r="L2" s="178" t="s">
        <v>245</v>
      </c>
      <c r="M2" s="178" t="s">
        <v>246</v>
      </c>
      <c r="N2" s="178" t="s">
        <v>247</v>
      </c>
      <c r="O2" s="178" t="s">
        <v>477</v>
      </c>
      <c r="P2" s="178" t="s">
        <v>499</v>
      </c>
      <c r="Q2" s="178" t="s">
        <v>503</v>
      </c>
      <c r="R2" s="178" t="s">
        <v>248</v>
      </c>
      <c r="S2" s="178" t="s">
        <v>442</v>
      </c>
      <c r="T2" s="178" t="s">
        <v>443</v>
      </c>
      <c r="U2" s="178" t="s">
        <v>471</v>
      </c>
      <c r="V2" s="178" t="s">
        <v>480</v>
      </c>
      <c r="W2" s="178" t="s">
        <v>249</v>
      </c>
      <c r="X2" s="178" t="s">
        <v>250</v>
      </c>
      <c r="Y2" s="178" t="s">
        <v>251</v>
      </c>
      <c r="Z2" s="178" t="s">
        <v>285</v>
      </c>
      <c r="AA2" s="178" t="s">
        <v>283</v>
      </c>
      <c r="AB2" s="178" t="s">
        <v>284</v>
      </c>
      <c r="AC2" s="178"/>
      <c r="AD2" s="178"/>
      <c r="AE2" s="178" t="s">
        <v>47</v>
      </c>
      <c r="AF2" s="176" t="s">
        <v>29</v>
      </c>
      <c r="AG2" s="178" t="s">
        <v>176</v>
      </c>
      <c r="AH2" s="178" t="s">
        <v>177</v>
      </c>
      <c r="AI2" s="178" t="s">
        <v>178</v>
      </c>
      <c r="AJ2" s="178" t="s">
        <v>180</v>
      </c>
      <c r="AK2" s="178" t="s">
        <v>181</v>
      </c>
      <c r="AL2" s="178" t="s">
        <v>182</v>
      </c>
      <c r="AM2" s="178" t="s">
        <v>271</v>
      </c>
      <c r="AN2" s="178" t="s">
        <v>272</v>
      </c>
      <c r="AO2" s="178" t="s">
        <v>273</v>
      </c>
      <c r="AP2" s="178" t="s">
        <v>506</v>
      </c>
      <c r="AQ2" s="178" t="s">
        <v>473</v>
      </c>
      <c r="AR2" s="178" t="s">
        <v>474</v>
      </c>
      <c r="AS2" s="178"/>
      <c r="AT2" s="178"/>
      <c r="AU2" s="181" t="s">
        <v>47</v>
      </c>
      <c r="AV2" s="178" t="s">
        <v>188</v>
      </c>
      <c r="AW2" s="178" t="s">
        <v>189</v>
      </c>
      <c r="AX2" s="178" t="s">
        <v>192</v>
      </c>
      <c r="AY2" s="178" t="s">
        <v>190</v>
      </c>
      <c r="AZ2" s="178" t="s">
        <v>194</v>
      </c>
      <c r="BA2" s="176" t="s">
        <v>47</v>
      </c>
      <c r="BB2" s="178" t="s">
        <v>199</v>
      </c>
      <c r="BC2" s="178" t="s">
        <v>200</v>
      </c>
      <c r="BD2" s="178" t="s">
        <v>201</v>
      </c>
      <c r="BE2" s="179" t="s">
        <v>47</v>
      </c>
      <c r="BF2" s="178" t="s">
        <v>210</v>
      </c>
      <c r="BG2" s="178" t="s">
        <v>211</v>
      </c>
      <c r="BH2" s="178" t="s">
        <v>214</v>
      </c>
      <c r="BI2" s="178" t="s">
        <v>219</v>
      </c>
      <c r="BJ2" s="178" t="s">
        <v>220</v>
      </c>
      <c r="BK2" s="178" t="s">
        <v>221</v>
      </c>
      <c r="BL2" s="178" t="s">
        <v>286</v>
      </c>
      <c r="BM2" s="178" t="s">
        <v>287</v>
      </c>
      <c r="BN2" s="178" t="s">
        <v>460</v>
      </c>
      <c r="BO2" s="178" t="s">
        <v>461</v>
      </c>
      <c r="BP2" s="178"/>
      <c r="BQ2" s="176" t="s">
        <v>47</v>
      </c>
      <c r="BR2" s="178"/>
      <c r="BS2" s="178"/>
      <c r="BT2" s="178"/>
      <c r="BU2" s="178"/>
      <c r="BV2" s="178"/>
      <c r="BW2" s="181" t="s">
        <v>513</v>
      </c>
      <c r="BX2" s="197" t="s">
        <v>139</v>
      </c>
      <c r="BY2" s="370" t="s">
        <v>498</v>
      </c>
      <c r="BZ2" s="219" t="s">
        <v>290</v>
      </c>
    </row>
    <row r="3" spans="1:78" s="5" customFormat="1">
      <c r="A3" s="412">
        <f>'1-συμβολαια'!A3</f>
        <v>2774</v>
      </c>
      <c r="B3" s="427" t="str">
        <f>'1-συμβολαια'!C3</f>
        <v>κατασχέσεως ΑΡΣΗ για δάνειο Β.2'  [1.635.748δρχ = 4.800,44€]</v>
      </c>
      <c r="C3" s="417">
        <f>'5-αντίγρ'!AN3</f>
        <v>3.23</v>
      </c>
      <c r="D3" s="417">
        <f>'5-αντίγρ'!AM3</f>
        <v>1.98</v>
      </c>
      <c r="E3" s="369">
        <f>'6-μεταγρ'!P3</f>
        <v>11.74</v>
      </c>
      <c r="F3" s="369">
        <f>'6-μεταγρ'!N3+'6-μεταγρ'!O3</f>
        <v>1.98</v>
      </c>
      <c r="G3" s="369">
        <f>'6-μεταγρ'!Q3</f>
        <v>0</v>
      </c>
      <c r="H3" s="369">
        <f>'7-προςΔΟΥ'!P3</f>
        <v>0</v>
      </c>
      <c r="I3" s="326">
        <f>'7-προςΔΟΥ'!K3</f>
        <v>0</v>
      </c>
      <c r="J3" s="327"/>
      <c r="K3" s="327"/>
      <c r="L3" s="327"/>
      <c r="M3" s="327"/>
      <c r="N3" s="327"/>
      <c r="O3" s="327"/>
      <c r="P3" s="327"/>
      <c r="Q3" s="327"/>
      <c r="R3" s="327"/>
      <c r="S3" s="327"/>
      <c r="T3" s="327"/>
      <c r="U3" s="327"/>
      <c r="V3" s="327"/>
      <c r="W3" s="327"/>
      <c r="X3" s="325"/>
      <c r="Y3" s="325"/>
      <c r="Z3" s="327"/>
      <c r="AA3" s="327"/>
      <c r="AB3" s="325"/>
      <c r="AC3" s="325"/>
      <c r="AD3" s="325"/>
      <c r="AE3" s="327">
        <f t="shared" ref="AE3:AE15" si="0">SUM(J3:AD3)</f>
        <v>0</v>
      </c>
      <c r="AF3" s="325"/>
      <c r="AG3" s="327"/>
      <c r="AH3" s="327"/>
      <c r="AI3" s="327">
        <v>6.46</v>
      </c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5"/>
      <c r="AU3" s="327">
        <f t="shared" ref="AU3:AU15" si="1">SUM(AG3:AT3)</f>
        <v>6.46</v>
      </c>
      <c r="AV3" s="327">
        <v>9.1999999999999993</v>
      </c>
      <c r="AW3" s="325"/>
      <c r="AX3" s="325"/>
      <c r="AY3" s="325"/>
      <c r="AZ3" s="325"/>
      <c r="BA3" s="327">
        <f t="shared" ref="BA3:BA15" si="2">SUM(AV3:AZ3)</f>
        <v>9.1999999999999993</v>
      </c>
      <c r="BB3" s="325"/>
      <c r="BC3" s="325"/>
      <c r="BD3" s="325"/>
      <c r="BE3" s="325">
        <f t="shared" ref="BE3:BE15" si="3">SUM(BB3:BD3)</f>
        <v>0</v>
      </c>
      <c r="BF3" s="325"/>
      <c r="BG3" s="325"/>
      <c r="BH3" s="325"/>
      <c r="BI3" s="325"/>
      <c r="BJ3" s="325"/>
      <c r="BK3" s="325"/>
      <c r="BL3" s="325"/>
      <c r="BM3" s="327"/>
      <c r="BN3" s="327">
        <v>0.3</v>
      </c>
      <c r="BO3" s="327">
        <v>0.3</v>
      </c>
      <c r="BP3" s="321"/>
      <c r="BQ3" s="327">
        <f t="shared" ref="BQ3:BQ15" si="4">SUM(BF3:BP3)</f>
        <v>0.6</v>
      </c>
      <c r="BR3" s="369"/>
      <c r="BS3" s="369"/>
      <c r="BT3" s="369"/>
      <c r="BU3" s="369"/>
      <c r="BV3" s="369"/>
      <c r="BW3" s="369">
        <f t="shared" ref="BW3:BW15" si="5">BR3+BS3+BT3+BU3</f>
        <v>0</v>
      </c>
      <c r="BX3" s="477">
        <f t="shared" ref="BX3:BX15" si="6">C3+G3+H3+AE3-Y3+AU3+BA3+BE3+BQ3-BM3+BW3-BU3</f>
        <v>19.490000000000002</v>
      </c>
      <c r="BY3" s="477">
        <f t="shared" ref="BY3:BY15" si="7">D3+F3+I3+AA3+BV3</f>
        <v>3.96</v>
      </c>
      <c r="BZ3" s="398"/>
    </row>
    <row r="4" spans="1:78" s="19" customFormat="1">
      <c r="A4" s="28"/>
      <c r="B4" s="172"/>
      <c r="C4" s="200"/>
      <c r="D4" s="200"/>
      <c r="E4" s="368"/>
      <c r="F4" s="368"/>
      <c r="G4" s="368"/>
      <c r="H4" s="368"/>
      <c r="I4" s="426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  <c r="W4" s="174"/>
      <c r="X4" s="173"/>
      <c r="Y4" s="173"/>
      <c r="Z4" s="174"/>
      <c r="AA4" s="174"/>
      <c r="AB4" s="173"/>
      <c r="AC4" s="173"/>
      <c r="AD4" s="173"/>
      <c r="AE4" s="174"/>
      <c r="AF4" s="173"/>
      <c r="AG4" s="174"/>
      <c r="AH4" s="174"/>
      <c r="AI4" s="174"/>
      <c r="AJ4" s="174"/>
      <c r="AK4" s="174"/>
      <c r="AL4" s="174"/>
      <c r="AM4" s="174"/>
      <c r="AN4" s="174"/>
      <c r="AO4" s="174"/>
      <c r="AP4" s="174"/>
      <c r="AQ4" s="174"/>
      <c r="AR4" s="174"/>
      <c r="AS4" s="174"/>
      <c r="AT4" s="173"/>
      <c r="AU4" s="174"/>
      <c r="AV4" s="174"/>
      <c r="AW4" s="173"/>
      <c r="AX4" s="173"/>
      <c r="AY4" s="173"/>
      <c r="AZ4" s="173"/>
      <c r="BA4" s="174"/>
      <c r="BB4" s="173"/>
      <c r="BC4" s="173"/>
      <c r="BD4" s="173"/>
      <c r="BE4" s="173"/>
      <c r="BF4" s="173"/>
      <c r="BG4" s="173"/>
      <c r="BH4" s="173"/>
      <c r="BI4" s="173"/>
      <c r="BJ4" s="173"/>
      <c r="BK4" s="173"/>
      <c r="BL4" s="173"/>
      <c r="BM4" s="174"/>
      <c r="BN4" s="174"/>
      <c r="BO4" s="174"/>
      <c r="BP4" s="89"/>
      <c r="BQ4" s="174"/>
      <c r="BR4" s="368"/>
      <c r="BS4" s="368"/>
      <c r="BT4" s="368"/>
      <c r="BU4" s="368"/>
      <c r="BV4" s="368"/>
      <c r="BW4" s="369"/>
      <c r="BX4" s="448"/>
      <c r="BY4" s="448"/>
      <c r="BZ4" s="38"/>
    </row>
    <row r="5" spans="1:78" s="5" customFormat="1">
      <c r="A5" s="483" t="str">
        <f>'1-συμβολαια'!A5</f>
        <v>2ο</v>
      </c>
      <c r="B5" s="427" t="str">
        <f>'1-συμβολαια'!C5</f>
        <v>δανείου  Β' ΕΞΟΦΛΗΣΗ [= 2.500.000δρχ</v>
      </c>
      <c r="C5" s="417">
        <f>'5-αντίγρ'!AN5</f>
        <v>0</v>
      </c>
      <c r="D5" s="417">
        <f>'5-αντίγρ'!AM5</f>
        <v>0</v>
      </c>
      <c r="E5" s="369">
        <f>'6-μεταγρ'!P5</f>
        <v>0</v>
      </c>
      <c r="F5" s="369">
        <f>'6-μεταγρ'!N5+'6-μεταγρ'!O5</f>
        <v>0</v>
      </c>
      <c r="G5" s="369">
        <f>'6-μεταγρ'!Q5</f>
        <v>0</v>
      </c>
      <c r="H5" s="369">
        <f>'7-προςΔΟΥ'!P5</f>
        <v>0</v>
      </c>
      <c r="I5" s="326">
        <f>'7-προςΔΟΥ'!K5</f>
        <v>0</v>
      </c>
      <c r="J5" s="327"/>
      <c r="K5" s="327"/>
      <c r="L5" s="327"/>
      <c r="M5" s="327"/>
      <c r="N5" s="327"/>
      <c r="O5" s="327"/>
      <c r="P5" s="327"/>
      <c r="Q5" s="327"/>
      <c r="R5" s="327"/>
      <c r="S5" s="327"/>
      <c r="T5" s="327"/>
      <c r="U5" s="327"/>
      <c r="V5" s="327"/>
      <c r="W5" s="327"/>
      <c r="X5" s="325"/>
      <c r="Y5" s="325"/>
      <c r="Z5" s="327"/>
      <c r="AA5" s="327"/>
      <c r="AB5" s="325"/>
      <c r="AC5" s="325"/>
      <c r="AD5" s="325"/>
      <c r="AE5" s="327">
        <f t="shared" si="0"/>
        <v>0</v>
      </c>
      <c r="AF5" s="325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5"/>
      <c r="AU5" s="327">
        <f t="shared" si="1"/>
        <v>0</v>
      </c>
      <c r="AV5" s="327"/>
      <c r="AW5" s="325"/>
      <c r="AX5" s="325"/>
      <c r="AY5" s="325"/>
      <c r="AZ5" s="325"/>
      <c r="BA5" s="327">
        <f t="shared" si="2"/>
        <v>0</v>
      </c>
      <c r="BB5" s="325"/>
      <c r="BC5" s="325"/>
      <c r="BD5" s="325"/>
      <c r="BE5" s="325">
        <f t="shared" si="3"/>
        <v>0</v>
      </c>
      <c r="BF5" s="325"/>
      <c r="BG5" s="325"/>
      <c r="BH5" s="325"/>
      <c r="BI5" s="325"/>
      <c r="BJ5" s="325"/>
      <c r="BK5" s="325"/>
      <c r="BL5" s="325"/>
      <c r="BM5" s="327"/>
      <c r="BN5" s="327"/>
      <c r="BO5" s="327"/>
      <c r="BP5" s="321"/>
      <c r="BQ5" s="327">
        <f t="shared" si="4"/>
        <v>0</v>
      </c>
      <c r="BR5" s="369"/>
      <c r="BS5" s="369"/>
      <c r="BT5" s="369"/>
      <c r="BU5" s="369"/>
      <c r="BV5" s="369"/>
      <c r="BW5" s="369">
        <f t="shared" si="5"/>
        <v>0</v>
      </c>
      <c r="BX5" s="477">
        <f t="shared" si="6"/>
        <v>0</v>
      </c>
      <c r="BY5" s="477">
        <f t="shared" si="7"/>
        <v>0</v>
      </c>
      <c r="BZ5" s="398"/>
    </row>
    <row r="6" spans="1:78" s="5" customFormat="1">
      <c r="A6" s="483">
        <f>'1-συμβολαια'!A6</f>
        <v>0</v>
      </c>
      <c r="B6" s="427" t="str">
        <f>'1-συμβολαια'!C6</f>
        <v>δανείου  Β.2' ΕΞΟΦΛΗΣΗ ΥΠΟΛΟΙΠΟΥ = 1.635.748δρχ</v>
      </c>
      <c r="C6" s="417">
        <f>'5-αντίγρ'!AN6</f>
        <v>0</v>
      </c>
      <c r="D6" s="417">
        <f>'5-αντίγρ'!AM6</f>
        <v>0</v>
      </c>
      <c r="E6" s="369">
        <f>'6-μεταγρ'!P6</f>
        <v>0</v>
      </c>
      <c r="F6" s="369">
        <f>'6-μεταγρ'!N6+'6-μεταγρ'!O6</f>
        <v>0</v>
      </c>
      <c r="G6" s="369">
        <f>'6-μεταγρ'!Q6</f>
        <v>0</v>
      </c>
      <c r="H6" s="369">
        <f>'7-προςΔΟΥ'!P6</f>
        <v>0</v>
      </c>
      <c r="I6" s="326">
        <f>'7-προςΔΟΥ'!K6</f>
        <v>0</v>
      </c>
      <c r="J6" s="327"/>
      <c r="K6" s="327"/>
      <c r="L6" s="327"/>
      <c r="M6" s="327"/>
      <c r="N6" s="327"/>
      <c r="O6" s="327"/>
      <c r="P6" s="327"/>
      <c r="Q6" s="327"/>
      <c r="R6" s="327"/>
      <c r="S6" s="327"/>
      <c r="T6" s="327"/>
      <c r="U6" s="327"/>
      <c r="V6" s="327"/>
      <c r="W6" s="327"/>
      <c r="X6" s="325"/>
      <c r="Y6" s="325"/>
      <c r="Z6" s="327"/>
      <c r="AA6" s="327"/>
      <c r="AB6" s="325"/>
      <c r="AC6" s="325"/>
      <c r="AD6" s="325"/>
      <c r="AE6" s="327">
        <f t="shared" si="0"/>
        <v>0</v>
      </c>
      <c r="AF6" s="325"/>
      <c r="AG6" s="327"/>
      <c r="AH6" s="327"/>
      <c r="AI6" s="327"/>
      <c r="AJ6" s="327"/>
      <c r="AK6" s="327"/>
      <c r="AL6" s="327"/>
      <c r="AM6" s="327"/>
      <c r="AN6" s="327"/>
      <c r="AO6" s="327"/>
      <c r="AP6" s="327"/>
      <c r="AQ6" s="327"/>
      <c r="AR6" s="327"/>
      <c r="AS6" s="327"/>
      <c r="AT6" s="325"/>
      <c r="AU6" s="327">
        <f t="shared" si="1"/>
        <v>0</v>
      </c>
      <c r="AV6" s="327"/>
      <c r="AW6" s="325"/>
      <c r="AX6" s="325"/>
      <c r="AY6" s="325"/>
      <c r="AZ6" s="325"/>
      <c r="BA6" s="327">
        <f t="shared" si="2"/>
        <v>0</v>
      </c>
      <c r="BB6" s="325"/>
      <c r="BC6" s="325"/>
      <c r="BD6" s="325"/>
      <c r="BE6" s="325">
        <f t="shared" si="3"/>
        <v>0</v>
      </c>
      <c r="BF6" s="325"/>
      <c r="BG6" s="325"/>
      <c r="BH6" s="325"/>
      <c r="BI6" s="325"/>
      <c r="BJ6" s="325"/>
      <c r="BK6" s="325"/>
      <c r="BL6" s="325"/>
      <c r="BM6" s="327"/>
      <c r="BN6" s="327"/>
      <c r="BO6" s="327"/>
      <c r="BP6" s="321"/>
      <c r="BQ6" s="327">
        <f t="shared" si="4"/>
        <v>0</v>
      </c>
      <c r="BR6" s="369"/>
      <c r="BS6" s="369"/>
      <c r="BT6" s="369"/>
      <c r="BU6" s="369"/>
      <c r="BV6" s="369"/>
      <c r="BW6" s="369">
        <f t="shared" si="5"/>
        <v>0</v>
      </c>
      <c r="BX6" s="477">
        <f t="shared" si="6"/>
        <v>0</v>
      </c>
      <c r="BY6" s="477">
        <f t="shared" si="7"/>
        <v>0</v>
      </c>
      <c r="BZ6" s="398"/>
    </row>
    <row r="7" spans="1:78" s="5" customFormat="1">
      <c r="A7" s="483">
        <f>'1-συμβολαια'!A7</f>
        <v>0</v>
      </c>
      <c r="B7" s="427" t="str">
        <f>'1-συμβολαια'!C7</f>
        <v>υποθήκη δανείου Β' …. ΕΞΑΛΕΙΨΗ</v>
      </c>
      <c r="C7" s="417">
        <f>'5-αντίγρ'!AN7</f>
        <v>3.25</v>
      </c>
      <c r="D7" s="417">
        <f>'5-αντίγρ'!AM7</f>
        <v>1.98</v>
      </c>
      <c r="E7" s="369">
        <f>'6-μεταγρ'!P7</f>
        <v>11.74</v>
      </c>
      <c r="F7" s="369">
        <f>'6-μεταγρ'!N7+'6-μεταγρ'!O7</f>
        <v>1.98</v>
      </c>
      <c r="G7" s="369">
        <f>'6-μεταγρ'!Q7</f>
        <v>0</v>
      </c>
      <c r="H7" s="369">
        <f>'7-προςΔΟΥ'!P7</f>
        <v>0</v>
      </c>
      <c r="I7" s="326">
        <f>'7-προςΔΟΥ'!K7</f>
        <v>0</v>
      </c>
      <c r="J7" s="327"/>
      <c r="K7" s="327"/>
      <c r="L7" s="327"/>
      <c r="M7" s="327"/>
      <c r="N7" s="327"/>
      <c r="O7" s="327"/>
      <c r="P7" s="327"/>
      <c r="Q7" s="327"/>
      <c r="R7" s="327"/>
      <c r="S7" s="327"/>
      <c r="T7" s="327"/>
      <c r="U7" s="327"/>
      <c r="V7" s="327"/>
      <c r="W7" s="327"/>
      <c r="X7" s="325"/>
      <c r="Y7" s="325"/>
      <c r="Z7" s="327"/>
      <c r="AA7" s="327"/>
      <c r="AB7" s="325"/>
      <c r="AC7" s="325"/>
      <c r="AD7" s="325"/>
      <c r="AE7" s="327">
        <f t="shared" si="0"/>
        <v>0</v>
      </c>
      <c r="AF7" s="325"/>
      <c r="AG7" s="327"/>
      <c r="AH7" s="327"/>
      <c r="AI7" s="327">
        <v>6.46</v>
      </c>
      <c r="AJ7" s="327"/>
      <c r="AK7" s="327"/>
      <c r="AL7" s="327"/>
      <c r="AM7" s="327"/>
      <c r="AN7" s="327"/>
      <c r="AO7" s="327"/>
      <c r="AP7" s="327"/>
      <c r="AQ7" s="327"/>
      <c r="AR7" s="327"/>
      <c r="AS7" s="327"/>
      <c r="AT7" s="325"/>
      <c r="AU7" s="327">
        <f t="shared" si="1"/>
        <v>6.46</v>
      </c>
      <c r="AV7" s="327">
        <v>9.1999999999999993</v>
      </c>
      <c r="AW7" s="325"/>
      <c r="AX7" s="325"/>
      <c r="AY7" s="325"/>
      <c r="AZ7" s="325"/>
      <c r="BA7" s="327">
        <f t="shared" si="2"/>
        <v>9.1999999999999993</v>
      </c>
      <c r="BB7" s="325"/>
      <c r="BC7" s="325"/>
      <c r="BD7" s="325"/>
      <c r="BE7" s="325">
        <f t="shared" si="3"/>
        <v>0</v>
      </c>
      <c r="BF7" s="325"/>
      <c r="BG7" s="325"/>
      <c r="BH7" s="325"/>
      <c r="BI7" s="325"/>
      <c r="BJ7" s="325"/>
      <c r="BK7" s="325"/>
      <c r="BL7" s="325"/>
      <c r="BM7" s="327"/>
      <c r="BN7" s="327">
        <v>0.3</v>
      </c>
      <c r="BO7" s="327">
        <v>0.3</v>
      </c>
      <c r="BP7" s="321"/>
      <c r="BQ7" s="327">
        <f t="shared" si="4"/>
        <v>0.6</v>
      </c>
      <c r="BR7" s="369"/>
      <c r="BS7" s="369"/>
      <c r="BT7" s="369"/>
      <c r="BU7" s="369"/>
      <c r="BV7" s="369"/>
      <c r="BW7" s="369">
        <f t="shared" si="5"/>
        <v>0</v>
      </c>
      <c r="BX7" s="477">
        <f t="shared" si="6"/>
        <v>19.510000000000002</v>
      </c>
      <c r="BY7" s="477">
        <f t="shared" si="7"/>
        <v>3.96</v>
      </c>
      <c r="BZ7" s="398"/>
    </row>
    <row r="8" spans="1:78" s="5" customFormat="1">
      <c r="A8" s="483">
        <f>'1-συμβολαια'!A8</f>
        <v>0</v>
      </c>
      <c r="B8" s="427" t="str">
        <f>'1-συμβολαια'!C8</f>
        <v>τόκοι δανείου Β' [προυπολογιζόμενοι VS πληρωμένοι]</v>
      </c>
      <c r="C8" s="417">
        <f>'5-αντίγρ'!AN8</f>
        <v>0</v>
      </c>
      <c r="D8" s="417">
        <f>'5-αντίγρ'!AM8</f>
        <v>0</v>
      </c>
      <c r="E8" s="369">
        <f>'6-μεταγρ'!P8</f>
        <v>0</v>
      </c>
      <c r="F8" s="369">
        <f>'6-μεταγρ'!N8+'6-μεταγρ'!O8</f>
        <v>0</v>
      </c>
      <c r="G8" s="369">
        <f>'6-μεταγρ'!Q8</f>
        <v>0</v>
      </c>
      <c r="H8" s="369">
        <f>'7-προςΔΟΥ'!P8</f>
        <v>0</v>
      </c>
      <c r="I8" s="326">
        <f>'7-προςΔΟΥ'!K8</f>
        <v>0</v>
      </c>
      <c r="J8" s="327"/>
      <c r="K8" s="327"/>
      <c r="L8" s="327"/>
      <c r="M8" s="327"/>
      <c r="N8" s="327"/>
      <c r="O8" s="327"/>
      <c r="P8" s="327"/>
      <c r="Q8" s="327"/>
      <c r="R8" s="327"/>
      <c r="S8" s="327"/>
      <c r="T8" s="327"/>
      <c r="U8" s="327"/>
      <c r="V8" s="327"/>
      <c r="W8" s="327"/>
      <c r="X8" s="325"/>
      <c r="Y8" s="325"/>
      <c r="Z8" s="327"/>
      <c r="AA8" s="327"/>
      <c r="AB8" s="325"/>
      <c r="AC8" s="325"/>
      <c r="AD8" s="325"/>
      <c r="AE8" s="327">
        <f t="shared" si="0"/>
        <v>0</v>
      </c>
      <c r="AF8" s="325"/>
      <c r="AG8" s="327"/>
      <c r="AH8" s="327"/>
      <c r="AI8" s="327"/>
      <c r="AJ8" s="327"/>
      <c r="AK8" s="327"/>
      <c r="AL8" s="327"/>
      <c r="AM8" s="327"/>
      <c r="AN8" s="327"/>
      <c r="AO8" s="327"/>
      <c r="AP8" s="327"/>
      <c r="AQ8" s="327"/>
      <c r="AR8" s="327"/>
      <c r="AS8" s="327"/>
      <c r="AT8" s="325"/>
      <c r="AU8" s="327">
        <f t="shared" si="1"/>
        <v>0</v>
      </c>
      <c r="AV8" s="327"/>
      <c r="AW8" s="325"/>
      <c r="AX8" s="325"/>
      <c r="AY8" s="325"/>
      <c r="AZ8" s="325"/>
      <c r="BA8" s="327">
        <f t="shared" si="2"/>
        <v>0</v>
      </c>
      <c r="BB8" s="325"/>
      <c r="BC8" s="325"/>
      <c r="BD8" s="325"/>
      <c r="BE8" s="325">
        <f t="shared" si="3"/>
        <v>0</v>
      </c>
      <c r="BF8" s="325"/>
      <c r="BG8" s="325"/>
      <c r="BH8" s="325"/>
      <c r="BI8" s="325"/>
      <c r="BJ8" s="325"/>
      <c r="BK8" s="325"/>
      <c r="BL8" s="325"/>
      <c r="BM8" s="327"/>
      <c r="BN8" s="327"/>
      <c r="BO8" s="327"/>
      <c r="BP8" s="321"/>
      <c r="BQ8" s="327">
        <f t="shared" si="4"/>
        <v>0</v>
      </c>
      <c r="BR8" s="369"/>
      <c r="BS8" s="369"/>
      <c r="BT8" s="369"/>
      <c r="BU8" s="369"/>
      <c r="BV8" s="369"/>
      <c r="BW8" s="369">
        <f t="shared" si="5"/>
        <v>0</v>
      </c>
      <c r="BX8" s="477">
        <f t="shared" si="6"/>
        <v>0</v>
      </c>
      <c r="BY8" s="477">
        <f t="shared" si="7"/>
        <v>0</v>
      </c>
      <c r="BZ8" s="398"/>
    </row>
    <row r="9" spans="1:78" s="5" customFormat="1">
      <c r="A9" s="483">
        <f>'1-συμβολαια'!A9</f>
        <v>0</v>
      </c>
      <c r="B9" s="427" t="str">
        <f>'1-συμβολαια'!C9</f>
        <v>τόκοι δανείου Β.2' [προυπολογιζόμενοι VS πληρωμένοι]</v>
      </c>
      <c r="C9" s="417">
        <f>'5-αντίγρ'!AN9</f>
        <v>0</v>
      </c>
      <c r="D9" s="417">
        <f>'5-αντίγρ'!AM9</f>
        <v>0</v>
      </c>
      <c r="E9" s="369">
        <f>'6-μεταγρ'!P9</f>
        <v>0</v>
      </c>
      <c r="F9" s="369">
        <f>'6-μεταγρ'!N9+'6-μεταγρ'!O9</f>
        <v>0</v>
      </c>
      <c r="G9" s="369">
        <f>'6-μεταγρ'!Q9</f>
        <v>0</v>
      </c>
      <c r="H9" s="369">
        <f>'7-προςΔΟΥ'!P9</f>
        <v>0</v>
      </c>
      <c r="I9" s="326">
        <f>'7-προςΔΟΥ'!K9</f>
        <v>0</v>
      </c>
      <c r="J9" s="327"/>
      <c r="K9" s="327"/>
      <c r="L9" s="327"/>
      <c r="M9" s="327"/>
      <c r="N9" s="327"/>
      <c r="O9" s="327"/>
      <c r="P9" s="327"/>
      <c r="Q9" s="327"/>
      <c r="R9" s="327"/>
      <c r="S9" s="327"/>
      <c r="T9" s="327"/>
      <c r="U9" s="327"/>
      <c r="V9" s="327"/>
      <c r="W9" s="327"/>
      <c r="X9" s="325"/>
      <c r="Y9" s="325"/>
      <c r="Z9" s="327"/>
      <c r="AA9" s="327"/>
      <c r="AB9" s="325"/>
      <c r="AC9" s="325"/>
      <c r="AD9" s="325"/>
      <c r="AE9" s="327">
        <f t="shared" si="0"/>
        <v>0</v>
      </c>
      <c r="AF9" s="325"/>
      <c r="AG9" s="327"/>
      <c r="AH9" s="327"/>
      <c r="AI9" s="327"/>
      <c r="AJ9" s="327"/>
      <c r="AK9" s="327"/>
      <c r="AL9" s="327"/>
      <c r="AM9" s="327"/>
      <c r="AN9" s="327"/>
      <c r="AO9" s="327"/>
      <c r="AP9" s="327"/>
      <c r="AQ9" s="327"/>
      <c r="AR9" s="327"/>
      <c r="AS9" s="327"/>
      <c r="AT9" s="325"/>
      <c r="AU9" s="327">
        <f t="shared" si="1"/>
        <v>0</v>
      </c>
      <c r="AV9" s="327"/>
      <c r="AW9" s="325"/>
      <c r="AX9" s="325"/>
      <c r="AY9" s="325"/>
      <c r="AZ9" s="325"/>
      <c r="BA9" s="327">
        <f t="shared" si="2"/>
        <v>0</v>
      </c>
      <c r="BB9" s="325"/>
      <c r="BC9" s="325"/>
      <c r="BD9" s="325"/>
      <c r="BE9" s="325">
        <f t="shared" si="3"/>
        <v>0</v>
      </c>
      <c r="BF9" s="325"/>
      <c r="BG9" s="325"/>
      <c r="BH9" s="325"/>
      <c r="BI9" s="325"/>
      <c r="BJ9" s="325"/>
      <c r="BK9" s="325"/>
      <c r="BL9" s="325"/>
      <c r="BM9" s="327"/>
      <c r="BN9" s="327"/>
      <c r="BO9" s="327"/>
      <c r="BP9" s="321"/>
      <c r="BQ9" s="327">
        <f t="shared" si="4"/>
        <v>0</v>
      </c>
      <c r="BR9" s="369"/>
      <c r="BS9" s="369"/>
      <c r="BT9" s="369"/>
      <c r="BU9" s="369"/>
      <c r="BV9" s="369"/>
      <c r="BW9" s="369">
        <f t="shared" si="5"/>
        <v>0</v>
      </c>
      <c r="BX9" s="477">
        <f t="shared" si="6"/>
        <v>0</v>
      </c>
      <c r="BY9" s="477">
        <f t="shared" si="7"/>
        <v>0</v>
      </c>
      <c r="BZ9" s="398"/>
    </row>
    <row r="10" spans="1:78" s="19" customFormat="1">
      <c r="A10" s="28"/>
      <c r="B10" s="172"/>
      <c r="C10" s="200"/>
      <c r="D10" s="200"/>
      <c r="E10" s="368"/>
      <c r="F10" s="368"/>
      <c r="G10" s="368"/>
      <c r="H10" s="368"/>
      <c r="I10" s="426"/>
      <c r="J10" s="174"/>
      <c r="K10" s="174"/>
      <c r="L10" s="174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3"/>
      <c r="Y10" s="173"/>
      <c r="Z10" s="174"/>
      <c r="AA10" s="174"/>
      <c r="AB10" s="173"/>
      <c r="AC10" s="173"/>
      <c r="AD10" s="173"/>
      <c r="AE10" s="174"/>
      <c r="AF10" s="173"/>
      <c r="AG10" s="174"/>
      <c r="AH10" s="174"/>
      <c r="AI10" s="174"/>
      <c r="AJ10" s="174"/>
      <c r="AK10" s="174"/>
      <c r="AL10" s="174"/>
      <c r="AM10" s="174"/>
      <c r="AN10" s="174"/>
      <c r="AO10" s="174"/>
      <c r="AP10" s="174"/>
      <c r="AQ10" s="174"/>
      <c r="AR10" s="174"/>
      <c r="AS10" s="174"/>
      <c r="AT10" s="173"/>
      <c r="AU10" s="174"/>
      <c r="AV10" s="174"/>
      <c r="AW10" s="173"/>
      <c r="AX10" s="173"/>
      <c r="AY10" s="173"/>
      <c r="AZ10" s="173"/>
      <c r="BA10" s="174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4"/>
      <c r="BN10" s="174"/>
      <c r="BO10" s="174"/>
      <c r="BP10" s="89"/>
      <c r="BQ10" s="174"/>
      <c r="BR10" s="368"/>
      <c r="BS10" s="368"/>
      <c r="BT10" s="368"/>
      <c r="BU10" s="368"/>
      <c r="BV10" s="368"/>
      <c r="BW10" s="369"/>
      <c r="BX10" s="448"/>
      <c r="BY10" s="448"/>
      <c r="BZ10" s="38"/>
    </row>
    <row r="11" spans="1:78" s="5" customFormat="1">
      <c r="A11" s="483" t="str">
        <f>'1-συμβολαια'!A11</f>
        <v>3ο</v>
      </c>
      <c r="B11" s="427" t="str">
        <f>'1-συμβολαια'!C11</f>
        <v>δανείου  Α' ΕΞΟΦΛΗΣΗ [= 6.000.000δρχ</v>
      </c>
      <c r="C11" s="417">
        <f>'5-αντίγρ'!AN11</f>
        <v>0</v>
      </c>
      <c r="D11" s="417">
        <f>'5-αντίγρ'!AM11</f>
        <v>0</v>
      </c>
      <c r="E11" s="369">
        <f>'6-μεταγρ'!P11</f>
        <v>0</v>
      </c>
      <c r="F11" s="369">
        <f>'6-μεταγρ'!N11+'6-μεταγρ'!O11</f>
        <v>0</v>
      </c>
      <c r="G11" s="369">
        <f>'6-μεταγρ'!Q11</f>
        <v>0</v>
      </c>
      <c r="H11" s="369">
        <f>'7-προςΔΟΥ'!P11</f>
        <v>0</v>
      </c>
      <c r="I11" s="326">
        <f>'7-προςΔΟΥ'!K11</f>
        <v>0</v>
      </c>
      <c r="J11" s="327"/>
      <c r="K11" s="327"/>
      <c r="L11" s="327"/>
      <c r="M11" s="327"/>
      <c r="N11" s="327"/>
      <c r="O11" s="327"/>
      <c r="P11" s="327"/>
      <c r="Q11" s="327"/>
      <c r="R11" s="327"/>
      <c r="S11" s="327"/>
      <c r="T11" s="327"/>
      <c r="U11" s="327"/>
      <c r="V11" s="327"/>
      <c r="W11" s="327"/>
      <c r="X11" s="325"/>
      <c r="Y11" s="325"/>
      <c r="Z11" s="327"/>
      <c r="AA11" s="327"/>
      <c r="AB11" s="325"/>
      <c r="AC11" s="325"/>
      <c r="AD11" s="325"/>
      <c r="AE11" s="327">
        <f t="shared" si="0"/>
        <v>0</v>
      </c>
      <c r="AF11" s="325"/>
      <c r="AG11" s="327"/>
      <c r="AH11" s="327"/>
      <c r="AI11" s="327"/>
      <c r="AJ11" s="327"/>
      <c r="AK11" s="327"/>
      <c r="AL11" s="327"/>
      <c r="AM11" s="327"/>
      <c r="AN11" s="327"/>
      <c r="AO11" s="327"/>
      <c r="AP11" s="327"/>
      <c r="AQ11" s="327"/>
      <c r="AR11" s="327"/>
      <c r="AS11" s="327"/>
      <c r="AT11" s="325"/>
      <c r="AU11" s="327">
        <f t="shared" si="1"/>
        <v>0</v>
      </c>
      <c r="AV11" s="327"/>
      <c r="AW11" s="325"/>
      <c r="AX11" s="325"/>
      <c r="AY11" s="325"/>
      <c r="AZ11" s="325"/>
      <c r="BA11" s="327">
        <f t="shared" si="2"/>
        <v>0</v>
      </c>
      <c r="BB11" s="325"/>
      <c r="BC11" s="325"/>
      <c r="BD11" s="325"/>
      <c r="BE11" s="325">
        <f t="shared" si="3"/>
        <v>0</v>
      </c>
      <c r="BF11" s="325"/>
      <c r="BG11" s="325"/>
      <c r="BH11" s="325"/>
      <c r="BI11" s="325"/>
      <c r="BJ11" s="325"/>
      <c r="BK11" s="325"/>
      <c r="BL11" s="325"/>
      <c r="BM11" s="327"/>
      <c r="BN11" s="327"/>
      <c r="BO11" s="327"/>
      <c r="BP11" s="321"/>
      <c r="BQ11" s="327">
        <f t="shared" si="4"/>
        <v>0</v>
      </c>
      <c r="BR11" s="369"/>
      <c r="BS11" s="369"/>
      <c r="BT11" s="369"/>
      <c r="BU11" s="369"/>
      <c r="BV11" s="369"/>
      <c r="BW11" s="369">
        <f t="shared" si="5"/>
        <v>0</v>
      </c>
      <c r="BX11" s="477">
        <f t="shared" si="6"/>
        <v>0</v>
      </c>
      <c r="BY11" s="477">
        <f t="shared" si="7"/>
        <v>0</v>
      </c>
      <c r="BZ11" s="398"/>
    </row>
    <row r="12" spans="1:78" s="5" customFormat="1">
      <c r="A12" s="483">
        <f>'1-συμβολαια'!A12</f>
        <v>0</v>
      </c>
      <c r="B12" s="427" t="str">
        <f>'1-συμβολαια'!C12</f>
        <v xml:space="preserve">δανείου Α.2' ΕΞΟΦΛΗΣΗ ΥΠΟΛΟΙΠΟΥ = 3.119.471δρχ </v>
      </c>
      <c r="C12" s="417">
        <f>'5-αντίγρ'!AN12</f>
        <v>0</v>
      </c>
      <c r="D12" s="417">
        <f>'5-αντίγρ'!AM12</f>
        <v>0</v>
      </c>
      <c r="E12" s="369">
        <f>'6-μεταγρ'!P12</f>
        <v>0</v>
      </c>
      <c r="F12" s="369">
        <f>'6-μεταγρ'!N12+'6-μεταγρ'!O12</f>
        <v>0</v>
      </c>
      <c r="G12" s="369">
        <f>'6-μεταγρ'!Q12</f>
        <v>0</v>
      </c>
      <c r="H12" s="369">
        <f>'7-προςΔΟΥ'!P12</f>
        <v>0</v>
      </c>
      <c r="I12" s="326">
        <f>'7-προςΔΟΥ'!K12</f>
        <v>0</v>
      </c>
      <c r="J12" s="327"/>
      <c r="K12" s="327"/>
      <c r="L12" s="327"/>
      <c r="M12" s="327"/>
      <c r="N12" s="327"/>
      <c r="O12" s="327"/>
      <c r="P12" s="327"/>
      <c r="Q12" s="327"/>
      <c r="R12" s="327"/>
      <c r="S12" s="327"/>
      <c r="T12" s="327"/>
      <c r="U12" s="327"/>
      <c r="V12" s="327"/>
      <c r="W12" s="327"/>
      <c r="X12" s="325"/>
      <c r="Y12" s="325"/>
      <c r="Z12" s="327"/>
      <c r="AA12" s="327"/>
      <c r="AB12" s="325"/>
      <c r="AC12" s="325"/>
      <c r="AD12" s="325"/>
      <c r="AE12" s="327">
        <f t="shared" si="0"/>
        <v>0</v>
      </c>
      <c r="AF12" s="325"/>
      <c r="AG12" s="327"/>
      <c r="AH12" s="327"/>
      <c r="AI12" s="327"/>
      <c r="AJ12" s="327"/>
      <c r="AK12" s="327"/>
      <c r="AL12" s="327"/>
      <c r="AM12" s="327"/>
      <c r="AN12" s="327"/>
      <c r="AO12" s="327"/>
      <c r="AP12" s="327"/>
      <c r="AQ12" s="327"/>
      <c r="AR12" s="327"/>
      <c r="AS12" s="327"/>
      <c r="AT12" s="325"/>
      <c r="AU12" s="327">
        <f t="shared" si="1"/>
        <v>0</v>
      </c>
      <c r="AV12" s="327"/>
      <c r="AW12" s="325"/>
      <c r="AX12" s="325"/>
      <c r="AY12" s="325"/>
      <c r="AZ12" s="325"/>
      <c r="BA12" s="327">
        <f t="shared" si="2"/>
        <v>0</v>
      </c>
      <c r="BB12" s="325"/>
      <c r="BC12" s="325"/>
      <c r="BD12" s="325"/>
      <c r="BE12" s="325">
        <f t="shared" si="3"/>
        <v>0</v>
      </c>
      <c r="BF12" s="325"/>
      <c r="BG12" s="325"/>
      <c r="BH12" s="325"/>
      <c r="BI12" s="325"/>
      <c r="BJ12" s="325"/>
      <c r="BK12" s="325"/>
      <c r="BL12" s="325"/>
      <c r="BM12" s="327"/>
      <c r="BN12" s="327"/>
      <c r="BO12" s="327"/>
      <c r="BP12" s="321"/>
      <c r="BQ12" s="327">
        <f t="shared" si="4"/>
        <v>0</v>
      </c>
      <c r="BR12" s="369"/>
      <c r="BS12" s="369"/>
      <c r="BT12" s="369"/>
      <c r="BU12" s="369"/>
      <c r="BV12" s="369"/>
      <c r="BW12" s="369">
        <f t="shared" si="5"/>
        <v>0</v>
      </c>
      <c r="BX12" s="477">
        <f t="shared" si="6"/>
        <v>0</v>
      </c>
      <c r="BY12" s="477">
        <f t="shared" si="7"/>
        <v>0</v>
      </c>
      <c r="BZ12" s="398"/>
    </row>
    <row r="13" spans="1:78" s="5" customFormat="1">
      <c r="A13" s="483">
        <f>'1-συμβολαια'!A13</f>
        <v>0</v>
      </c>
      <c r="B13" s="427" t="str">
        <f>'1-συμβολαια'!C13</f>
        <v>υποθήκη δανείου Α' …. ΕΞΑΛΕΙΨΗ</v>
      </c>
      <c r="C13" s="417">
        <f>'5-αντίγρ'!AN13</f>
        <v>6.46</v>
      </c>
      <c r="D13" s="417">
        <f>'5-αντίγρ'!AM13</f>
        <v>1.98</v>
      </c>
      <c r="E13" s="369">
        <f>'6-μεταγρ'!P13</f>
        <v>11.74</v>
      </c>
      <c r="F13" s="369">
        <f>'6-μεταγρ'!N13+'6-μεταγρ'!O13</f>
        <v>1.98</v>
      </c>
      <c r="G13" s="369">
        <f>'6-μεταγρ'!Q13</f>
        <v>0</v>
      </c>
      <c r="H13" s="369">
        <f>'7-προςΔΟΥ'!P13</f>
        <v>0</v>
      </c>
      <c r="I13" s="326">
        <f>'7-προςΔΟΥ'!K13</f>
        <v>0</v>
      </c>
      <c r="J13" s="327"/>
      <c r="K13" s="327"/>
      <c r="L13" s="327"/>
      <c r="M13" s="327"/>
      <c r="N13" s="327"/>
      <c r="O13" s="327"/>
      <c r="P13" s="327"/>
      <c r="Q13" s="327"/>
      <c r="R13" s="327"/>
      <c r="S13" s="327"/>
      <c r="T13" s="327"/>
      <c r="U13" s="327"/>
      <c r="V13" s="327"/>
      <c r="W13" s="327"/>
      <c r="X13" s="325"/>
      <c r="Y13" s="325"/>
      <c r="Z13" s="327"/>
      <c r="AA13" s="327"/>
      <c r="AB13" s="325"/>
      <c r="AC13" s="325"/>
      <c r="AD13" s="325"/>
      <c r="AE13" s="327">
        <f t="shared" si="0"/>
        <v>0</v>
      </c>
      <c r="AF13" s="325"/>
      <c r="AG13" s="327"/>
      <c r="AH13" s="327"/>
      <c r="AI13" s="327">
        <v>6.46</v>
      </c>
      <c r="AJ13" s="327"/>
      <c r="AK13" s="327"/>
      <c r="AL13" s="327"/>
      <c r="AM13" s="327"/>
      <c r="AN13" s="327"/>
      <c r="AO13" s="327"/>
      <c r="AP13" s="327"/>
      <c r="AQ13" s="327"/>
      <c r="AR13" s="327"/>
      <c r="AS13" s="327"/>
      <c r="AT13" s="325"/>
      <c r="AU13" s="327">
        <f t="shared" si="1"/>
        <v>6.46</v>
      </c>
      <c r="AV13" s="327">
        <v>9.1999999999999993</v>
      </c>
      <c r="AW13" s="325"/>
      <c r="AX13" s="325"/>
      <c r="AY13" s="325"/>
      <c r="AZ13" s="325"/>
      <c r="BA13" s="327">
        <f t="shared" si="2"/>
        <v>9.1999999999999993</v>
      </c>
      <c r="BB13" s="325"/>
      <c r="BC13" s="325"/>
      <c r="BD13" s="325"/>
      <c r="BE13" s="325">
        <f t="shared" si="3"/>
        <v>0</v>
      </c>
      <c r="BF13" s="325"/>
      <c r="BG13" s="325"/>
      <c r="BH13" s="325"/>
      <c r="BI13" s="325"/>
      <c r="BJ13" s="325"/>
      <c r="BK13" s="325"/>
      <c r="BL13" s="325"/>
      <c r="BM13" s="327"/>
      <c r="BN13" s="327">
        <v>0.3</v>
      </c>
      <c r="BO13" s="327">
        <v>0.3</v>
      </c>
      <c r="BP13" s="321"/>
      <c r="BQ13" s="327">
        <f t="shared" si="4"/>
        <v>0.6</v>
      </c>
      <c r="BR13" s="369"/>
      <c r="BS13" s="369"/>
      <c r="BT13" s="369"/>
      <c r="BU13" s="369"/>
      <c r="BV13" s="369"/>
      <c r="BW13" s="369">
        <f t="shared" si="5"/>
        <v>0</v>
      </c>
      <c r="BX13" s="477">
        <f t="shared" si="6"/>
        <v>22.72</v>
      </c>
      <c r="BY13" s="477">
        <f t="shared" si="7"/>
        <v>3.96</v>
      </c>
      <c r="BZ13" s="398"/>
    </row>
    <row r="14" spans="1:78" s="5" customFormat="1">
      <c r="A14" s="483">
        <f>'1-συμβολαια'!A14</f>
        <v>0</v>
      </c>
      <c r="B14" s="427" t="str">
        <f>'1-συμβολαια'!C14</f>
        <v>τόκοι δανείου Α' [προυπολογιζόμενοι VS πληρωμένοι]</v>
      </c>
      <c r="C14" s="417">
        <f>'5-αντίγρ'!AN14</f>
        <v>0</v>
      </c>
      <c r="D14" s="417">
        <f>'5-αντίγρ'!AM14</f>
        <v>0</v>
      </c>
      <c r="E14" s="369">
        <f>'6-μεταγρ'!P14</f>
        <v>0</v>
      </c>
      <c r="F14" s="369">
        <f>'6-μεταγρ'!N14+'6-μεταγρ'!O14</f>
        <v>0</v>
      </c>
      <c r="G14" s="369">
        <f>'6-μεταγρ'!Q14</f>
        <v>0</v>
      </c>
      <c r="H14" s="369">
        <f>'7-προςΔΟΥ'!P14</f>
        <v>0</v>
      </c>
      <c r="I14" s="326">
        <f>'7-προςΔΟΥ'!K14</f>
        <v>0</v>
      </c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5"/>
      <c r="Y14" s="325"/>
      <c r="Z14" s="327"/>
      <c r="AA14" s="327"/>
      <c r="AB14" s="325"/>
      <c r="AC14" s="325"/>
      <c r="AD14" s="325"/>
      <c r="AE14" s="327">
        <f t="shared" si="0"/>
        <v>0</v>
      </c>
      <c r="AF14" s="325"/>
      <c r="AG14" s="327"/>
      <c r="AH14" s="327"/>
      <c r="AI14" s="327"/>
      <c r="AJ14" s="327"/>
      <c r="AK14" s="327"/>
      <c r="AL14" s="327"/>
      <c r="AM14" s="327"/>
      <c r="AN14" s="327"/>
      <c r="AO14" s="327"/>
      <c r="AP14" s="327"/>
      <c r="AQ14" s="327"/>
      <c r="AR14" s="327"/>
      <c r="AS14" s="327"/>
      <c r="AT14" s="325"/>
      <c r="AU14" s="327">
        <f t="shared" si="1"/>
        <v>0</v>
      </c>
      <c r="AV14" s="327"/>
      <c r="AW14" s="325"/>
      <c r="AX14" s="325"/>
      <c r="AY14" s="325"/>
      <c r="AZ14" s="325"/>
      <c r="BA14" s="327">
        <f t="shared" si="2"/>
        <v>0</v>
      </c>
      <c r="BB14" s="325"/>
      <c r="BC14" s="325"/>
      <c r="BD14" s="325"/>
      <c r="BE14" s="325">
        <f t="shared" si="3"/>
        <v>0</v>
      </c>
      <c r="BF14" s="325"/>
      <c r="BG14" s="325"/>
      <c r="BH14" s="325"/>
      <c r="BI14" s="325"/>
      <c r="BJ14" s="325"/>
      <c r="BK14" s="325"/>
      <c r="BL14" s="325"/>
      <c r="BM14" s="327"/>
      <c r="BN14" s="327"/>
      <c r="BO14" s="327"/>
      <c r="BP14" s="321"/>
      <c r="BQ14" s="327">
        <f t="shared" si="4"/>
        <v>0</v>
      </c>
      <c r="BR14" s="369"/>
      <c r="BS14" s="369"/>
      <c r="BT14" s="369"/>
      <c r="BU14" s="369"/>
      <c r="BV14" s="369"/>
      <c r="BW14" s="369">
        <f t="shared" si="5"/>
        <v>0</v>
      </c>
      <c r="BX14" s="477">
        <f t="shared" si="6"/>
        <v>0</v>
      </c>
      <c r="BY14" s="477">
        <f t="shared" si="7"/>
        <v>0</v>
      </c>
      <c r="BZ14" s="398"/>
    </row>
    <row r="15" spans="1:78" s="5" customFormat="1">
      <c r="A15" s="483">
        <f>'1-συμβολαια'!A15</f>
        <v>0</v>
      </c>
      <c r="B15" s="427" t="str">
        <f>'1-συμβολαια'!C15</f>
        <v>τόκοι δανείου Α.2' [προυπολογιζόμενοι VS πληρωμένοι]</v>
      </c>
      <c r="C15" s="417">
        <f>'5-αντίγρ'!AN15</f>
        <v>0</v>
      </c>
      <c r="D15" s="417">
        <f>'5-αντίγρ'!AM15</f>
        <v>0</v>
      </c>
      <c r="E15" s="369">
        <f>'6-μεταγρ'!P15</f>
        <v>0</v>
      </c>
      <c r="F15" s="369">
        <f>'6-μεταγρ'!N15+'6-μεταγρ'!O15</f>
        <v>0</v>
      </c>
      <c r="G15" s="369">
        <f>'6-μεταγρ'!Q15</f>
        <v>0</v>
      </c>
      <c r="H15" s="369">
        <f>'7-προςΔΟΥ'!P15</f>
        <v>0</v>
      </c>
      <c r="I15" s="326">
        <f>'7-προςΔΟΥ'!K15</f>
        <v>0</v>
      </c>
      <c r="J15" s="327"/>
      <c r="K15" s="327"/>
      <c r="L15" s="327"/>
      <c r="M15" s="327"/>
      <c r="N15" s="327"/>
      <c r="O15" s="327"/>
      <c r="P15" s="327"/>
      <c r="Q15" s="327"/>
      <c r="R15" s="327"/>
      <c r="S15" s="327"/>
      <c r="T15" s="327"/>
      <c r="U15" s="327"/>
      <c r="V15" s="327"/>
      <c r="W15" s="327"/>
      <c r="X15" s="325"/>
      <c r="Y15" s="325"/>
      <c r="Z15" s="327"/>
      <c r="AA15" s="327"/>
      <c r="AB15" s="325"/>
      <c r="AC15" s="325"/>
      <c r="AD15" s="325"/>
      <c r="AE15" s="327">
        <f t="shared" si="0"/>
        <v>0</v>
      </c>
      <c r="AF15" s="325"/>
      <c r="AG15" s="327"/>
      <c r="AH15" s="327"/>
      <c r="AI15" s="327"/>
      <c r="AJ15" s="327"/>
      <c r="AK15" s="327"/>
      <c r="AL15" s="327"/>
      <c r="AM15" s="327"/>
      <c r="AN15" s="327"/>
      <c r="AO15" s="327"/>
      <c r="AP15" s="327"/>
      <c r="AQ15" s="327"/>
      <c r="AR15" s="327"/>
      <c r="AS15" s="327"/>
      <c r="AT15" s="325"/>
      <c r="AU15" s="327">
        <f t="shared" si="1"/>
        <v>0</v>
      </c>
      <c r="AV15" s="327"/>
      <c r="AW15" s="325"/>
      <c r="AX15" s="325"/>
      <c r="AY15" s="325"/>
      <c r="AZ15" s="325"/>
      <c r="BA15" s="327">
        <f t="shared" si="2"/>
        <v>0</v>
      </c>
      <c r="BB15" s="325"/>
      <c r="BC15" s="325"/>
      <c r="BD15" s="325"/>
      <c r="BE15" s="325">
        <f t="shared" si="3"/>
        <v>0</v>
      </c>
      <c r="BF15" s="325"/>
      <c r="BG15" s="325"/>
      <c r="BH15" s="325"/>
      <c r="BI15" s="325"/>
      <c r="BJ15" s="325"/>
      <c r="BK15" s="325"/>
      <c r="BL15" s="325"/>
      <c r="BM15" s="327"/>
      <c r="BN15" s="327"/>
      <c r="BO15" s="327"/>
      <c r="BP15" s="321"/>
      <c r="BQ15" s="327">
        <f t="shared" si="4"/>
        <v>0</v>
      </c>
      <c r="BR15" s="369"/>
      <c r="BS15" s="369"/>
      <c r="BT15" s="369"/>
      <c r="BU15" s="369"/>
      <c r="BV15" s="369"/>
      <c r="BW15" s="369">
        <f t="shared" si="5"/>
        <v>0</v>
      </c>
      <c r="BX15" s="477">
        <f t="shared" si="6"/>
        <v>0</v>
      </c>
      <c r="BY15" s="477">
        <f t="shared" si="7"/>
        <v>0</v>
      </c>
      <c r="BZ15" s="398"/>
    </row>
    <row r="16" spans="1:78">
      <c r="A16" s="495" t="s">
        <v>47</v>
      </c>
      <c r="B16" s="496"/>
      <c r="C16" s="44">
        <f t="shared" ref="C16:AE16" si="8">SUM(C3:C15)</f>
        <v>12.940000000000001</v>
      </c>
      <c r="D16" s="44">
        <f t="shared" si="8"/>
        <v>5.9399999999999995</v>
      </c>
      <c r="E16" s="44">
        <f t="shared" si="8"/>
        <v>35.22</v>
      </c>
      <c r="F16" s="44">
        <f t="shared" si="8"/>
        <v>5.9399999999999995</v>
      </c>
      <c r="G16" s="44">
        <f t="shared" si="8"/>
        <v>0</v>
      </c>
      <c r="H16" s="44">
        <f t="shared" si="8"/>
        <v>0</v>
      </c>
      <c r="I16" s="44">
        <f t="shared" si="8"/>
        <v>0</v>
      </c>
      <c r="J16" s="44">
        <f t="shared" si="8"/>
        <v>0</v>
      </c>
      <c r="K16" s="44">
        <f t="shared" si="8"/>
        <v>0</v>
      </c>
      <c r="L16" s="44">
        <f t="shared" si="8"/>
        <v>0</v>
      </c>
      <c r="M16" s="44">
        <f t="shared" si="8"/>
        <v>0</v>
      </c>
      <c r="N16" s="44">
        <f t="shared" si="8"/>
        <v>0</v>
      </c>
      <c r="O16" s="44">
        <f t="shared" si="8"/>
        <v>0</v>
      </c>
      <c r="P16" s="44">
        <f t="shared" si="8"/>
        <v>0</v>
      </c>
      <c r="Q16" s="44">
        <f t="shared" si="8"/>
        <v>0</v>
      </c>
      <c r="R16" s="44">
        <f t="shared" si="8"/>
        <v>0</v>
      </c>
      <c r="S16" s="44">
        <f t="shared" si="8"/>
        <v>0</v>
      </c>
      <c r="T16" s="44">
        <f t="shared" si="8"/>
        <v>0</v>
      </c>
      <c r="U16" s="44">
        <f t="shared" si="8"/>
        <v>0</v>
      </c>
      <c r="V16" s="44">
        <f t="shared" si="8"/>
        <v>0</v>
      </c>
      <c r="W16" s="44">
        <f t="shared" si="8"/>
        <v>0</v>
      </c>
      <c r="X16" s="44">
        <f t="shared" si="8"/>
        <v>0</v>
      </c>
      <c r="Y16" s="44">
        <f t="shared" si="8"/>
        <v>0</v>
      </c>
      <c r="Z16" s="44">
        <f t="shared" si="8"/>
        <v>0</v>
      </c>
      <c r="AA16" s="44">
        <f t="shared" si="8"/>
        <v>0</v>
      </c>
      <c r="AB16" s="44">
        <f t="shared" si="8"/>
        <v>0</v>
      </c>
      <c r="AC16" s="44">
        <f t="shared" si="8"/>
        <v>0</v>
      </c>
      <c r="AD16" s="44">
        <f t="shared" si="8"/>
        <v>0</v>
      </c>
      <c r="AE16" s="44">
        <f t="shared" si="8"/>
        <v>0</v>
      </c>
      <c r="AF16" s="44"/>
      <c r="AG16" s="44">
        <f t="shared" ref="AG16:AR16" si="9">SUM(AG3:AG15)</f>
        <v>0</v>
      </c>
      <c r="AH16" s="44">
        <f t="shared" si="9"/>
        <v>0</v>
      </c>
      <c r="AI16" s="44">
        <f t="shared" si="9"/>
        <v>19.38</v>
      </c>
      <c r="AJ16" s="44">
        <f t="shared" si="9"/>
        <v>0</v>
      </c>
      <c r="AK16" s="44">
        <f t="shared" si="9"/>
        <v>0</v>
      </c>
      <c r="AL16" s="287">
        <f t="shared" si="9"/>
        <v>0</v>
      </c>
      <c r="AM16" s="44">
        <f t="shared" si="9"/>
        <v>0</v>
      </c>
      <c r="AN16" s="44">
        <f t="shared" si="9"/>
        <v>0</v>
      </c>
      <c r="AO16" s="44">
        <f t="shared" si="9"/>
        <v>0</v>
      </c>
      <c r="AP16" s="44">
        <f t="shared" si="9"/>
        <v>0</v>
      </c>
      <c r="AQ16" s="44">
        <f t="shared" si="9"/>
        <v>0</v>
      </c>
      <c r="AR16" s="44">
        <f t="shared" si="9"/>
        <v>0</v>
      </c>
      <c r="AS16" s="44"/>
      <c r="AT16" s="44">
        <f t="shared" ref="AT16:BM16" si="10">SUM(AT3:AT15)</f>
        <v>0</v>
      </c>
      <c r="AU16" s="44">
        <f t="shared" si="10"/>
        <v>19.38</v>
      </c>
      <c r="AV16" s="44">
        <f t="shared" si="10"/>
        <v>27.599999999999998</v>
      </c>
      <c r="AW16" s="291">
        <f t="shared" si="10"/>
        <v>0</v>
      </c>
      <c r="AX16" s="291">
        <f t="shared" si="10"/>
        <v>0</v>
      </c>
      <c r="AY16" s="291">
        <f t="shared" si="10"/>
        <v>0</v>
      </c>
      <c r="AZ16" s="291">
        <f t="shared" si="10"/>
        <v>0</v>
      </c>
      <c r="BA16" s="44">
        <f t="shared" si="10"/>
        <v>27.599999999999998</v>
      </c>
      <c r="BB16" s="44">
        <f t="shared" si="10"/>
        <v>0</v>
      </c>
      <c r="BC16" s="291">
        <f t="shared" si="10"/>
        <v>0</v>
      </c>
      <c r="BD16" s="44">
        <f t="shared" si="10"/>
        <v>0</v>
      </c>
      <c r="BE16" s="44">
        <f t="shared" si="10"/>
        <v>0</v>
      </c>
      <c r="BF16" s="44">
        <f t="shared" si="10"/>
        <v>0</v>
      </c>
      <c r="BG16" s="44">
        <f t="shared" si="10"/>
        <v>0</v>
      </c>
      <c r="BH16" s="44">
        <f t="shared" si="10"/>
        <v>0</v>
      </c>
      <c r="BI16" s="44">
        <f t="shared" si="10"/>
        <v>0</v>
      </c>
      <c r="BJ16" s="44">
        <f t="shared" si="10"/>
        <v>0</v>
      </c>
      <c r="BK16" s="44">
        <f t="shared" si="10"/>
        <v>0</v>
      </c>
      <c r="BL16" s="44">
        <f t="shared" si="10"/>
        <v>0</v>
      </c>
      <c r="BM16" s="44">
        <f t="shared" si="10"/>
        <v>0</v>
      </c>
      <c r="BN16" s="44"/>
      <c r="BO16" s="44"/>
      <c r="BP16" s="44">
        <f>SUM(BP3:BP15)</f>
        <v>0</v>
      </c>
      <c r="BQ16" s="44">
        <f>SUM(BQ3:BQ15)</f>
        <v>1.7999999999999998</v>
      </c>
      <c r="BR16" s="44"/>
      <c r="BS16" s="44"/>
      <c r="BT16" s="44"/>
      <c r="BU16" s="44"/>
      <c r="BV16" s="44"/>
      <c r="BW16" s="44"/>
      <c r="BX16" s="44">
        <f>SUM(BX3:BX15)</f>
        <v>61.72</v>
      </c>
      <c r="BY16" s="44">
        <f>SUM(BY3:BY15)</f>
        <v>11.879999999999999</v>
      </c>
      <c r="BZ16" s="291"/>
    </row>
    <row r="17" spans="3:78" ht="11.25" customHeight="1"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</row>
    <row r="18" spans="3:78" ht="11.25" customHeight="1">
      <c r="C18" s="158"/>
      <c r="D18" s="158"/>
      <c r="E18" s="2"/>
      <c r="F18" s="2"/>
      <c r="G18" s="2"/>
      <c r="H18" s="2"/>
      <c r="I18" s="2"/>
      <c r="J18" s="194" t="s">
        <v>421</v>
      </c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19" t="s">
        <v>431</v>
      </c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186" t="s">
        <v>184</v>
      </c>
      <c r="AW18" s="2"/>
      <c r="AX18" s="2"/>
      <c r="AY18" s="2"/>
      <c r="AZ18" s="2"/>
      <c r="BA18" s="2"/>
      <c r="BB18" s="186" t="s">
        <v>196</v>
      </c>
      <c r="BC18" s="2"/>
      <c r="BD18" s="2"/>
      <c r="BE18" s="2"/>
      <c r="BF18" s="186" t="s">
        <v>209</v>
      </c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 t="s">
        <v>514</v>
      </c>
      <c r="BS18" s="2"/>
      <c r="BT18" s="2"/>
      <c r="BU18" s="2"/>
      <c r="BV18" s="2"/>
      <c r="BW18" s="2"/>
      <c r="BX18" s="2"/>
      <c r="BY18" s="2"/>
      <c r="BZ18" s="2"/>
    </row>
    <row r="19" spans="3:78" ht="11.25" customHeight="1">
      <c r="C19" s="158"/>
      <c r="D19" s="158"/>
      <c r="E19" s="2"/>
      <c r="F19" s="2"/>
      <c r="G19" s="2"/>
      <c r="H19" s="2"/>
      <c r="I19" s="2"/>
      <c r="J19" s="4"/>
      <c r="K19" s="372" t="s">
        <v>422</v>
      </c>
      <c r="L19" s="373"/>
      <c r="M19" s="373"/>
      <c r="N19" s="373"/>
      <c r="O19" s="373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2"/>
      <c r="AF19" s="2"/>
      <c r="AG19" s="2"/>
      <c r="AH19" s="194" t="s">
        <v>179</v>
      </c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90" t="s">
        <v>187</v>
      </c>
      <c r="AX19" s="2"/>
      <c r="AY19" s="2"/>
      <c r="AZ19" s="2"/>
      <c r="BA19" s="2"/>
      <c r="BB19" s="2"/>
      <c r="BC19" s="289" t="s">
        <v>197</v>
      </c>
      <c r="BD19" s="2"/>
      <c r="BE19" s="2"/>
      <c r="BF19" s="2"/>
      <c r="BG19" s="207" t="s">
        <v>212</v>
      </c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 t="s">
        <v>515</v>
      </c>
      <c r="BT19" s="2"/>
      <c r="BU19" s="2"/>
      <c r="BV19" s="2"/>
      <c r="BW19" s="2"/>
      <c r="BX19" s="2"/>
      <c r="BY19" s="2"/>
      <c r="BZ19" s="2"/>
    </row>
    <row r="20" spans="3:78" ht="11.25" customHeight="1">
      <c r="C20" s="158"/>
      <c r="D20" s="158"/>
      <c r="E20" s="2"/>
      <c r="F20" s="2"/>
      <c r="G20" s="2"/>
      <c r="H20" s="2"/>
      <c r="I20" s="2"/>
      <c r="J20" s="4"/>
      <c r="K20" s="373"/>
      <c r="L20" s="372" t="s">
        <v>423</v>
      </c>
      <c r="M20" s="373"/>
      <c r="N20" s="373"/>
      <c r="O20" s="373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2"/>
      <c r="AF20" s="2"/>
      <c r="AG20" s="2"/>
      <c r="AH20" s="2"/>
      <c r="AI20" s="19" t="s">
        <v>432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89" t="s">
        <v>185</v>
      </c>
      <c r="AY20" s="2"/>
      <c r="AZ20" s="2"/>
      <c r="BA20" s="2"/>
      <c r="BB20" s="2"/>
      <c r="BC20" s="2"/>
      <c r="BD20" s="186" t="s">
        <v>198</v>
      </c>
      <c r="BE20" s="2"/>
      <c r="BF20" s="2"/>
      <c r="BG20" s="2"/>
      <c r="BH20" s="186" t="s">
        <v>213</v>
      </c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 t="s">
        <v>31</v>
      </c>
      <c r="BU20" s="2"/>
      <c r="BV20" s="2"/>
      <c r="BW20" s="2"/>
      <c r="BX20" s="2"/>
      <c r="BY20" s="2"/>
      <c r="BZ20" s="2"/>
    </row>
    <row r="21" spans="3:78" ht="11.25" customHeight="1">
      <c r="C21" s="158"/>
      <c r="D21" s="158"/>
      <c r="E21" s="2"/>
      <c r="F21" s="2"/>
      <c r="G21" s="2"/>
      <c r="H21" s="2"/>
      <c r="I21" s="2"/>
      <c r="J21" s="4"/>
      <c r="K21" s="373"/>
      <c r="L21" s="373"/>
      <c r="M21" s="373" t="s">
        <v>424</v>
      </c>
      <c r="N21" s="373"/>
      <c r="O21" s="373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2"/>
      <c r="AF21" s="2"/>
      <c r="AG21" s="2"/>
      <c r="AH21" s="2"/>
      <c r="AI21" s="2"/>
      <c r="AJ21" s="144" t="s">
        <v>433</v>
      </c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90" t="s">
        <v>186</v>
      </c>
      <c r="AZ21" s="2"/>
      <c r="BA21" s="2"/>
      <c r="BB21" s="2"/>
      <c r="BC21" s="2"/>
      <c r="BD21" s="2"/>
      <c r="BE21" s="2"/>
      <c r="BF21" s="2"/>
      <c r="BG21" s="2"/>
      <c r="BH21" s="2"/>
      <c r="BI21" s="207" t="s">
        <v>215</v>
      </c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 t="s">
        <v>516</v>
      </c>
      <c r="BV21" s="2"/>
      <c r="BW21" s="2"/>
      <c r="BX21" s="2"/>
      <c r="BY21" s="2"/>
      <c r="BZ21" s="2"/>
    </row>
    <row r="22" spans="3:78" ht="11.25" customHeight="1">
      <c r="C22" s="158"/>
      <c r="D22" s="158"/>
      <c r="E22" s="2"/>
      <c r="F22" s="2"/>
      <c r="G22" s="2"/>
      <c r="H22" s="2"/>
      <c r="I22" s="2"/>
      <c r="J22" s="4"/>
      <c r="K22" s="4"/>
      <c r="L22" s="4"/>
      <c r="M22" s="4"/>
      <c r="N22" s="4" t="s">
        <v>425</v>
      </c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2"/>
      <c r="AF22" s="2"/>
      <c r="AG22" s="2"/>
      <c r="AH22" s="2"/>
      <c r="AI22" s="2"/>
      <c r="AJ22" s="2"/>
      <c r="AK22" s="19" t="s">
        <v>434</v>
      </c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89" t="s">
        <v>193</v>
      </c>
      <c r="BA22" s="2"/>
      <c r="BB22" s="2"/>
      <c r="BC22" s="2"/>
      <c r="BD22" s="2"/>
      <c r="BE22" s="2"/>
      <c r="BF22" s="2"/>
      <c r="BG22" s="2"/>
      <c r="BH22" s="2"/>
      <c r="BI22" s="2"/>
      <c r="BJ22" s="186" t="s">
        <v>216</v>
      </c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 t="s">
        <v>59</v>
      </c>
      <c r="BW22" s="2"/>
      <c r="BX22" s="3"/>
      <c r="BY22" s="3"/>
    </row>
    <row r="23" spans="3:78" ht="11.25" customHeight="1">
      <c r="C23" s="158"/>
      <c r="D23" s="158"/>
      <c r="E23" s="2"/>
      <c r="F23" s="2"/>
      <c r="G23" s="2"/>
      <c r="H23" s="2"/>
      <c r="I23" s="2"/>
      <c r="J23" s="4"/>
      <c r="K23" s="4"/>
      <c r="L23" s="4"/>
      <c r="M23" s="4"/>
      <c r="N23" s="4"/>
      <c r="O23" s="4" t="s">
        <v>478</v>
      </c>
      <c r="P23" s="4"/>
      <c r="Q23" s="4"/>
      <c r="R23" s="4"/>
      <c r="S23" s="209"/>
      <c r="T23" s="209"/>
      <c r="U23" s="209"/>
      <c r="V23" s="4"/>
      <c r="W23" s="4"/>
      <c r="X23" s="4"/>
      <c r="Y23" s="4"/>
      <c r="Z23" s="4"/>
      <c r="AA23" s="4"/>
      <c r="AB23" s="4"/>
      <c r="AC23" s="4"/>
      <c r="AD23" s="4"/>
      <c r="AE23" s="2"/>
      <c r="AF23" s="2"/>
      <c r="AG23" s="2"/>
      <c r="AH23" s="2"/>
      <c r="AI23" s="2"/>
      <c r="AJ23" s="2"/>
      <c r="AK23" s="2"/>
      <c r="AL23" s="288" t="s">
        <v>435</v>
      </c>
      <c r="AM23" s="144"/>
      <c r="AN23" s="144"/>
      <c r="AO23" s="144"/>
      <c r="AP23" s="144"/>
      <c r="AQ23" s="144"/>
      <c r="AR23" s="144"/>
      <c r="AS23" s="207"/>
      <c r="AT23" s="144"/>
      <c r="AU23" s="2"/>
      <c r="AV23" s="2"/>
      <c r="AW23" s="2"/>
      <c r="AX23" s="2"/>
      <c r="AY23" s="2"/>
      <c r="AZ23" s="2"/>
      <c r="BA23" s="2"/>
      <c r="BB23" s="2"/>
      <c r="BC23" s="2"/>
      <c r="BD23" s="186" t="s">
        <v>204</v>
      </c>
      <c r="BE23" s="2"/>
      <c r="BF23" s="2"/>
      <c r="BG23" s="2"/>
      <c r="BH23" s="2"/>
      <c r="BI23" s="2"/>
      <c r="BJ23" s="2"/>
      <c r="BK23" s="207" t="s">
        <v>217</v>
      </c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3"/>
      <c r="BY23" s="3"/>
    </row>
    <row r="24" spans="3:78" ht="11.25" customHeight="1">
      <c r="C24" s="158"/>
      <c r="D24" s="158"/>
      <c r="E24" s="2"/>
      <c r="F24" s="2"/>
      <c r="G24" s="2"/>
      <c r="H24" s="2"/>
      <c r="I24" s="2"/>
      <c r="J24" s="4"/>
      <c r="K24" s="4"/>
      <c r="L24" s="4"/>
      <c r="M24" s="4"/>
      <c r="N24" s="4"/>
      <c r="O24" s="4"/>
      <c r="P24" s="4" t="s">
        <v>500</v>
      </c>
      <c r="Q24" s="4"/>
      <c r="R24" s="4"/>
      <c r="S24" s="209"/>
      <c r="T24" s="209"/>
      <c r="U24" s="209"/>
      <c r="V24" s="4"/>
      <c r="W24" s="4"/>
      <c r="X24" s="4"/>
      <c r="Y24" s="4"/>
      <c r="Z24" s="4"/>
      <c r="AA24" s="4"/>
      <c r="AB24" s="4"/>
      <c r="AC24" s="4"/>
      <c r="AD24" s="4"/>
      <c r="AE24" s="2"/>
      <c r="AF24" s="2"/>
      <c r="AG24" s="2"/>
      <c r="AH24" s="2"/>
      <c r="AI24" s="2"/>
      <c r="AJ24" s="2"/>
      <c r="AK24" s="2"/>
      <c r="AL24" s="2"/>
      <c r="AM24" s="193" t="s">
        <v>436</v>
      </c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90" t="s">
        <v>202</v>
      </c>
      <c r="BE24" s="2"/>
      <c r="BF24" s="2"/>
      <c r="BG24" s="2"/>
      <c r="BH24" s="2"/>
      <c r="BI24" s="2"/>
      <c r="BJ24" s="2"/>
      <c r="BK24" s="207"/>
      <c r="BL24" s="186" t="s">
        <v>218</v>
      </c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3"/>
      <c r="BY24" s="3"/>
    </row>
    <row r="25" spans="3:78" ht="11.25" customHeight="1">
      <c r="C25" s="158"/>
      <c r="D25" s="158"/>
      <c r="E25" s="2"/>
      <c r="F25" s="2"/>
      <c r="G25" s="2"/>
      <c r="H25" s="2"/>
      <c r="I25" s="2"/>
      <c r="J25" s="4"/>
      <c r="K25" s="4"/>
      <c r="L25" s="4"/>
      <c r="M25" s="4"/>
      <c r="N25" s="4"/>
      <c r="O25" s="4"/>
      <c r="P25" s="4"/>
      <c r="Q25" s="186" t="s">
        <v>504</v>
      </c>
      <c r="R25" s="4"/>
      <c r="S25" s="209"/>
      <c r="T25" s="209"/>
      <c r="U25" s="209"/>
      <c r="V25" s="4"/>
      <c r="W25" s="4"/>
      <c r="X25" s="4"/>
      <c r="Y25" s="4"/>
      <c r="Z25" s="4"/>
      <c r="AA25" s="4"/>
      <c r="AB25" s="4"/>
      <c r="AC25" s="4"/>
      <c r="AD25" s="4"/>
      <c r="AE25" s="2"/>
      <c r="AF25" s="2"/>
      <c r="AG25" s="2"/>
      <c r="AH25" s="2"/>
      <c r="AI25" s="2"/>
      <c r="AJ25" s="2"/>
      <c r="AK25" s="2"/>
      <c r="AL25" s="2"/>
      <c r="AM25" s="2"/>
      <c r="AN25" s="144" t="s">
        <v>475</v>
      </c>
      <c r="AO25" s="144"/>
      <c r="AP25" s="144"/>
      <c r="AQ25" s="144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186" t="s">
        <v>203</v>
      </c>
      <c r="BE25" s="2"/>
      <c r="BF25" s="2"/>
      <c r="BG25" s="2"/>
      <c r="BH25" s="2"/>
      <c r="BI25" s="2"/>
      <c r="BJ25" s="2"/>
      <c r="BK25" s="207"/>
      <c r="BL25" s="4"/>
      <c r="BM25" s="207" t="s">
        <v>288</v>
      </c>
      <c r="BN25" s="207"/>
      <c r="BO25" s="207"/>
      <c r="BP25" s="2"/>
      <c r="BQ25" s="2"/>
      <c r="BR25" s="2"/>
      <c r="BS25" s="2"/>
      <c r="BT25" s="2"/>
      <c r="BU25" s="2"/>
      <c r="BV25" s="2"/>
      <c r="BW25" s="2"/>
      <c r="BX25" s="3"/>
      <c r="BY25" s="3"/>
    </row>
    <row r="26" spans="3:78">
      <c r="C26" s="90"/>
      <c r="D26" s="90"/>
      <c r="E26" s="2"/>
      <c r="F26" s="2"/>
      <c r="G26" s="2"/>
      <c r="H26" s="2"/>
      <c r="I26" s="2"/>
      <c r="J26" s="4"/>
      <c r="K26" s="4"/>
      <c r="L26" s="4"/>
      <c r="M26" s="4"/>
      <c r="N26" s="4"/>
      <c r="O26" s="4"/>
      <c r="P26" s="4"/>
      <c r="Q26" s="4"/>
      <c r="R26" s="209" t="s">
        <v>426</v>
      </c>
      <c r="S26" s="209"/>
      <c r="T26" s="209"/>
      <c r="U26" s="209"/>
      <c r="V26" s="4"/>
      <c r="W26" s="4"/>
      <c r="X26" s="4"/>
      <c r="Y26" s="4"/>
      <c r="Z26" s="4"/>
      <c r="AA26" s="4"/>
      <c r="AB26" s="4"/>
      <c r="AC26" s="4"/>
      <c r="AD26" s="4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193" t="s">
        <v>476</v>
      </c>
      <c r="AP26" s="2"/>
      <c r="AQ26" s="193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07" t="s">
        <v>205</v>
      </c>
      <c r="BE26" s="2"/>
      <c r="BF26" s="2"/>
      <c r="BG26" s="2"/>
      <c r="BH26" s="2"/>
      <c r="BI26" s="2"/>
      <c r="BJ26" s="2"/>
      <c r="BK26" s="2"/>
      <c r="BL26" s="2"/>
      <c r="BM26" s="2"/>
      <c r="BN26" s="186" t="s">
        <v>463</v>
      </c>
      <c r="BO26" s="186"/>
      <c r="BP26" s="2"/>
      <c r="BQ26" s="2"/>
      <c r="BR26" s="2"/>
      <c r="BS26" s="2"/>
      <c r="BT26" s="2"/>
      <c r="BU26" s="2"/>
      <c r="BV26" s="2"/>
      <c r="BW26" s="2"/>
      <c r="BX26" s="3"/>
      <c r="BY26" s="3"/>
    </row>
    <row r="27" spans="3:78">
      <c r="C27" s="90"/>
      <c r="D27" s="90"/>
      <c r="E27" s="2"/>
      <c r="F27" s="2"/>
      <c r="G27" s="2"/>
      <c r="H27" s="2"/>
      <c r="I27" s="2"/>
      <c r="J27" s="4"/>
      <c r="K27" s="4"/>
      <c r="L27" s="4"/>
      <c r="M27" s="4"/>
      <c r="N27" s="4"/>
      <c r="O27" s="4"/>
      <c r="P27" s="4"/>
      <c r="Q27" s="4"/>
      <c r="R27" s="4"/>
      <c r="S27" s="4" t="s">
        <v>444</v>
      </c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2"/>
      <c r="AF27" s="2"/>
      <c r="AG27" s="2"/>
      <c r="AH27" s="2"/>
      <c r="AI27" s="2"/>
      <c r="AJ27" s="2"/>
      <c r="AK27" s="2"/>
      <c r="AL27" s="2"/>
      <c r="AM27" s="2"/>
      <c r="AN27" s="95"/>
      <c r="AO27" s="95"/>
      <c r="AP27" s="144" t="s">
        <v>505</v>
      </c>
      <c r="AQ27" s="144"/>
      <c r="AR27" s="95"/>
      <c r="AS27" s="429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12" t="s">
        <v>252</v>
      </c>
      <c r="BE27" s="2"/>
      <c r="BF27" s="2"/>
      <c r="BG27" s="2"/>
      <c r="BH27" s="2"/>
      <c r="BI27" s="2"/>
      <c r="BJ27" s="2"/>
      <c r="BK27" s="2"/>
      <c r="BL27" s="2"/>
      <c r="BM27" s="429"/>
      <c r="BN27" s="95"/>
      <c r="BO27" s="209" t="s">
        <v>462</v>
      </c>
      <c r="BP27" s="2"/>
      <c r="BQ27" s="2"/>
      <c r="BR27" s="2"/>
      <c r="BS27" s="2"/>
      <c r="BT27" s="2"/>
      <c r="BU27" s="2"/>
      <c r="BV27" s="2"/>
      <c r="BW27" s="2"/>
      <c r="BX27" s="3"/>
      <c r="BY27" s="3"/>
    </row>
    <row r="28" spans="3:78">
      <c r="C28" s="90"/>
      <c r="D28" s="90"/>
      <c r="E28" s="2"/>
      <c r="F28" s="2"/>
      <c r="G28" s="2"/>
      <c r="H28" s="2"/>
      <c r="I28" s="2"/>
      <c r="J28" s="4"/>
      <c r="K28" s="4"/>
      <c r="L28" s="4"/>
      <c r="M28" s="4"/>
      <c r="N28" s="4"/>
      <c r="O28" s="4"/>
      <c r="P28" s="4"/>
      <c r="Q28" s="4"/>
      <c r="R28" s="4"/>
      <c r="S28" s="4"/>
      <c r="T28" s="373" t="s">
        <v>445</v>
      </c>
      <c r="U28" s="209"/>
      <c r="V28" s="4"/>
      <c r="W28" s="4"/>
      <c r="X28" s="4"/>
      <c r="Y28" s="4"/>
      <c r="Z28" s="4"/>
      <c r="AA28" s="4"/>
      <c r="AB28" s="4"/>
      <c r="AC28" s="4"/>
      <c r="AD28" s="4"/>
      <c r="AE28" s="2"/>
      <c r="AF28" s="2"/>
      <c r="AG28" s="2"/>
      <c r="AH28" s="2"/>
      <c r="AI28" s="2"/>
      <c r="AJ28" s="2"/>
      <c r="AK28" s="2"/>
      <c r="AL28" s="2"/>
      <c r="AM28" s="95"/>
      <c r="AN28" s="95"/>
      <c r="AO28" s="95"/>
      <c r="AP28" s="2"/>
      <c r="AQ28" s="144" t="s">
        <v>501</v>
      </c>
      <c r="AR28" s="144"/>
      <c r="AS28" s="429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213" t="s">
        <v>253</v>
      </c>
      <c r="BE28" s="2"/>
      <c r="BF28" s="2"/>
      <c r="BG28" s="2"/>
      <c r="BH28" s="2"/>
      <c r="BI28" s="2"/>
      <c r="BJ28" s="2"/>
      <c r="BK28" s="2"/>
      <c r="BL28" s="95"/>
      <c r="BM28" s="429"/>
      <c r="BN28" s="95"/>
      <c r="BO28" s="95"/>
      <c r="BP28" s="186" t="s">
        <v>511</v>
      </c>
      <c r="BQ28" s="95"/>
      <c r="BR28" s="95"/>
      <c r="BS28" s="95"/>
      <c r="BT28" s="95"/>
      <c r="BU28" s="95"/>
      <c r="BV28" s="95"/>
      <c r="BW28" s="95"/>
      <c r="BX28" s="95"/>
      <c r="BY28" s="3"/>
    </row>
    <row r="29" spans="3:78">
      <c r="C29" s="90"/>
      <c r="D29" s="90"/>
      <c r="E29" s="95"/>
      <c r="F29" s="95"/>
      <c r="G29" s="95"/>
      <c r="H29" s="95"/>
      <c r="I29" s="95"/>
      <c r="J29" s="95"/>
      <c r="K29" s="95"/>
      <c r="L29" s="95"/>
      <c r="M29" s="95"/>
      <c r="N29" s="4"/>
      <c r="O29" s="4"/>
      <c r="P29" s="4"/>
      <c r="Q29" s="4"/>
      <c r="R29" s="4"/>
      <c r="S29" s="4"/>
      <c r="T29" s="4"/>
      <c r="U29" s="186" t="s">
        <v>472</v>
      </c>
      <c r="V29" s="4"/>
      <c r="W29" s="4"/>
      <c r="X29" s="4"/>
      <c r="Y29" s="4"/>
      <c r="Z29" s="4"/>
      <c r="AA29" s="4"/>
      <c r="AB29" s="4"/>
      <c r="AC29" s="4"/>
      <c r="AD29" s="4"/>
      <c r="AE29" s="2"/>
      <c r="AF29" s="2"/>
      <c r="AG29" s="2"/>
      <c r="AH29" s="2"/>
      <c r="AI29" s="95"/>
      <c r="AJ29" s="95"/>
      <c r="AK29" s="95"/>
      <c r="AL29" s="95"/>
      <c r="AM29" s="95"/>
      <c r="AN29" s="95"/>
      <c r="AO29" s="95"/>
      <c r="AP29" s="2"/>
      <c r="AQ29" s="2"/>
      <c r="AR29" s="193" t="s">
        <v>502</v>
      </c>
      <c r="AS29" s="2"/>
      <c r="AT29" s="2"/>
      <c r="AU29" s="2"/>
      <c r="AV29" s="95"/>
      <c r="AW29" s="95"/>
      <c r="AX29" s="95"/>
      <c r="AY29" s="95"/>
      <c r="AZ29" s="95"/>
      <c r="BA29" s="95"/>
      <c r="BB29" s="95"/>
      <c r="BC29" s="95"/>
      <c r="BD29" s="212" t="s">
        <v>254</v>
      </c>
      <c r="BE29" s="95"/>
      <c r="BF29" s="95"/>
      <c r="BG29" s="95"/>
      <c r="BH29" s="95"/>
      <c r="BI29" s="95"/>
      <c r="BJ29" s="95"/>
      <c r="BK29" s="95"/>
      <c r="BL29" s="95"/>
      <c r="BM29" s="429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3"/>
      <c r="BY29" s="3"/>
    </row>
    <row r="30" spans="3:78">
      <c r="C30" s="90"/>
      <c r="D30" s="90"/>
      <c r="J30" s="95"/>
      <c r="K30" s="95"/>
      <c r="L30" s="95"/>
      <c r="M30" s="95"/>
      <c r="N30" s="95"/>
      <c r="O30" s="95"/>
      <c r="P30" s="95"/>
      <c r="Q30" s="95"/>
      <c r="R30" s="4"/>
      <c r="S30" s="4"/>
      <c r="T30" s="4"/>
      <c r="U30" s="4"/>
      <c r="V30" s="209" t="s">
        <v>479</v>
      </c>
      <c r="W30" s="4"/>
      <c r="X30" s="4"/>
      <c r="Y30" s="4"/>
      <c r="Z30" s="4"/>
      <c r="AA30" s="4"/>
      <c r="AB30" s="4"/>
      <c r="AC30" s="4"/>
      <c r="AD30" s="4"/>
      <c r="AE30" s="2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429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429"/>
      <c r="BN30" s="95"/>
      <c r="BO30" s="95"/>
      <c r="BP30" s="95"/>
      <c r="BQ30" s="95"/>
      <c r="BR30" s="95"/>
      <c r="BS30" s="95"/>
      <c r="BT30" s="95"/>
      <c r="BU30" s="95"/>
      <c r="BV30" s="95"/>
      <c r="BW30" s="95"/>
      <c r="BX30" s="3"/>
      <c r="BY30" s="3"/>
    </row>
    <row r="31" spans="3:78">
      <c r="C31" s="90"/>
      <c r="D31" s="90"/>
      <c r="L31" s="95"/>
      <c r="M31" s="95"/>
      <c r="N31" s="95"/>
      <c r="O31" s="95"/>
      <c r="P31" s="95"/>
      <c r="Q31" s="95"/>
      <c r="R31" s="4"/>
      <c r="S31" s="4"/>
      <c r="T31" s="4"/>
      <c r="U31" s="4"/>
      <c r="V31" s="4"/>
      <c r="W31" s="209" t="s">
        <v>427</v>
      </c>
      <c r="X31" s="4"/>
      <c r="Y31" s="4"/>
      <c r="Z31" s="4"/>
      <c r="AA31" s="4"/>
      <c r="AB31" s="4"/>
      <c r="AC31" s="4"/>
      <c r="AD31" s="4"/>
      <c r="AE31" s="2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429"/>
      <c r="AT31" s="95"/>
      <c r="AU31" s="95"/>
      <c r="AV31" s="428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429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3"/>
      <c r="BY31" s="3"/>
    </row>
    <row r="32" spans="3:78">
      <c r="C32" s="90"/>
      <c r="D32" s="90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4"/>
      <c r="W32" s="4"/>
      <c r="X32" s="4" t="s">
        <v>428</v>
      </c>
      <c r="Y32" s="4"/>
      <c r="Z32" s="4"/>
      <c r="AA32" s="4"/>
      <c r="AB32" s="4"/>
      <c r="AC32" s="4"/>
      <c r="AD32" s="4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429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429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3"/>
      <c r="BY32" s="3"/>
    </row>
    <row r="33" spans="3:77">
      <c r="C33" s="90"/>
      <c r="D33" s="90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4"/>
      <c r="W33" s="4"/>
      <c r="X33" s="4"/>
      <c r="Y33" s="208" t="s">
        <v>429</v>
      </c>
      <c r="Z33" s="4"/>
      <c r="AA33" s="4"/>
      <c r="AB33" s="4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429"/>
      <c r="AT33" s="95"/>
      <c r="AU33" s="95"/>
      <c r="AV33" s="95"/>
      <c r="AW33" s="95"/>
      <c r="AX33" s="95"/>
      <c r="AY33" s="95"/>
      <c r="AZ33" s="95"/>
      <c r="BA33" s="95"/>
      <c r="BB33" s="95"/>
      <c r="BC33" s="95"/>
      <c r="BD33" s="95"/>
      <c r="BE33" s="95"/>
      <c r="BF33" s="95"/>
      <c r="BG33" s="95"/>
      <c r="BH33" s="95"/>
      <c r="BI33" s="95"/>
      <c r="BJ33" s="95"/>
      <c r="BK33" s="95"/>
      <c r="BL33" s="95"/>
      <c r="BM33" s="429"/>
      <c r="BN33" s="95"/>
      <c r="BO33" s="95"/>
      <c r="BP33" s="95"/>
      <c r="BQ33" s="95"/>
      <c r="BR33" s="95"/>
      <c r="BS33" s="95"/>
      <c r="BT33" s="95"/>
      <c r="BU33" s="95"/>
      <c r="BV33" s="95"/>
      <c r="BW33" s="95"/>
      <c r="BX33" s="3"/>
      <c r="BY33" s="3"/>
    </row>
    <row r="34" spans="3:77"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4"/>
      <c r="W34" s="4"/>
      <c r="X34" s="4"/>
      <c r="Y34" s="4"/>
      <c r="Z34" s="209" t="s">
        <v>508</v>
      </c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429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429"/>
      <c r="BN34" s="95"/>
      <c r="BO34" s="95"/>
      <c r="BP34" s="95"/>
      <c r="BQ34" s="95"/>
      <c r="BR34" s="95"/>
      <c r="BS34" s="95"/>
      <c r="BT34" s="95"/>
      <c r="BU34" s="95"/>
      <c r="BV34" s="95"/>
      <c r="BW34" s="95"/>
    </row>
    <row r="35" spans="3:77">
      <c r="K35" s="3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186" t="s">
        <v>509</v>
      </c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429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429"/>
      <c r="BN35" s="95"/>
      <c r="BO35" s="95"/>
      <c r="BP35" s="95"/>
      <c r="BQ35" s="95"/>
      <c r="BR35" s="95"/>
      <c r="BS35" s="95"/>
      <c r="BT35" s="95"/>
      <c r="BU35" s="95"/>
      <c r="BV35" s="95"/>
      <c r="BW35" s="95"/>
    </row>
    <row r="36" spans="3:77">
      <c r="K36" s="3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209" t="s">
        <v>430</v>
      </c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429"/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5"/>
      <c r="BG36" s="95"/>
      <c r="BH36" s="95"/>
      <c r="BI36" s="95"/>
      <c r="BJ36" s="95"/>
      <c r="BK36" s="95"/>
      <c r="BL36" s="95"/>
      <c r="BM36" s="429"/>
      <c r="BN36" s="95"/>
      <c r="BO36" s="95"/>
      <c r="BP36" s="95"/>
      <c r="BQ36" s="95"/>
      <c r="BR36" s="95"/>
      <c r="BS36" s="95"/>
      <c r="BT36" s="95"/>
      <c r="BU36" s="95"/>
      <c r="BV36" s="95"/>
      <c r="BW36" s="95"/>
    </row>
    <row r="37" spans="3:77">
      <c r="K37" s="3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429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429"/>
      <c r="BN37" s="95"/>
      <c r="BO37" s="95"/>
      <c r="BP37" s="95"/>
      <c r="BQ37" s="95"/>
      <c r="BR37" s="95"/>
      <c r="BS37" s="95"/>
      <c r="BT37" s="95"/>
      <c r="BU37" s="95"/>
      <c r="BV37" s="95"/>
      <c r="BW37" s="95"/>
    </row>
    <row r="38" spans="3:77"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429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429"/>
      <c r="BN38" s="95"/>
      <c r="BO38" s="95"/>
      <c r="BP38" s="95"/>
      <c r="BQ38" s="95"/>
      <c r="BR38" s="95"/>
      <c r="BS38" s="95"/>
      <c r="BT38" s="95"/>
      <c r="BU38" s="95"/>
      <c r="BV38" s="95"/>
      <c r="BW38" s="95"/>
    </row>
    <row r="39" spans="3:77"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429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429"/>
      <c r="BN39" s="95"/>
      <c r="BO39" s="95"/>
      <c r="BP39" s="95"/>
      <c r="BQ39" s="95"/>
      <c r="BR39" s="95"/>
      <c r="BS39" s="95"/>
      <c r="BT39" s="95"/>
      <c r="BU39" s="95"/>
      <c r="BV39" s="95"/>
      <c r="BW39" s="95"/>
    </row>
    <row r="40" spans="3:77"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429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429"/>
      <c r="BN40" s="95"/>
      <c r="BO40" s="95"/>
      <c r="BP40" s="95"/>
      <c r="BQ40" s="95"/>
      <c r="BR40" s="95"/>
      <c r="BS40" s="95"/>
      <c r="BT40" s="95"/>
      <c r="BU40" s="95"/>
      <c r="BV40" s="95"/>
      <c r="BW40" s="95"/>
    </row>
    <row r="41" spans="3:77"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429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429"/>
      <c r="BN41" s="95"/>
      <c r="BO41" s="95"/>
      <c r="BP41" s="95"/>
      <c r="BQ41" s="95"/>
      <c r="BR41" s="95"/>
      <c r="BS41" s="95"/>
      <c r="BT41" s="95"/>
      <c r="BU41" s="95"/>
      <c r="BV41" s="95"/>
      <c r="BW41" s="95"/>
    </row>
    <row r="42" spans="3:77"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429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429"/>
      <c r="BN42" s="95"/>
      <c r="BO42" s="95"/>
      <c r="BP42" s="95"/>
      <c r="BQ42" s="95"/>
      <c r="BR42" s="95"/>
      <c r="BS42" s="95"/>
      <c r="BT42" s="95"/>
      <c r="BU42" s="95"/>
      <c r="BV42" s="95"/>
      <c r="BW42" s="95"/>
    </row>
  </sheetData>
  <mergeCells count="13">
    <mergeCell ref="BX1:BZ1"/>
    <mergeCell ref="A16:B16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22"/>
  <sheetViews>
    <sheetView workbookViewId="0">
      <pane ySplit="2" topLeftCell="A3" activePane="bottomLeft" state="frozen"/>
      <selection pane="bottomLeft" activeCell="A5" sqref="A5:A9"/>
    </sheetView>
  </sheetViews>
  <sheetFormatPr defaultRowHeight="11.25"/>
  <cols>
    <col min="1" max="1" width="7.28515625" style="8" bestFit="1" customWidth="1"/>
    <col min="2" max="2" width="45.5703125" style="99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7109375" style="92" customWidth="1"/>
    <col min="19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4" ht="15.75" customHeight="1">
      <c r="A1" s="685" t="s">
        <v>1</v>
      </c>
      <c r="B1" s="687" t="s">
        <v>0</v>
      </c>
      <c r="C1" s="689" t="s">
        <v>7</v>
      </c>
      <c r="D1" s="680" t="s">
        <v>6</v>
      </c>
      <c r="E1" s="681"/>
      <c r="F1" s="682" t="s">
        <v>5</v>
      </c>
      <c r="G1" s="683"/>
      <c r="H1" s="680" t="s">
        <v>63</v>
      </c>
      <c r="I1" s="681"/>
      <c r="J1" s="694" t="s">
        <v>9</v>
      </c>
      <c r="K1" s="505" t="s">
        <v>437</v>
      </c>
      <c r="L1" s="696"/>
      <c r="M1" s="505" t="s">
        <v>82</v>
      </c>
      <c r="N1" s="506"/>
      <c r="O1" s="506"/>
      <c r="P1" s="506"/>
      <c r="Q1" s="506"/>
      <c r="R1" s="690" t="s">
        <v>84</v>
      </c>
      <c r="S1" s="690"/>
      <c r="T1" s="690"/>
      <c r="U1" s="690"/>
      <c r="V1" s="690"/>
      <c r="W1" s="690"/>
      <c r="X1" s="690"/>
    </row>
    <row r="2" spans="1:24" ht="15.75" customHeight="1" thickBot="1">
      <c r="A2" s="686"/>
      <c r="B2" s="688"/>
      <c r="C2" s="504"/>
      <c r="D2" s="68"/>
      <c r="E2" s="40" t="s">
        <v>9</v>
      </c>
      <c r="F2" s="68"/>
      <c r="G2" s="69" t="s">
        <v>9</v>
      </c>
      <c r="H2" s="68"/>
      <c r="I2" s="40" t="s">
        <v>9</v>
      </c>
      <c r="J2" s="695"/>
      <c r="K2" s="379"/>
      <c r="L2" s="211" t="s">
        <v>9</v>
      </c>
      <c r="M2" s="215" t="s">
        <v>140</v>
      </c>
      <c r="N2" s="215" t="s">
        <v>437</v>
      </c>
      <c r="O2" s="215" t="s">
        <v>367</v>
      </c>
      <c r="P2" s="215" t="s">
        <v>59</v>
      </c>
      <c r="Q2" s="216" t="s">
        <v>139</v>
      </c>
      <c r="R2" s="691" t="s">
        <v>441</v>
      </c>
      <c r="S2" s="692"/>
      <c r="T2" s="692"/>
      <c r="U2" s="692"/>
      <c r="V2" s="692"/>
      <c r="W2" s="693"/>
      <c r="X2" s="217" t="s">
        <v>47</v>
      </c>
    </row>
    <row r="3" spans="1:24" s="5" customFormat="1">
      <c r="A3" s="412">
        <f>'1-συμβολαια'!A3</f>
        <v>2774</v>
      </c>
      <c r="B3" s="427" t="str">
        <f>'1-συμβολαια'!C3</f>
        <v>κατασχέσεως ΑΡΣΗ για δάνειο Β.2'  [1.635.748δρχ = 4.800,44€]</v>
      </c>
      <c r="C3" s="431">
        <f>'1-συμβολαια'!D3</f>
        <v>0</v>
      </c>
      <c r="D3" s="398"/>
      <c r="E3" s="398"/>
      <c r="F3" s="398"/>
      <c r="G3" s="398"/>
      <c r="H3" s="398"/>
      <c r="I3" s="398"/>
      <c r="J3" s="384">
        <f>'1-συμβολαια'!N3</f>
        <v>19.57</v>
      </c>
      <c r="K3" s="384">
        <f>'2-δικαιώμ'!O3+'5-αντίγρ'!O3</f>
        <v>1.6786000000000001</v>
      </c>
      <c r="L3" s="384">
        <v>0.97</v>
      </c>
      <c r="M3" s="384">
        <f>'1-συμβολαια'!O3</f>
        <v>6.3414000000000001</v>
      </c>
      <c r="N3" s="384">
        <f t="shared" ref="N3:N15" si="0">K3-L3</f>
        <v>0.70860000000000012</v>
      </c>
      <c r="O3" s="384">
        <f>'8-κ-15-17'!AG3</f>
        <v>0</v>
      </c>
      <c r="P3" s="384">
        <f>'11-χαρτόσ'!L3+'5-αντίγρ'!AM3+'6-μεταγρ'!N3+'6-μεταγρ'!O3+'7-προςΔΟΥ'!K3+'13-ντιΜιΧο'!BY3</f>
        <v>7.92</v>
      </c>
      <c r="Q3" s="384">
        <f>'13-ντιΜιΧο'!BX3</f>
        <v>19.490000000000002</v>
      </c>
      <c r="R3" s="328"/>
      <c r="S3" s="320"/>
      <c r="T3" s="320"/>
      <c r="U3" s="320"/>
      <c r="V3" s="320"/>
      <c r="W3" s="320"/>
      <c r="X3" s="323"/>
    </row>
    <row r="4" spans="1:24" s="19" customFormat="1">
      <c r="A4" s="28"/>
      <c r="B4" s="172"/>
      <c r="C4" s="32"/>
      <c r="D4" s="38"/>
      <c r="E4" s="38"/>
      <c r="F4" s="38"/>
      <c r="G4" s="38"/>
      <c r="H4" s="38"/>
      <c r="I4" s="38"/>
      <c r="J4" s="17"/>
      <c r="K4" s="17"/>
      <c r="L4" s="17"/>
      <c r="M4" s="17"/>
      <c r="N4" s="17"/>
      <c r="O4" s="17"/>
      <c r="P4" s="17"/>
      <c r="Q4" s="17"/>
      <c r="R4" s="455"/>
      <c r="S4" s="251"/>
      <c r="T4" s="251"/>
      <c r="U4" s="251"/>
      <c r="V4" s="251"/>
      <c r="W4" s="251"/>
      <c r="X4" s="13"/>
    </row>
    <row r="5" spans="1:24" s="5" customFormat="1">
      <c r="A5" s="483" t="str">
        <f>'1-συμβολαια'!A5</f>
        <v>2ο</v>
      </c>
      <c r="B5" s="427" t="str">
        <f>'1-συμβολαια'!C5</f>
        <v>δανείου  Β' ΕΞΟΦΛΗΣΗ [= 2.500.000δρχ</v>
      </c>
      <c r="C5" s="431">
        <f>'1-συμβολαια'!D5</f>
        <v>7336.76</v>
      </c>
      <c r="D5" s="398"/>
      <c r="E5" s="398"/>
      <c r="F5" s="398"/>
      <c r="G5" s="398"/>
      <c r="H5" s="398"/>
      <c r="I5" s="398"/>
      <c r="J5" s="384">
        <f>'1-συμβολαια'!N5</f>
        <v>-0.5</v>
      </c>
      <c r="K5" s="384">
        <f>'2-δικαιώμ'!O5+'5-αντίγρ'!O5</f>
        <v>15.240461999999999</v>
      </c>
      <c r="L5" s="384"/>
      <c r="M5" s="384">
        <f>'1-συμβολαια'!O5</f>
        <v>95.236618000000007</v>
      </c>
      <c r="N5" s="384">
        <f t="shared" si="0"/>
        <v>15.240461999999999</v>
      </c>
      <c r="O5" s="384">
        <f>'8-κ-15-17'!AG5</f>
        <v>95.377880000000005</v>
      </c>
      <c r="P5" s="384">
        <f>'11-χαρτόσ'!L5+'5-αντίγρ'!AM5+'6-μεταγρ'!N5+'6-μεταγρ'!O5+'7-προςΔΟΥ'!K5+'13-ντιΜιΧο'!BY5</f>
        <v>0</v>
      </c>
      <c r="Q5" s="384">
        <f>'13-ντιΜιΧο'!BX5</f>
        <v>0</v>
      </c>
      <c r="R5" s="328"/>
      <c r="S5" s="320"/>
      <c r="T5" s="320"/>
      <c r="U5" s="320"/>
      <c r="V5" s="320"/>
      <c r="W5" s="320"/>
      <c r="X5" s="323"/>
    </row>
    <row r="6" spans="1:24" s="5" customFormat="1">
      <c r="A6" s="483">
        <f>'1-συμβολαια'!A6</f>
        <v>0</v>
      </c>
      <c r="B6" s="427" t="str">
        <f>'1-συμβολαια'!C6</f>
        <v>δανείου  Β.2' ΕΞΟΦΛΗΣΗ ΥΠΟΛΟΙΠΟΥ = 1.635.748δρχ</v>
      </c>
      <c r="C6" s="431">
        <f>'1-συμβολαια'!D6</f>
        <v>4800.4399999999996</v>
      </c>
      <c r="D6" s="398"/>
      <c r="E6" s="398"/>
      <c r="F6" s="398"/>
      <c r="G6" s="398"/>
      <c r="H6" s="398"/>
      <c r="I6" s="398"/>
      <c r="J6" s="384">
        <f>'1-συμβολαια'!N6</f>
        <v>0</v>
      </c>
      <c r="K6" s="384">
        <f>'2-δικαιώμ'!O6+'5-αντίγρ'!O6</f>
        <v>9.9644859999999973</v>
      </c>
      <c r="L6" s="384"/>
      <c r="M6" s="384">
        <f>'1-συμβολαια'!O6</f>
        <v>63.116753999999993</v>
      </c>
      <c r="N6" s="384">
        <f t="shared" si="0"/>
        <v>9.9644859999999973</v>
      </c>
      <c r="O6" s="384">
        <f>'8-κ-15-17'!AG6</f>
        <v>62.405720000000002</v>
      </c>
      <c r="P6" s="384">
        <f>'11-χαρτόσ'!L6+'5-αντίγρ'!AM6+'6-μεταγρ'!N6+'6-μεταγρ'!O6+'7-προςΔΟΥ'!K6+'13-ντιΜιΧο'!BY6</f>
        <v>0</v>
      </c>
      <c r="Q6" s="384">
        <f>'13-ντιΜιΧο'!BX6</f>
        <v>0</v>
      </c>
      <c r="R6" s="328"/>
      <c r="S6" s="320"/>
      <c r="T6" s="320"/>
      <c r="U6" s="320"/>
      <c r="V6" s="320"/>
      <c r="W6" s="320"/>
      <c r="X6" s="323"/>
    </row>
    <row r="7" spans="1:24" s="5" customFormat="1">
      <c r="A7" s="483">
        <f>'1-συμβολαια'!A7</f>
        <v>0</v>
      </c>
      <c r="B7" s="427" t="str">
        <f>'1-συμβολαια'!C7</f>
        <v>υποθήκη δανείου Β' …. ΕΞΑΛΕΙΨΗ</v>
      </c>
      <c r="C7" s="431">
        <f>'1-συμβολαια'!D7</f>
        <v>8151.95</v>
      </c>
      <c r="D7" s="398"/>
      <c r="E7" s="398"/>
      <c r="F7" s="398"/>
      <c r="G7" s="398"/>
      <c r="H7" s="398"/>
      <c r="I7" s="398"/>
      <c r="J7" s="384">
        <f>'1-συμβολαια'!N7</f>
        <v>19.57</v>
      </c>
      <c r="K7" s="384">
        <f>'2-δικαιώμ'!O7+'5-αντίγρ'!O7</f>
        <v>15.997204</v>
      </c>
      <c r="L7" s="384">
        <v>0.97</v>
      </c>
      <c r="M7" s="384">
        <f>'1-συμβολαια'!O7</f>
        <v>87.422156000000001</v>
      </c>
      <c r="N7" s="384">
        <f t="shared" si="0"/>
        <v>15.027203999999999</v>
      </c>
      <c r="O7" s="384">
        <f>'8-κ-15-17'!AG7</f>
        <v>105.97535000000001</v>
      </c>
      <c r="P7" s="384">
        <f>'11-χαρτόσ'!L7+'5-αντίγρ'!AM7+'6-μεταγρ'!N7+'6-μεταγρ'!O7+'7-προςΔΟΥ'!K7+'13-ντιΜιΧο'!BY7</f>
        <v>7.92</v>
      </c>
      <c r="Q7" s="384">
        <f>'13-ντιΜιΧο'!BX7</f>
        <v>19.510000000000002</v>
      </c>
      <c r="R7" s="328"/>
      <c r="S7" s="320"/>
      <c r="T7" s="320"/>
      <c r="U7" s="320"/>
      <c r="V7" s="320"/>
      <c r="W7" s="320"/>
      <c r="X7" s="323"/>
    </row>
    <row r="8" spans="1:24" s="5" customFormat="1">
      <c r="A8" s="483">
        <f>'1-συμβολαια'!A8</f>
        <v>0</v>
      </c>
      <c r="B8" s="427" t="str">
        <f>'1-συμβολαια'!C8</f>
        <v>τόκοι δανείου Β' [προυπολογιζόμενοι VS πληρωμένοι]</v>
      </c>
      <c r="C8" s="431">
        <f>'1-συμβολαια'!D8</f>
        <v>23882.636363636364</v>
      </c>
      <c r="D8" s="398"/>
      <c r="E8" s="398"/>
      <c r="F8" s="398"/>
      <c r="G8" s="398"/>
      <c r="H8" s="398"/>
      <c r="I8" s="398"/>
      <c r="J8" s="384">
        <f>'1-συμβολαια'!N8</f>
        <v>0</v>
      </c>
      <c r="K8" s="384">
        <f>'2-δικαιώμ'!O8+'5-αντίγρ'!O8</f>
        <v>44.312439454545462</v>
      </c>
      <c r="L8" s="384"/>
      <c r="M8" s="384">
        <f>'1-συμβολαια'!O8</f>
        <v>257.75515690909094</v>
      </c>
      <c r="N8" s="384">
        <f t="shared" si="0"/>
        <v>44.312439454545462</v>
      </c>
      <c r="O8" s="384">
        <f>'8-κ-15-17'!AG8</f>
        <v>310.47427272727276</v>
      </c>
      <c r="P8" s="384">
        <f>'11-χαρτόσ'!L8+'5-αντίγρ'!AM8+'6-μεταγρ'!N8+'6-μεταγρ'!O8+'7-προςΔΟΥ'!K8+'13-ντιΜιΧο'!BY8</f>
        <v>0</v>
      </c>
      <c r="Q8" s="384">
        <f>'13-ντιΜιΧο'!BX8</f>
        <v>0</v>
      </c>
      <c r="R8" s="328"/>
      <c r="S8" s="320"/>
      <c r="T8" s="320"/>
      <c r="U8" s="320"/>
      <c r="V8" s="320"/>
      <c r="W8" s="320"/>
      <c r="X8" s="323"/>
    </row>
    <row r="9" spans="1:24" s="5" customFormat="1">
      <c r="A9" s="483">
        <f>'1-συμβολαια'!A9</f>
        <v>0</v>
      </c>
      <c r="B9" s="427" t="str">
        <f>'1-συμβολαια'!C9</f>
        <v>τόκοι δανείου Β.2' [προυπολογιζόμενοι VS πληρωμένοι]</v>
      </c>
      <c r="C9" s="431">
        <f>'1-συμβολαια'!D9</f>
        <v>111.11</v>
      </c>
      <c r="D9" s="398"/>
      <c r="E9" s="398"/>
      <c r="F9" s="398"/>
      <c r="G9" s="398"/>
      <c r="H9" s="398"/>
      <c r="I9" s="398"/>
      <c r="J9" s="384">
        <f>'1-συμβολαια'!N9</f>
        <v>0</v>
      </c>
      <c r="K9" s="384">
        <f>'2-δικαιώμ'!O9+'5-αντίγρ'!O9</f>
        <v>1.523692</v>
      </c>
      <c r="L9" s="384"/>
      <c r="M9" s="384">
        <f>'1-συμβολαια'!O9</f>
        <v>15.285588000000001</v>
      </c>
      <c r="N9" s="384">
        <f t="shared" si="0"/>
        <v>1.523692</v>
      </c>
      <c r="O9" s="384">
        <f>'8-κ-15-17'!AG9</f>
        <v>1.4444300000000001</v>
      </c>
      <c r="P9" s="384">
        <f>'11-χαρτόσ'!L9+'5-αντίγρ'!AM9+'6-μεταγρ'!N9+'6-μεταγρ'!O9+'7-προςΔΟΥ'!K9+'13-ντιΜιΧο'!BY9</f>
        <v>0</v>
      </c>
      <c r="Q9" s="384">
        <f>'13-ντιΜιΧο'!BX9</f>
        <v>0</v>
      </c>
      <c r="R9" s="328"/>
      <c r="S9" s="320"/>
      <c r="T9" s="320"/>
      <c r="U9" s="320"/>
      <c r="V9" s="320"/>
      <c r="W9" s="320"/>
      <c r="X9" s="323"/>
    </row>
    <row r="10" spans="1:24" s="19" customFormat="1">
      <c r="A10" s="28"/>
      <c r="B10" s="172"/>
      <c r="C10" s="32"/>
      <c r="D10" s="38"/>
      <c r="E10" s="38"/>
      <c r="F10" s="38"/>
      <c r="G10" s="38"/>
      <c r="H10" s="38"/>
      <c r="I10" s="38"/>
      <c r="J10" s="17"/>
      <c r="K10" s="17"/>
      <c r="L10" s="17"/>
      <c r="M10" s="17"/>
      <c r="N10" s="17"/>
      <c r="O10" s="17"/>
      <c r="P10" s="17"/>
      <c r="Q10" s="17"/>
      <c r="R10" s="455"/>
      <c r="S10" s="251"/>
      <c r="T10" s="251"/>
      <c r="U10" s="251"/>
      <c r="V10" s="251"/>
      <c r="W10" s="251"/>
      <c r="X10" s="13"/>
    </row>
    <row r="11" spans="1:24" s="5" customFormat="1">
      <c r="A11" s="483" t="str">
        <f>'1-συμβολαια'!A11</f>
        <v>3ο</v>
      </c>
      <c r="B11" s="427" t="str">
        <f>'1-συμβολαια'!C11</f>
        <v>δανείου  Α' ΕΞΟΦΛΗΣΗ [= 6.000.000δρχ</v>
      </c>
      <c r="C11" s="431">
        <f>'1-συμβολαια'!D11</f>
        <v>17608.22</v>
      </c>
      <c r="D11" s="398"/>
      <c r="E11" s="398"/>
      <c r="F11" s="398"/>
      <c r="G11" s="398"/>
      <c r="H11" s="398"/>
      <c r="I11" s="398"/>
      <c r="J11" s="384">
        <f>'1-συμβολαια'!N11</f>
        <v>-0.5</v>
      </c>
      <c r="K11" s="384">
        <f>'2-δικαιώμ'!O11+'5-αντίγρ'!O11</f>
        <v>34.439690000000006</v>
      </c>
      <c r="L11" s="384"/>
      <c r="M11" s="384">
        <f>'1-συμβολαια'!O11</f>
        <v>208.68491000000003</v>
      </c>
      <c r="N11" s="384">
        <f t="shared" si="0"/>
        <v>34.439690000000006</v>
      </c>
      <c r="O11" s="384">
        <f>'8-κ-15-17'!AG11</f>
        <v>228.90686000000002</v>
      </c>
      <c r="P11" s="384">
        <f>'11-χαρτόσ'!L11+'5-αντίγρ'!AM11+'6-μεταγρ'!N11+'6-μεταγρ'!O11+'7-προςΔΟΥ'!K11+'13-ντιΜιΧο'!BY11</f>
        <v>0</v>
      </c>
      <c r="Q11" s="384">
        <f>'13-ντιΜιΧο'!BX11</f>
        <v>0</v>
      </c>
      <c r="R11" s="328"/>
      <c r="S11" s="320"/>
      <c r="T11" s="320"/>
      <c r="U11" s="320"/>
      <c r="V11" s="320"/>
      <c r="W11" s="320"/>
      <c r="X11" s="323"/>
    </row>
    <row r="12" spans="1:24" s="5" customFormat="1">
      <c r="A12" s="483">
        <f>'1-συμβολαια'!A12</f>
        <v>0</v>
      </c>
      <c r="B12" s="427" t="str">
        <f>'1-συμβολαια'!C12</f>
        <v xml:space="preserve">δανείου Α.2' ΕΞΟΦΛΗΣΗ ΥΠΟΛΟΙΠΟΥ = 3.119.471δρχ </v>
      </c>
      <c r="C12" s="431">
        <f>'1-συμβολαια'!D12</f>
        <v>9154.7199999999993</v>
      </c>
      <c r="D12" s="398"/>
      <c r="E12" s="398"/>
      <c r="F12" s="398"/>
      <c r="G12" s="398"/>
      <c r="H12" s="398"/>
      <c r="I12" s="398"/>
      <c r="J12" s="384">
        <f>'1-συμβολαια'!N12</f>
        <v>0</v>
      </c>
      <c r="K12" s="384">
        <f>'2-δικαιώμ'!O12+'5-αντίγρ'!O12</f>
        <v>17.80219</v>
      </c>
      <c r="L12" s="384"/>
      <c r="M12" s="384">
        <f>'1-συμβολαια'!O12</f>
        <v>107.53041</v>
      </c>
      <c r="N12" s="384">
        <f t="shared" si="0"/>
        <v>17.80219</v>
      </c>
      <c r="O12" s="384">
        <f>'8-κ-15-17'!AG12</f>
        <v>119.01136</v>
      </c>
      <c r="P12" s="384">
        <f>'11-χαρτόσ'!L12+'5-αντίγρ'!AM12+'6-μεταγρ'!N12+'6-μεταγρ'!O12+'7-προςΔΟΥ'!K12+'13-ντιΜιΧο'!BY12</f>
        <v>0</v>
      </c>
      <c r="Q12" s="384">
        <f>'13-ντιΜιΧο'!BX12</f>
        <v>0</v>
      </c>
      <c r="R12" s="328"/>
      <c r="S12" s="320"/>
      <c r="T12" s="320"/>
      <c r="U12" s="320"/>
      <c r="V12" s="320"/>
      <c r="W12" s="320"/>
      <c r="X12" s="323"/>
    </row>
    <row r="13" spans="1:24" s="5" customFormat="1">
      <c r="A13" s="483">
        <f>'1-συμβολαια'!A13</f>
        <v>0</v>
      </c>
      <c r="B13" s="427" t="str">
        <f>'1-συμβολαια'!C13</f>
        <v>υποθήκη δανείου Α' …. ΕΞΑΛΕΙΨΗ</v>
      </c>
      <c r="C13" s="431">
        <f>'1-συμβολαια'!D13</f>
        <v>19564.68</v>
      </c>
      <c r="D13" s="398"/>
      <c r="E13" s="398"/>
      <c r="F13" s="398"/>
      <c r="G13" s="398"/>
      <c r="H13" s="398"/>
      <c r="I13" s="398"/>
      <c r="J13" s="384">
        <f>'1-συμβολαια'!N13</f>
        <v>19.57</v>
      </c>
      <c r="K13" s="384">
        <f>'2-δικαιώμ'!O13+'5-αντίγρ'!O13</f>
        <v>36.540118000000007</v>
      </c>
      <c r="L13" s="384">
        <v>0.97</v>
      </c>
      <c r="M13" s="384">
        <f>'1-συμβολαια'!O13</f>
        <v>203.83200200000005</v>
      </c>
      <c r="N13" s="384">
        <f t="shared" si="0"/>
        <v>35.570118000000008</v>
      </c>
      <c r="O13" s="384">
        <f>'8-κ-15-17'!AG13</f>
        <v>254.34084000000001</v>
      </c>
      <c r="P13" s="384">
        <f>'11-χαρτόσ'!L13+'5-αντίγρ'!AM13+'6-μεταγρ'!N13+'6-μεταγρ'!O13+'7-προςΔΟΥ'!K13+'13-ντιΜιΧο'!BY13</f>
        <v>7.92</v>
      </c>
      <c r="Q13" s="384">
        <f>'13-ντιΜιΧο'!BX13</f>
        <v>22.72</v>
      </c>
      <c r="R13" s="328"/>
      <c r="S13" s="320"/>
      <c r="T13" s="320"/>
      <c r="U13" s="320"/>
      <c r="V13" s="320"/>
      <c r="W13" s="320"/>
      <c r="X13" s="323"/>
    </row>
    <row r="14" spans="1:24" s="5" customFormat="1">
      <c r="A14" s="483">
        <f>'1-συμβολαια'!A14</f>
        <v>0</v>
      </c>
      <c r="B14" s="427" t="str">
        <f>'1-συμβολαια'!C14</f>
        <v>τόκοι δανείου Α' [προυπολογιζόμενοι VS πληρωμένοι]</v>
      </c>
      <c r="C14" s="431">
        <f>'1-συμβολαια'!D14</f>
        <v>57318.327272727271</v>
      </c>
      <c r="D14" s="398"/>
      <c r="E14" s="398"/>
      <c r="F14" s="398"/>
      <c r="G14" s="398"/>
      <c r="H14" s="398"/>
      <c r="I14" s="398"/>
      <c r="J14" s="384">
        <f>'1-συμβολαια'!N14</f>
        <v>0</v>
      </c>
      <c r="K14" s="384">
        <f>'2-δικαιώμ'!O14+'5-αντίγρ'!O14</f>
        <v>104.49668309090909</v>
      </c>
      <c r="L14" s="384"/>
      <c r="M14" s="384">
        <f>'1-συμβολαια'!O14</f>
        <v>598.79920418181825</v>
      </c>
      <c r="N14" s="384">
        <f t="shared" si="0"/>
        <v>104.49668309090909</v>
      </c>
      <c r="O14" s="384">
        <f>'8-κ-15-17'!AG14</f>
        <v>745.13825454545463</v>
      </c>
      <c r="P14" s="384">
        <f>'11-χαρτόσ'!L14+'5-αντίγρ'!AM14+'6-μεταγρ'!N14+'6-μεταγρ'!O14+'7-προςΔΟΥ'!K14+'13-ντιΜιΧο'!BY14</f>
        <v>0</v>
      </c>
      <c r="Q14" s="384">
        <f>'13-ντιΜιΧο'!BX14</f>
        <v>0</v>
      </c>
      <c r="R14" s="328"/>
      <c r="S14" s="320"/>
      <c r="T14" s="320"/>
      <c r="U14" s="320"/>
      <c r="V14" s="320"/>
      <c r="W14" s="320"/>
      <c r="X14" s="323"/>
    </row>
    <row r="15" spans="1:24" s="5" customFormat="1">
      <c r="A15" s="483">
        <f>'1-συμβολαια'!A15</f>
        <v>0</v>
      </c>
      <c r="B15" s="427" t="str">
        <f>'1-συμβολαια'!C15</f>
        <v>τόκοι δανείου Α.2' [προυπολογιζόμενοι VS πληρωμένοι]</v>
      </c>
      <c r="C15" s="431">
        <f>'1-συμβολαια'!D15</f>
        <v>111.11</v>
      </c>
      <c r="D15" s="398"/>
      <c r="E15" s="398"/>
      <c r="F15" s="398"/>
      <c r="G15" s="398"/>
      <c r="H15" s="398"/>
      <c r="I15" s="398"/>
      <c r="J15" s="384">
        <f>'1-συμβολαια'!N15</f>
        <v>0</v>
      </c>
      <c r="K15" s="384">
        <f>'2-δικαιώμ'!O15+'5-αντίγρ'!O15</f>
        <v>1.523692</v>
      </c>
      <c r="L15" s="384"/>
      <c r="M15" s="384">
        <f>'1-συμβολαια'!O15</f>
        <v>15.285588000000001</v>
      </c>
      <c r="N15" s="384">
        <f t="shared" si="0"/>
        <v>1.523692</v>
      </c>
      <c r="O15" s="384">
        <f>'8-κ-15-17'!AG15</f>
        <v>1.4444300000000001</v>
      </c>
      <c r="P15" s="384">
        <f>'11-χαρτόσ'!L15+'5-αντίγρ'!AM15+'6-μεταγρ'!N15+'6-μεταγρ'!O15+'7-προςΔΟΥ'!K15+'13-ντιΜιΧο'!BY15</f>
        <v>0</v>
      </c>
      <c r="Q15" s="384">
        <f>'13-ντιΜιΧο'!BX15</f>
        <v>0</v>
      </c>
      <c r="R15" s="328"/>
      <c r="S15" s="320"/>
      <c r="T15" s="320"/>
      <c r="U15" s="320"/>
      <c r="V15" s="320"/>
      <c r="W15" s="320"/>
      <c r="X15" s="323"/>
    </row>
    <row r="16" spans="1:24">
      <c r="A16" s="684" t="s">
        <v>56</v>
      </c>
      <c r="B16" s="684"/>
      <c r="C16" s="684"/>
      <c r="D16" s="11">
        <f t="shared" ref="D16:X16" si="1">SUM(D3:D15)</f>
        <v>0</v>
      </c>
      <c r="E16" s="11">
        <f t="shared" si="1"/>
        <v>0</v>
      </c>
      <c r="F16" s="11">
        <f t="shared" si="1"/>
        <v>0</v>
      </c>
      <c r="G16" s="11">
        <f t="shared" si="1"/>
        <v>0</v>
      </c>
      <c r="H16" s="11">
        <f t="shared" si="1"/>
        <v>0</v>
      </c>
      <c r="I16" s="11">
        <f t="shared" si="1"/>
        <v>0</v>
      </c>
      <c r="J16" s="11">
        <f t="shared" si="1"/>
        <v>57.71</v>
      </c>
      <c r="K16" s="11">
        <f t="shared" si="1"/>
        <v>283.51925654545454</v>
      </c>
      <c r="L16" s="11">
        <f t="shared" si="1"/>
        <v>2.91</v>
      </c>
      <c r="M16" s="11">
        <f t="shared" si="1"/>
        <v>1659.2897870909094</v>
      </c>
      <c r="N16" s="11">
        <f t="shared" si="1"/>
        <v>280.60925654545451</v>
      </c>
      <c r="O16" s="11">
        <f t="shared" si="1"/>
        <v>1924.5193972727275</v>
      </c>
      <c r="P16" s="11">
        <f t="shared" si="1"/>
        <v>23.759999999999998</v>
      </c>
      <c r="Q16" s="11">
        <f t="shared" si="1"/>
        <v>61.72</v>
      </c>
      <c r="R16" s="329">
        <f t="shared" si="1"/>
        <v>0</v>
      </c>
      <c r="S16" s="329">
        <f t="shared" si="1"/>
        <v>0</v>
      </c>
      <c r="T16" s="329">
        <f t="shared" si="1"/>
        <v>0</v>
      </c>
      <c r="U16" s="329">
        <f t="shared" si="1"/>
        <v>0</v>
      </c>
      <c r="V16" s="329">
        <f t="shared" si="1"/>
        <v>0</v>
      </c>
      <c r="W16" s="329">
        <f t="shared" si="1"/>
        <v>0</v>
      </c>
      <c r="X16" s="330">
        <f t="shared" si="1"/>
        <v>0</v>
      </c>
    </row>
    <row r="18" spans="1:28" ht="15.75" customHeight="1">
      <c r="L18" s="70"/>
      <c r="R18" s="2"/>
      <c r="S18" s="2"/>
      <c r="T18" s="2"/>
      <c r="U18" s="2"/>
      <c r="V18" s="2"/>
    </row>
    <row r="19" spans="1:28">
      <c r="S19" s="92"/>
      <c r="T19" s="92"/>
      <c r="U19" s="92"/>
      <c r="V19" s="92"/>
      <c r="W19" s="92"/>
      <c r="X19" s="92"/>
      <c r="Y19" s="92"/>
      <c r="Z19" s="92"/>
      <c r="AA19" s="92"/>
      <c r="AB19" s="92"/>
    </row>
    <row r="20" spans="1:28">
      <c r="S20" s="92"/>
      <c r="T20" s="92"/>
      <c r="U20" s="92"/>
      <c r="V20" s="92"/>
      <c r="W20" s="92"/>
      <c r="X20" s="92"/>
      <c r="Y20" s="92"/>
      <c r="Z20" s="92"/>
      <c r="AA20" s="92"/>
      <c r="AB20" s="92"/>
    </row>
    <row r="21" spans="1:28" s="5" customFormat="1">
      <c r="A21" s="64"/>
      <c r="B21" s="141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92"/>
      <c r="S21" s="92"/>
      <c r="T21" s="92"/>
      <c r="U21" s="92"/>
      <c r="V21" s="92"/>
      <c r="W21" s="92"/>
      <c r="X21" s="92"/>
      <c r="Y21" s="92"/>
      <c r="Z21" s="92"/>
      <c r="AA21" s="92"/>
      <c r="AB21" s="92"/>
    </row>
    <row r="22" spans="1:28">
      <c r="K22" s="4"/>
    </row>
  </sheetData>
  <mergeCells count="12">
    <mergeCell ref="R1:X1"/>
    <mergeCell ref="R2:W2"/>
    <mergeCell ref="M1:Q1"/>
    <mergeCell ref="J1:J2"/>
    <mergeCell ref="K1:L1"/>
    <mergeCell ref="D1:E1"/>
    <mergeCell ref="F1:G1"/>
    <mergeCell ref="H1:I1"/>
    <mergeCell ref="A16:C16"/>
    <mergeCell ref="A1:A2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30"/>
  <sheetViews>
    <sheetView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700" t="s">
        <v>75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  <c r="O1" s="700"/>
      <c r="P1" s="700"/>
      <c r="Q1" s="700"/>
    </row>
    <row r="2" spans="1:17" s="9" customFormat="1" ht="23.25" customHeight="1" thickBot="1">
      <c r="A2" s="295" t="s">
        <v>19</v>
      </c>
      <c r="B2" s="701" t="s">
        <v>29</v>
      </c>
      <c r="C2" s="702"/>
      <c r="D2" s="703"/>
      <c r="E2" s="704" t="s">
        <v>84</v>
      </c>
      <c r="F2" s="705"/>
      <c r="G2" s="705"/>
      <c r="H2" s="706"/>
      <c r="I2" s="707" t="s">
        <v>84</v>
      </c>
      <c r="J2" s="708"/>
      <c r="K2" s="708"/>
      <c r="L2" s="709"/>
      <c r="M2" s="296" t="s">
        <v>38</v>
      </c>
      <c r="N2" s="296" t="s">
        <v>39</v>
      </c>
      <c r="O2" s="296" t="s">
        <v>40</v>
      </c>
      <c r="P2" s="296" t="s">
        <v>41</v>
      </c>
      <c r="Q2" s="296" t="s">
        <v>42</v>
      </c>
    </row>
    <row r="3" spans="1:17" s="19" customFormat="1">
      <c r="A3" s="33">
        <f>'1-συμβολαια'!A3</f>
        <v>2774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27"/>
      <c r="Q3" s="27"/>
    </row>
    <row r="4" spans="1:17" s="19" customFormat="1">
      <c r="A4" s="33">
        <f>'1-συμβολαια'!A4</f>
        <v>0</v>
      </c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</row>
    <row r="5" spans="1:17" s="19" customFormat="1">
      <c r="A5" s="33" t="str">
        <f>'1-συμβολαια'!A5</f>
        <v>2ο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</row>
    <row r="6" spans="1:17" s="19" customFormat="1">
      <c r="A6" s="33">
        <f>'1-συμβολαια'!A6</f>
        <v>0</v>
      </c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</row>
    <row r="7" spans="1:17" s="19" customFormat="1">
      <c r="A7" s="33">
        <f>'1-συμβολαια'!A7</f>
        <v>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</row>
    <row r="8" spans="1:17" s="19" customFormat="1">
      <c r="A8" s="33">
        <f>'1-συμβολαια'!A8</f>
        <v>0</v>
      </c>
      <c r="B8" s="27"/>
      <c r="C8" s="27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</row>
    <row r="9" spans="1:17" s="19" customFormat="1">
      <c r="A9" s="33">
        <f>'1-συμβολαια'!A9</f>
        <v>0</v>
      </c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</row>
    <row r="10" spans="1:17" s="19" customFormat="1">
      <c r="A10" s="33">
        <f>'1-συμβολαια'!A10</f>
        <v>0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</row>
    <row r="11" spans="1:17" s="19" customFormat="1">
      <c r="A11" s="33" t="str">
        <f>'1-συμβολαια'!A11</f>
        <v>3ο</v>
      </c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</row>
    <row r="12" spans="1:17" s="19" customFormat="1">
      <c r="A12" s="33">
        <f>'1-συμβολαια'!A12</f>
        <v>0</v>
      </c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</row>
    <row r="13" spans="1:17" s="19" customFormat="1">
      <c r="A13" s="33">
        <f>'1-συμβολαια'!A13</f>
        <v>0</v>
      </c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</row>
    <row r="14" spans="1:17" s="19" customFormat="1">
      <c r="A14" s="33">
        <f>'1-συμβολαια'!A14</f>
        <v>0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</row>
    <row r="15" spans="1:17" s="19" customFormat="1">
      <c r="A15" s="33">
        <f>'1-συμβολαια'!A15</f>
        <v>0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</row>
    <row r="17" spans="1:23" ht="15.75" customHeight="1">
      <c r="B17" s="697" t="s">
        <v>104</v>
      </c>
      <c r="C17" s="697"/>
      <c r="D17" s="697"/>
      <c r="E17" s="697"/>
      <c r="F17" s="697"/>
      <c r="G17" s="697"/>
      <c r="H17" s="697"/>
      <c r="I17" s="697"/>
      <c r="J17" s="697"/>
      <c r="K17" s="697"/>
      <c r="L17" s="3"/>
      <c r="M17" s="3"/>
      <c r="N17" s="3"/>
      <c r="O17" s="3"/>
      <c r="P17" s="3"/>
      <c r="Q17" s="3"/>
    </row>
    <row r="18" spans="1:23" ht="15.75" customHeight="1">
      <c r="C18" s="699" t="s">
        <v>105</v>
      </c>
      <c r="D18" s="699"/>
      <c r="E18" s="699"/>
      <c r="F18" s="699"/>
      <c r="G18" s="699"/>
      <c r="H18" s="699"/>
      <c r="I18" s="699"/>
      <c r="J18" s="699"/>
      <c r="K18" s="699"/>
      <c r="L18" s="3"/>
      <c r="M18" s="3"/>
      <c r="N18" s="3"/>
      <c r="O18" s="3"/>
      <c r="P18" s="3"/>
      <c r="Q18" s="3"/>
    </row>
    <row r="19" spans="1:23" ht="15.75" customHeight="1">
      <c r="D19" s="697" t="s">
        <v>289</v>
      </c>
      <c r="E19" s="697"/>
      <c r="F19" s="697"/>
      <c r="G19" s="697"/>
      <c r="H19" s="697"/>
      <c r="I19" s="697"/>
      <c r="J19" s="697"/>
      <c r="K19" s="697"/>
      <c r="L19" s="697"/>
      <c r="M19" s="697"/>
      <c r="N19" s="697"/>
      <c r="O19" s="697"/>
      <c r="P19" s="3"/>
      <c r="Q19" s="3"/>
    </row>
    <row r="20" spans="1:23" s="5" customFormat="1" ht="15.75" customHeight="1">
      <c r="A20" s="64"/>
      <c r="B20" s="293"/>
      <c r="C20" s="293"/>
      <c r="D20" s="294"/>
      <c r="E20" s="699" t="s">
        <v>438</v>
      </c>
      <c r="F20" s="699"/>
      <c r="G20" s="699"/>
      <c r="H20" s="699"/>
      <c r="I20" s="699"/>
      <c r="J20" s="699"/>
      <c r="K20" s="699"/>
      <c r="L20" s="699"/>
      <c r="M20" s="699"/>
      <c r="N20" s="3"/>
      <c r="O20" s="3"/>
      <c r="P20" s="3"/>
      <c r="Q20" s="3"/>
    </row>
    <row r="21" spans="1:23" s="5" customFormat="1" ht="15.75" customHeight="1">
      <c r="A21" s="64"/>
      <c r="B21" s="293"/>
      <c r="C21" s="293"/>
      <c r="D21" s="294"/>
      <c r="E21" s="6"/>
      <c r="F21" s="697" t="s">
        <v>127</v>
      </c>
      <c r="G21" s="697"/>
      <c r="H21" s="697"/>
      <c r="I21" s="697"/>
      <c r="J21" s="697"/>
      <c r="K21" s="697"/>
      <c r="L21" s="697"/>
      <c r="M21" s="697"/>
      <c r="N21" s="697"/>
      <c r="O21" s="697"/>
      <c r="P21" s="697"/>
      <c r="Q21" s="3"/>
    </row>
    <row r="22" spans="1:23" s="5" customFormat="1" ht="15.75" customHeight="1">
      <c r="A22" s="64"/>
      <c r="B22" s="293"/>
      <c r="C22" s="293"/>
      <c r="D22" s="294"/>
      <c r="E22" s="6"/>
      <c r="F22" s="6"/>
      <c r="G22" s="699" t="s">
        <v>439</v>
      </c>
      <c r="H22" s="699"/>
      <c r="I22" s="699"/>
      <c r="J22" s="699"/>
      <c r="K22" s="699"/>
      <c r="L22" s="699"/>
      <c r="M22" s="699"/>
      <c r="N22" s="699"/>
      <c r="O22" s="699"/>
      <c r="P22" s="699"/>
      <c r="Q22" s="699"/>
    </row>
    <row r="23" spans="1:23" s="5" customFormat="1" ht="15.75" customHeight="1">
      <c r="A23" s="64"/>
      <c r="B23" s="293"/>
      <c r="C23" s="293"/>
      <c r="D23" s="294"/>
      <c r="E23" s="6"/>
      <c r="F23" s="6"/>
      <c r="G23" s="286"/>
      <c r="H23" s="697" t="s">
        <v>106</v>
      </c>
      <c r="I23" s="697"/>
      <c r="J23" s="697"/>
      <c r="K23" s="697"/>
      <c r="L23" s="697"/>
      <c r="M23" s="697"/>
      <c r="N23" s="697"/>
      <c r="O23" s="3"/>
      <c r="P23" s="3"/>
      <c r="Q23" s="3"/>
      <c r="R23" s="3"/>
      <c r="S23" s="3"/>
      <c r="T23" s="3"/>
      <c r="U23" s="3"/>
      <c r="V23" s="3"/>
      <c r="W23" s="3"/>
    </row>
    <row r="24" spans="1:23" s="5" customFormat="1" ht="15.75" customHeight="1">
      <c r="A24" s="64"/>
      <c r="B24" s="293"/>
      <c r="C24" s="293"/>
      <c r="D24" s="294"/>
      <c r="E24" s="6"/>
      <c r="F24" s="6"/>
      <c r="G24" s="286"/>
      <c r="H24" s="6"/>
      <c r="I24" s="699" t="s">
        <v>107</v>
      </c>
      <c r="J24" s="699"/>
      <c r="K24" s="699"/>
      <c r="L24" s="699"/>
      <c r="M24" s="699"/>
      <c r="N24" s="699"/>
      <c r="O24" s="699"/>
      <c r="P24" s="699"/>
      <c r="Q24" s="699"/>
      <c r="R24" s="699"/>
      <c r="S24" s="3"/>
      <c r="T24" s="3"/>
      <c r="U24" s="3"/>
      <c r="V24" s="3"/>
      <c r="W24" s="3"/>
    </row>
    <row r="25" spans="1:23" s="5" customFormat="1" ht="15.75" customHeight="1">
      <c r="A25" s="64"/>
      <c r="B25" s="293"/>
      <c r="C25" s="293"/>
      <c r="D25" s="294"/>
      <c r="E25" s="6"/>
      <c r="F25" s="6"/>
      <c r="G25" s="286"/>
      <c r="H25" s="6"/>
      <c r="I25" s="6"/>
      <c r="J25" s="697" t="s">
        <v>108</v>
      </c>
      <c r="K25" s="697"/>
      <c r="L25" s="697"/>
      <c r="M25" s="697"/>
      <c r="N25" s="697"/>
      <c r="O25" s="697"/>
      <c r="P25" s="697"/>
      <c r="Q25" s="697"/>
      <c r="R25" s="3"/>
      <c r="S25" s="3"/>
      <c r="T25" s="3"/>
      <c r="U25" s="3"/>
      <c r="V25" s="3"/>
      <c r="W25" s="3"/>
    </row>
    <row r="26" spans="1:23" s="5" customFormat="1" ht="15.75" customHeight="1">
      <c r="A26" s="64"/>
      <c r="B26" s="293"/>
      <c r="C26" s="293"/>
      <c r="D26" s="294"/>
      <c r="E26" s="6"/>
      <c r="F26" s="6"/>
      <c r="G26" s="286"/>
      <c r="H26" s="6"/>
      <c r="I26" s="6"/>
      <c r="J26" s="6"/>
      <c r="K26" s="698" t="s">
        <v>128</v>
      </c>
      <c r="L26" s="698"/>
      <c r="M26" s="698"/>
      <c r="N26" s="698"/>
      <c r="O26" s="698"/>
      <c r="P26" s="698"/>
      <c r="Q26" s="698"/>
      <c r="R26" s="698"/>
      <c r="S26" s="698"/>
      <c r="T26" s="698"/>
      <c r="U26" s="698"/>
      <c r="V26" s="3"/>
      <c r="W26" s="3"/>
    </row>
    <row r="27" spans="1:23" s="5" customFormat="1" ht="15.75" customHeight="1">
      <c r="A27" s="64"/>
      <c r="B27" s="293"/>
      <c r="C27" s="293"/>
      <c r="D27" s="294"/>
      <c r="E27" s="6"/>
      <c r="F27" s="6"/>
      <c r="G27" s="286"/>
      <c r="H27" s="6"/>
      <c r="I27" s="6"/>
      <c r="J27" s="6"/>
      <c r="K27" s="6"/>
      <c r="L27" s="697" t="s">
        <v>109</v>
      </c>
      <c r="M27" s="697"/>
      <c r="N27" s="697"/>
      <c r="O27" s="697"/>
      <c r="P27" s="697"/>
      <c r="Q27" s="697"/>
      <c r="R27" s="697"/>
      <c r="S27" s="697"/>
      <c r="T27" s="3"/>
      <c r="U27" s="3"/>
      <c r="V27" s="3"/>
      <c r="W27" s="3"/>
    </row>
    <row r="28" spans="1:23" s="5" customFormat="1" ht="15.75" customHeight="1">
      <c r="A28" s="64"/>
      <c r="B28" s="293"/>
      <c r="C28" s="293"/>
      <c r="D28" s="294"/>
      <c r="E28" s="6"/>
      <c r="F28" s="6"/>
      <c r="G28" s="286"/>
      <c r="H28" s="6"/>
      <c r="I28" s="6"/>
      <c r="J28" s="6"/>
      <c r="K28" s="6"/>
      <c r="L28" s="3"/>
      <c r="M28" s="699" t="s">
        <v>110</v>
      </c>
      <c r="N28" s="699"/>
      <c r="O28" s="699"/>
      <c r="P28" s="699"/>
      <c r="Q28" s="699"/>
      <c r="R28" s="699"/>
      <c r="S28" s="699"/>
      <c r="T28" s="699"/>
      <c r="U28" s="3"/>
      <c r="V28" s="3"/>
      <c r="W28" s="3"/>
    </row>
    <row r="29" spans="1:23" s="5" customFormat="1" ht="15.75" customHeight="1">
      <c r="A29" s="64"/>
      <c r="B29" s="293"/>
      <c r="C29" s="293"/>
      <c r="D29" s="294"/>
      <c r="E29" s="6"/>
      <c r="F29" s="6"/>
      <c r="G29" s="286"/>
      <c r="H29" s="6"/>
      <c r="I29" s="6"/>
      <c r="J29" s="6"/>
      <c r="K29" s="6"/>
      <c r="L29" s="3"/>
      <c r="M29" s="3"/>
      <c r="N29" s="697" t="s">
        <v>111</v>
      </c>
      <c r="O29" s="697"/>
      <c r="P29" s="697"/>
      <c r="Q29" s="697"/>
      <c r="R29" s="697"/>
      <c r="S29" s="697"/>
      <c r="T29" s="697"/>
      <c r="U29" s="697"/>
      <c r="V29" s="697"/>
      <c r="W29" s="697"/>
    </row>
    <row r="30" spans="1:23" s="5" customFormat="1" ht="15.75" customHeight="1">
      <c r="A30" s="64"/>
      <c r="B30" s="293"/>
      <c r="C30" s="293"/>
      <c r="D30" s="294"/>
      <c r="E30" s="6"/>
      <c r="F30" s="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</row>
  </sheetData>
  <mergeCells count="17">
    <mergeCell ref="H23:N23"/>
    <mergeCell ref="I24:R24"/>
    <mergeCell ref="C18:K18"/>
    <mergeCell ref="D19:O19"/>
    <mergeCell ref="E20:M20"/>
    <mergeCell ref="F21:P21"/>
    <mergeCell ref="G22:Q22"/>
    <mergeCell ref="A1:Q1"/>
    <mergeCell ref="B2:D2"/>
    <mergeCell ref="E2:H2"/>
    <mergeCell ref="I2:L2"/>
    <mergeCell ref="B17:K17"/>
    <mergeCell ref="J25:Q25"/>
    <mergeCell ref="K26:U26"/>
    <mergeCell ref="L27:S27"/>
    <mergeCell ref="M28:T28"/>
    <mergeCell ref="N29:W2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7.42578125" style="8" bestFit="1" customWidth="1"/>
    <col min="2" max="7" width="5.7109375" style="90" bestFit="1" customWidth="1"/>
    <col min="8" max="8" width="46.140625" style="90" customWidth="1"/>
    <col min="9" max="9" width="6.5703125" style="90" customWidth="1"/>
    <col min="10" max="10" width="52.85546875" style="90" customWidth="1"/>
    <col min="11" max="15" width="5.7109375" style="90" bestFit="1" customWidth="1"/>
    <col min="16" max="20" width="5.28515625" style="90" bestFit="1" customWidth="1"/>
    <col min="21" max="16384" width="9.140625" style="3"/>
  </cols>
  <sheetData>
    <row r="1" spans="1:20" ht="15.75">
      <c r="A1" s="700" t="s">
        <v>75</v>
      </c>
      <c r="B1" s="700"/>
      <c r="C1" s="700"/>
      <c r="D1" s="700"/>
      <c r="E1" s="700"/>
      <c r="F1" s="700"/>
      <c r="G1" s="700"/>
      <c r="H1" s="700"/>
      <c r="I1" s="700"/>
      <c r="J1" s="700"/>
      <c r="K1" s="700"/>
      <c r="L1" s="700"/>
      <c r="M1" s="700"/>
      <c r="N1" s="700"/>
      <c r="O1" s="700"/>
      <c r="P1" s="700"/>
      <c r="Q1" s="700"/>
      <c r="R1" s="700"/>
      <c r="S1" s="700"/>
      <c r="T1" s="700"/>
    </row>
    <row r="2" spans="1:20" s="9" customFormat="1" ht="23.25" customHeight="1" thickBot="1">
      <c r="A2" s="295" t="s">
        <v>19</v>
      </c>
      <c r="B2" s="701" t="s">
        <v>29</v>
      </c>
      <c r="C2" s="702"/>
      <c r="D2" s="703"/>
      <c r="E2" s="704" t="s">
        <v>84</v>
      </c>
      <c r="F2" s="705"/>
      <c r="G2" s="706"/>
      <c r="H2" s="711" t="s">
        <v>84</v>
      </c>
      <c r="I2" s="712"/>
      <c r="J2" s="713"/>
      <c r="K2" s="707" t="s">
        <v>84</v>
      </c>
      <c r="L2" s="708"/>
      <c r="M2" s="709"/>
      <c r="N2" s="296" t="s">
        <v>36</v>
      </c>
      <c r="O2" s="296" t="s">
        <v>37</v>
      </c>
      <c r="P2" s="296" t="s">
        <v>38</v>
      </c>
      <c r="Q2" s="296" t="s">
        <v>39</v>
      </c>
      <c r="R2" s="296" t="s">
        <v>40</v>
      </c>
      <c r="S2" s="296" t="s">
        <v>41</v>
      </c>
      <c r="T2" s="296" t="s">
        <v>42</v>
      </c>
    </row>
    <row r="3" spans="1:20" s="19" customFormat="1">
      <c r="A3" s="33">
        <f>'1-συμβολαια'!A3</f>
        <v>2774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  <c r="T3" s="89"/>
    </row>
    <row r="4" spans="1:20" s="19" customFormat="1">
      <c r="A4" s="33">
        <f>'1-συμβολαια'!A4</f>
        <v>0</v>
      </c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  <c r="T4" s="89"/>
    </row>
    <row r="5" spans="1:20" s="19" customFormat="1">
      <c r="A5" s="33" t="str">
        <f>'1-συμβολαια'!A5</f>
        <v>2ο</v>
      </c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</row>
    <row r="6" spans="1:20" s="19" customFormat="1">
      <c r="A6" s="33">
        <f>'1-συμβολαια'!A6</f>
        <v>0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</row>
    <row r="7" spans="1:20" s="19" customFormat="1">
      <c r="A7" s="33">
        <f>'1-συμβολαια'!A7</f>
        <v>0</v>
      </c>
      <c r="B7" s="89"/>
      <c r="C7" s="89"/>
      <c r="D7" s="89"/>
      <c r="E7" s="89"/>
      <c r="F7" s="89"/>
      <c r="G7" s="89"/>
      <c r="H7" s="89"/>
      <c r="I7" s="89"/>
      <c r="J7" s="89"/>
      <c r="K7" s="89"/>
      <c r="L7" s="89"/>
      <c r="M7" s="89"/>
      <c r="N7" s="89"/>
      <c r="O7" s="89"/>
      <c r="P7" s="89"/>
      <c r="Q7" s="89"/>
      <c r="R7" s="89"/>
      <c r="S7" s="89"/>
      <c r="T7" s="89"/>
    </row>
    <row r="8" spans="1:20" s="19" customFormat="1">
      <c r="A8" s="33">
        <f>'1-συμβολαια'!A8</f>
        <v>0</v>
      </c>
      <c r="B8" s="89"/>
      <c r="C8" s="89"/>
      <c r="D8" s="89"/>
      <c r="E8" s="89"/>
      <c r="F8" s="89"/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</row>
    <row r="9" spans="1:20" s="19" customFormat="1">
      <c r="A9" s="33">
        <f>'1-συμβολαια'!A9</f>
        <v>0</v>
      </c>
      <c r="B9" s="89"/>
      <c r="C9" s="89"/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89"/>
      <c r="R9" s="89"/>
      <c r="S9" s="89"/>
      <c r="T9" s="89"/>
    </row>
    <row r="10" spans="1:20" s="19" customFormat="1">
      <c r="A10" s="33">
        <f>'1-συμβολαια'!A10</f>
        <v>0</v>
      </c>
      <c r="B10" s="89"/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89"/>
      <c r="Q10" s="89"/>
      <c r="R10" s="89"/>
      <c r="S10" s="89"/>
      <c r="T10" s="89"/>
    </row>
    <row r="11" spans="1:20" s="19" customFormat="1">
      <c r="A11" s="33" t="str">
        <f>'1-συμβολαια'!A11</f>
        <v>3ο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</row>
    <row r="12" spans="1:20" s="19" customFormat="1">
      <c r="A12" s="33">
        <f>'1-συμβολαια'!A12</f>
        <v>0</v>
      </c>
      <c r="B12" s="89"/>
      <c r="C12" s="89"/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89"/>
      <c r="R12" s="89"/>
      <c r="S12" s="89"/>
      <c r="T12" s="89"/>
    </row>
    <row r="13" spans="1:20" s="19" customFormat="1">
      <c r="A13" s="33">
        <f>'1-συμβολαια'!A13</f>
        <v>0</v>
      </c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</row>
    <row r="14" spans="1:20" s="19" customFormat="1">
      <c r="A14" s="33">
        <f>'1-συμβολαια'!A14</f>
        <v>0</v>
      </c>
      <c r="B14" s="89"/>
      <c r="C14" s="89"/>
      <c r="D14" s="89"/>
      <c r="E14" s="89"/>
      <c r="F14" s="89"/>
      <c r="G14" s="89"/>
      <c r="H14" s="89"/>
      <c r="I14" s="89"/>
      <c r="J14" s="89"/>
      <c r="K14" s="89"/>
      <c r="L14" s="89"/>
      <c r="M14" s="89"/>
      <c r="N14" s="89"/>
      <c r="O14" s="89"/>
      <c r="P14" s="89"/>
      <c r="Q14" s="89"/>
      <c r="R14" s="89"/>
      <c r="S14" s="89"/>
      <c r="T14" s="89"/>
    </row>
    <row r="15" spans="1:20" s="19" customFormat="1">
      <c r="A15" s="33">
        <f>'1-συμβολαια'!A15</f>
        <v>0</v>
      </c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89"/>
      <c r="S15" s="89"/>
      <c r="T15" s="89"/>
    </row>
    <row r="17" spans="2:15" ht="15.75">
      <c r="B17" s="697" t="s">
        <v>112</v>
      </c>
      <c r="C17" s="697"/>
      <c r="D17" s="697"/>
      <c r="E17" s="697"/>
      <c r="F17" s="697"/>
      <c r="G17" s="697"/>
      <c r="H17" s="697"/>
      <c r="I17" s="148"/>
      <c r="J17" s="6"/>
      <c r="K17" s="6"/>
      <c r="L17" s="3"/>
      <c r="M17" s="3"/>
      <c r="N17" s="3"/>
      <c r="O17" s="3"/>
    </row>
    <row r="18" spans="2:15" ht="15.75">
      <c r="B18" s="6"/>
      <c r="C18" s="699" t="s">
        <v>113</v>
      </c>
      <c r="D18" s="699"/>
      <c r="E18" s="699"/>
      <c r="F18" s="699"/>
      <c r="G18" s="699"/>
      <c r="H18" s="699"/>
      <c r="I18" s="699"/>
      <c r="J18" s="6"/>
      <c r="K18" s="6"/>
      <c r="L18" s="3"/>
      <c r="M18" s="3"/>
      <c r="N18" s="3"/>
      <c r="O18" s="3"/>
    </row>
    <row r="19" spans="2:15" ht="15.75" customHeight="1">
      <c r="B19" s="6"/>
      <c r="C19" s="6"/>
      <c r="D19" s="697" t="s">
        <v>114</v>
      </c>
      <c r="E19" s="697"/>
      <c r="F19" s="697"/>
      <c r="G19" s="697"/>
      <c r="H19" s="697"/>
      <c r="I19" s="697"/>
      <c r="J19" s="697"/>
      <c r="K19" s="697"/>
      <c r="L19" s="3"/>
      <c r="M19" s="3"/>
      <c r="N19" s="3"/>
      <c r="O19" s="3"/>
    </row>
    <row r="20" spans="2:15" ht="15.75" customHeight="1">
      <c r="B20" s="6"/>
      <c r="C20" s="6"/>
      <c r="D20" s="6"/>
      <c r="E20" s="710" t="s">
        <v>119</v>
      </c>
      <c r="F20" s="710"/>
      <c r="G20" s="710"/>
      <c r="H20" s="710"/>
      <c r="I20" s="710"/>
      <c r="J20" s="710"/>
      <c r="K20" s="710"/>
      <c r="L20" s="710"/>
      <c r="M20" s="3"/>
      <c r="N20" s="3"/>
      <c r="O20" s="3"/>
    </row>
    <row r="21" spans="2:15" ht="15.75" customHeight="1">
      <c r="B21" s="6"/>
      <c r="C21" s="6"/>
      <c r="D21" s="6"/>
      <c r="E21" s="6"/>
      <c r="F21" s="697" t="s">
        <v>115</v>
      </c>
      <c r="G21" s="697"/>
      <c r="H21" s="697"/>
      <c r="I21" s="697"/>
      <c r="J21" s="697"/>
      <c r="K21" s="697"/>
      <c r="L21" s="697"/>
      <c r="M21" s="3"/>
      <c r="N21" s="3"/>
      <c r="O21" s="3"/>
    </row>
    <row r="22" spans="2:15" ht="15.75" customHeight="1">
      <c r="B22" s="6"/>
      <c r="C22" s="6"/>
      <c r="D22" s="6"/>
      <c r="E22" s="6"/>
      <c r="F22" s="6"/>
      <c r="G22" s="699" t="s">
        <v>116</v>
      </c>
      <c r="H22" s="699"/>
      <c r="I22" s="699"/>
      <c r="J22" s="699"/>
      <c r="K22" s="699"/>
      <c r="L22" s="699"/>
      <c r="M22" s="699"/>
      <c r="N22" s="3"/>
      <c r="O22" s="3"/>
    </row>
    <row r="23" spans="2:15" ht="15.75">
      <c r="B23" s="6"/>
      <c r="C23" s="6"/>
      <c r="D23" s="6"/>
      <c r="E23" s="6"/>
      <c r="F23" s="6"/>
      <c r="G23" s="6"/>
      <c r="H23" s="697" t="s">
        <v>117</v>
      </c>
      <c r="I23" s="697"/>
      <c r="J23" s="697"/>
      <c r="K23" s="697"/>
      <c r="L23" s="697"/>
      <c r="M23" s="697"/>
      <c r="N23" s="697"/>
      <c r="O23" s="3"/>
    </row>
    <row r="24" spans="2:15" ht="15.75">
      <c r="B24" s="6"/>
      <c r="C24" s="6"/>
      <c r="D24" s="6"/>
      <c r="E24" s="6"/>
      <c r="F24" s="6"/>
      <c r="G24" s="6"/>
      <c r="H24" s="6"/>
      <c r="I24" s="699" t="s">
        <v>118</v>
      </c>
      <c r="J24" s="699"/>
      <c r="K24" s="699"/>
      <c r="L24" s="699"/>
      <c r="M24" s="699"/>
      <c r="N24" s="699"/>
      <c r="O24" s="699"/>
    </row>
  </sheetData>
  <mergeCells count="13">
    <mergeCell ref="A1:T1"/>
    <mergeCell ref="B2:D2"/>
    <mergeCell ref="E2:G2"/>
    <mergeCell ref="H2:J2"/>
    <mergeCell ref="K2:M2"/>
    <mergeCell ref="G22:M22"/>
    <mergeCell ref="H23:N23"/>
    <mergeCell ref="I24:O24"/>
    <mergeCell ref="B17:H17"/>
    <mergeCell ref="C18:I18"/>
    <mergeCell ref="D19:K19"/>
    <mergeCell ref="E20:L20"/>
    <mergeCell ref="F21:L2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4"/>
  <sheetViews>
    <sheetView zoomScaleNormal="100" workbookViewId="0">
      <pane ySplit="2" topLeftCell="A3" activePane="bottomLeft" state="frozen"/>
      <selection pane="bottomLeft" activeCell="E27" sqref="E27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30" customWidth="1"/>
    <col min="5" max="5" width="42.7109375" style="10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5" customWidth="1"/>
    <col min="23" max="23" width="5.5703125" style="9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29" s="50" customFormat="1" ht="15.75" customHeight="1">
      <c r="A1" s="551" t="s">
        <v>65</v>
      </c>
      <c r="B1" s="551"/>
      <c r="C1" s="720" t="s">
        <v>66</v>
      </c>
      <c r="D1" s="720"/>
      <c r="E1" s="551" t="s">
        <v>0</v>
      </c>
      <c r="F1" s="551"/>
      <c r="G1" s="718" t="s">
        <v>10</v>
      </c>
      <c r="H1" s="718"/>
      <c r="I1" s="718"/>
      <c r="J1" s="551" t="s">
        <v>8</v>
      </c>
      <c r="K1" s="551"/>
      <c r="L1" s="721" t="s">
        <v>440</v>
      </c>
      <c r="M1" s="722"/>
      <c r="N1" s="722"/>
      <c r="O1" s="723"/>
      <c r="P1" s="719" t="s">
        <v>64</v>
      </c>
      <c r="Q1" s="719"/>
      <c r="R1" s="718" t="s">
        <v>55</v>
      </c>
      <c r="S1" s="718"/>
      <c r="T1" s="716" t="s">
        <v>46</v>
      </c>
      <c r="U1" s="714" t="s">
        <v>84</v>
      </c>
      <c r="V1" s="714"/>
      <c r="W1" s="714"/>
      <c r="X1" s="714"/>
      <c r="Y1" s="714"/>
      <c r="Z1" s="714"/>
      <c r="AA1" s="714"/>
      <c r="AB1" s="714"/>
      <c r="AC1" s="714"/>
    </row>
    <row r="2" spans="1:29" s="12" customFormat="1" ht="15.75" customHeight="1" thickBot="1">
      <c r="A2" s="104"/>
      <c r="B2" s="57"/>
      <c r="C2" s="93"/>
      <c r="D2" s="60" t="s">
        <v>67</v>
      </c>
      <c r="E2" s="105"/>
      <c r="F2" s="58" t="s">
        <v>67</v>
      </c>
      <c r="G2" s="54" t="s">
        <v>11</v>
      </c>
      <c r="H2" s="52" t="s">
        <v>12</v>
      </c>
      <c r="I2" s="53" t="s">
        <v>29</v>
      </c>
      <c r="J2" s="80" t="s">
        <v>23</v>
      </c>
      <c r="K2" s="59" t="s">
        <v>67</v>
      </c>
      <c r="L2" s="80" t="s">
        <v>319</v>
      </c>
      <c r="M2" s="80" t="s">
        <v>323</v>
      </c>
      <c r="N2" s="80" t="s">
        <v>324</v>
      </c>
      <c r="O2" s="292" t="s">
        <v>29</v>
      </c>
      <c r="P2" s="66" t="s">
        <v>23</v>
      </c>
      <c r="Q2" s="59" t="s">
        <v>67</v>
      </c>
      <c r="R2" s="80" t="s">
        <v>23</v>
      </c>
      <c r="S2" s="39" t="s">
        <v>67</v>
      </c>
      <c r="T2" s="717"/>
      <c r="U2" s="715"/>
      <c r="V2" s="715"/>
      <c r="W2" s="715"/>
      <c r="X2" s="715"/>
      <c r="Y2" s="715"/>
      <c r="Z2" s="715"/>
      <c r="AA2" s="715"/>
      <c r="AB2" s="715"/>
      <c r="AC2" s="715"/>
    </row>
    <row r="3" spans="1:29" s="19" customFormat="1">
      <c r="A3" s="14">
        <f>'1-συμβολαια'!A3</f>
        <v>2774</v>
      </c>
      <c r="B3" s="56"/>
      <c r="C3" s="88">
        <f>'1-συμβολαια'!B3</f>
        <v>37719</v>
      </c>
      <c r="D3" s="20"/>
      <c r="E3" s="100" t="str">
        <f>'1-συμβολαια'!C3</f>
        <v>κατασχέσεως ΑΡΣΗ για δάνειο Β.2'  [1.635.748δρχ = 4.800,44€]</v>
      </c>
      <c r="F3" s="15"/>
      <c r="G3" s="16" t="str">
        <f>'4-πολλυπρ'!D3</f>
        <v>τραπεζα …??? [= ???</v>
      </c>
      <c r="H3" s="16" t="str">
        <f>'4-πολλυπρ'!I3</f>
        <v>219-67</v>
      </c>
      <c r="I3" s="21"/>
      <c r="J3" s="21">
        <f>'1-συμβολαια'!D3</f>
        <v>0</v>
      </c>
      <c r="K3" s="21"/>
      <c r="L3" s="28">
        <f>'11-χαρτόσ'!D3</f>
        <v>0</v>
      </c>
      <c r="M3" s="28"/>
      <c r="N3" s="28"/>
      <c r="O3" s="22"/>
      <c r="P3" s="18" t="e">
        <f>#REF!-R3</f>
        <v>#REF!</v>
      </c>
      <c r="Q3" s="17"/>
      <c r="R3" s="23">
        <f>'5-αντίγρ'!Q3</f>
        <v>0.71060000000000001</v>
      </c>
      <c r="S3" s="24"/>
      <c r="T3" s="25"/>
      <c r="U3" s="94"/>
      <c r="V3" s="94"/>
      <c r="W3" s="89"/>
      <c r="X3" s="26"/>
      <c r="Y3" s="26"/>
      <c r="Z3" s="26"/>
      <c r="AA3" s="26"/>
      <c r="AB3" s="26"/>
      <c r="AC3" s="26"/>
    </row>
    <row r="4" spans="1:29" s="19" customFormat="1">
      <c r="A4" s="14">
        <f>'1-συμβολαια'!A4</f>
        <v>0</v>
      </c>
      <c r="B4" s="56"/>
      <c r="C4" s="88">
        <f>'1-συμβολαια'!B4</f>
        <v>0</v>
      </c>
      <c r="D4" s="20"/>
      <c r="E4" s="100">
        <f>'1-συμβολαια'!C4</f>
        <v>0</v>
      </c>
      <c r="F4" s="15"/>
      <c r="G4" s="16">
        <f>'4-πολλυπρ'!D4</f>
        <v>0</v>
      </c>
      <c r="H4" s="16">
        <f>'4-πολλυπρ'!I4</f>
        <v>0</v>
      </c>
      <c r="I4" s="21"/>
      <c r="J4" s="21">
        <f>'1-συμβολαια'!D4</f>
        <v>0</v>
      </c>
      <c r="K4" s="21"/>
      <c r="L4" s="28">
        <f>'11-χαρτόσ'!D4</f>
        <v>0</v>
      </c>
      <c r="M4" s="28"/>
      <c r="N4" s="28"/>
      <c r="O4" s="22"/>
      <c r="P4" s="18" t="e">
        <f>#REF!-R4</f>
        <v>#REF!</v>
      </c>
      <c r="Q4" s="17"/>
      <c r="R4" s="23">
        <f>'5-αντίγρ'!Q4</f>
        <v>0</v>
      </c>
      <c r="S4" s="24"/>
      <c r="T4" s="25"/>
      <c r="U4" s="94"/>
      <c r="V4" s="94"/>
      <c r="W4" s="89"/>
      <c r="X4" s="26"/>
      <c r="Y4" s="26"/>
      <c r="Z4" s="26"/>
      <c r="AA4" s="26"/>
      <c r="AB4" s="26"/>
      <c r="AC4" s="26"/>
    </row>
    <row r="5" spans="1:29" s="19" customFormat="1">
      <c r="A5" s="14" t="str">
        <f>'1-συμβολαια'!A5</f>
        <v>2ο</v>
      </c>
      <c r="B5" s="56"/>
      <c r="C5" s="88">
        <f>'1-συμβολαια'!B5</f>
        <v>37719</v>
      </c>
      <c r="D5" s="20"/>
      <c r="E5" s="100" t="str">
        <f>'1-συμβολαια'!C5</f>
        <v>δανείου  Β' ΕΞΟΦΛΗΣΗ [= 2.500.000δρχ</v>
      </c>
      <c r="F5" s="15"/>
      <c r="G5" s="16" t="str">
        <f>'4-πολλυπρ'!D5</f>
        <v>τραπεζα …??? [= ???</v>
      </c>
      <c r="H5" s="16" t="str">
        <f>'4-πολλυπρ'!I5</f>
        <v>219-67</v>
      </c>
      <c r="I5" s="21"/>
      <c r="J5" s="21">
        <f>'1-συμβολαια'!D5</f>
        <v>7336.76</v>
      </c>
      <c r="K5" s="21"/>
      <c r="L5" s="28">
        <f>'11-χαρτόσ'!D5</f>
        <v>0</v>
      </c>
      <c r="M5" s="28"/>
      <c r="N5" s="28"/>
      <c r="O5" s="22"/>
      <c r="P5" s="18" t="e">
        <f>#REF!-R5</f>
        <v>#REF!</v>
      </c>
      <c r="Q5" s="17"/>
      <c r="R5" s="23">
        <f>'5-αντίγρ'!Q5</f>
        <v>0.3553</v>
      </c>
      <c r="S5" s="24"/>
      <c r="T5" s="25"/>
      <c r="U5" s="94"/>
      <c r="V5" s="94"/>
      <c r="W5" s="89"/>
      <c r="X5" s="26"/>
      <c r="Y5" s="26"/>
      <c r="Z5" s="26"/>
      <c r="AA5" s="26"/>
      <c r="AB5" s="26"/>
      <c r="AC5" s="26"/>
    </row>
    <row r="6" spans="1:29" s="19" customFormat="1">
      <c r="A6" s="14">
        <f>'1-συμβολαια'!A6</f>
        <v>0</v>
      </c>
      <c r="B6" s="56"/>
      <c r="C6" s="88">
        <f>'1-συμβολαια'!B6</f>
        <v>0</v>
      </c>
      <c r="D6" s="20"/>
      <c r="E6" s="100" t="str">
        <f>'1-συμβολαια'!C6</f>
        <v>δανείου  Β.2' ΕΞΟΦΛΗΣΗ ΥΠΟΛΟΙΠΟΥ = 1.635.748δρχ</v>
      </c>
      <c r="F6" s="15"/>
      <c r="G6" s="16" t="str">
        <f>'4-πολλυπρ'!D6</f>
        <v>τραπεζα …??? [= ???</v>
      </c>
      <c r="H6" s="16" t="str">
        <f>'4-πολλυπρ'!I6</f>
        <v>219-67</v>
      </c>
      <c r="I6" s="21"/>
      <c r="J6" s="21">
        <f>'1-συμβολαια'!D6</f>
        <v>4800.4399999999996</v>
      </c>
      <c r="K6" s="21"/>
      <c r="L6" s="28">
        <f>'11-χαρτόσ'!D6</f>
        <v>0</v>
      </c>
      <c r="M6" s="28"/>
      <c r="N6" s="28"/>
      <c r="O6" s="22"/>
      <c r="P6" s="18" t="e">
        <f>#REF!-R6</f>
        <v>#REF!</v>
      </c>
      <c r="Q6" s="17"/>
      <c r="R6" s="23">
        <f>'5-αντίγρ'!Q6</f>
        <v>0</v>
      </c>
      <c r="S6" s="24"/>
      <c r="T6" s="25"/>
      <c r="U6" s="94"/>
      <c r="V6" s="94"/>
      <c r="W6" s="89"/>
      <c r="X6" s="26"/>
      <c r="Y6" s="26"/>
      <c r="Z6" s="26"/>
      <c r="AA6" s="26"/>
      <c r="AB6" s="26"/>
      <c r="AC6" s="26"/>
    </row>
    <row r="7" spans="1:29" s="19" customFormat="1">
      <c r="A7" s="14">
        <f>'1-συμβολαια'!A7</f>
        <v>0</v>
      </c>
      <c r="B7" s="56"/>
      <c r="C7" s="88">
        <f>'1-συμβολαια'!B7</f>
        <v>0</v>
      </c>
      <c r="D7" s="20"/>
      <c r="E7" s="100" t="str">
        <f>'1-συμβολαια'!C7</f>
        <v>υποθήκη δανείου Β' …. ΕΞΑΛΕΙΨΗ</v>
      </c>
      <c r="F7" s="15"/>
      <c r="G7" s="16" t="str">
        <f>'4-πολλυπρ'!D7</f>
        <v>τραπεζα …??? [= ???</v>
      </c>
      <c r="H7" s="16" t="str">
        <f>'4-πολλυπρ'!I7</f>
        <v>219-67</v>
      </c>
      <c r="I7" s="21"/>
      <c r="J7" s="21">
        <f>'1-συμβολαια'!D7</f>
        <v>8151.95</v>
      </c>
      <c r="K7" s="21"/>
      <c r="L7" s="28">
        <f>'11-χαρτόσ'!D7</f>
        <v>0</v>
      </c>
      <c r="M7" s="28"/>
      <c r="N7" s="28"/>
      <c r="O7" s="22"/>
      <c r="P7" s="18" t="e">
        <f>#REF!-R7</f>
        <v>#REF!</v>
      </c>
      <c r="Q7" s="17"/>
      <c r="R7" s="23">
        <f>'5-αντίγρ'!Q7</f>
        <v>0</v>
      </c>
      <c r="S7" s="24"/>
      <c r="T7" s="25"/>
      <c r="U7" s="94"/>
      <c r="V7" s="94"/>
      <c r="W7" s="89"/>
      <c r="X7" s="26"/>
      <c r="Y7" s="26"/>
      <c r="Z7" s="26"/>
      <c r="AA7" s="26"/>
      <c r="AB7" s="26"/>
      <c r="AC7" s="26"/>
    </row>
    <row r="8" spans="1:29" s="19" customFormat="1">
      <c r="A8" s="14">
        <f>'1-συμβολαια'!A8</f>
        <v>0</v>
      </c>
      <c r="B8" s="56"/>
      <c r="C8" s="88">
        <f>'1-συμβολαια'!B8</f>
        <v>0</v>
      </c>
      <c r="D8" s="20"/>
      <c r="E8" s="100" t="str">
        <f>'1-συμβολαια'!C8</f>
        <v>τόκοι δανείου Β' [προυπολογιζόμενοι VS πληρωμένοι]</v>
      </c>
      <c r="F8" s="15"/>
      <c r="G8" s="16" t="str">
        <f>'4-πολλυπρ'!D8</f>
        <v>τραπεζα …??? [= ???</v>
      </c>
      <c r="H8" s="16" t="str">
        <f>'4-πολλυπρ'!I8</f>
        <v>219-67</v>
      </c>
      <c r="I8" s="21"/>
      <c r="J8" s="21">
        <f>'1-συμβολαια'!D8</f>
        <v>23882.636363636364</v>
      </c>
      <c r="K8" s="21"/>
      <c r="L8" s="28">
        <f>'11-χαρτόσ'!D8</f>
        <v>0</v>
      </c>
      <c r="M8" s="28"/>
      <c r="N8" s="28"/>
      <c r="O8" s="22"/>
      <c r="P8" s="18" t="e">
        <f>#REF!-R8</f>
        <v>#REF!</v>
      </c>
      <c r="Q8" s="17"/>
      <c r="R8" s="23">
        <f>'5-αντίγρ'!Q8</f>
        <v>0</v>
      </c>
      <c r="S8" s="24"/>
      <c r="T8" s="25"/>
      <c r="U8" s="94"/>
      <c r="V8" s="94"/>
      <c r="W8" s="89"/>
      <c r="X8" s="26"/>
      <c r="Y8" s="26"/>
      <c r="Z8" s="26"/>
      <c r="AA8" s="26"/>
      <c r="AB8" s="26"/>
      <c r="AC8" s="26"/>
    </row>
    <row r="9" spans="1:29" s="19" customFormat="1">
      <c r="A9" s="14">
        <f>'1-συμβολαια'!A9</f>
        <v>0</v>
      </c>
      <c r="B9" s="56"/>
      <c r="C9" s="88">
        <f>'1-συμβολαια'!B9</f>
        <v>0</v>
      </c>
      <c r="D9" s="20"/>
      <c r="E9" s="100" t="str">
        <f>'1-συμβολαια'!C9</f>
        <v>τόκοι δανείου Β.2' [προυπολογιζόμενοι VS πληρωμένοι]</v>
      </c>
      <c r="F9" s="15"/>
      <c r="G9" s="16" t="str">
        <f>'4-πολλυπρ'!D9</f>
        <v>τραπεζα …??? [= ???</v>
      </c>
      <c r="H9" s="16" t="str">
        <f>'4-πολλυπρ'!I9</f>
        <v>219-67</v>
      </c>
      <c r="I9" s="21"/>
      <c r="J9" s="21">
        <f>'1-συμβολαια'!D9</f>
        <v>111.11</v>
      </c>
      <c r="K9" s="21"/>
      <c r="L9" s="28">
        <f>'11-χαρτόσ'!D9</f>
        <v>0</v>
      </c>
      <c r="M9" s="28"/>
      <c r="N9" s="28"/>
      <c r="O9" s="22"/>
      <c r="P9" s="18" t="e">
        <f>#REF!-R9</f>
        <v>#REF!</v>
      </c>
      <c r="Q9" s="17"/>
      <c r="R9" s="23">
        <f>'5-αντίγρ'!Q9</f>
        <v>0</v>
      </c>
      <c r="S9" s="24"/>
      <c r="T9" s="25"/>
      <c r="U9" s="94"/>
      <c r="V9" s="94"/>
      <c r="W9" s="89"/>
      <c r="X9" s="26"/>
      <c r="Y9" s="26"/>
      <c r="Z9" s="26"/>
      <c r="AA9" s="26"/>
      <c r="AB9" s="26"/>
      <c r="AC9" s="26"/>
    </row>
    <row r="10" spans="1:29" s="19" customFormat="1">
      <c r="A10" s="14">
        <f>'1-συμβολαια'!A10</f>
        <v>0</v>
      </c>
      <c r="B10" s="56"/>
      <c r="C10" s="88">
        <f>'1-συμβολαια'!B10</f>
        <v>0</v>
      </c>
      <c r="D10" s="20"/>
      <c r="E10" s="100">
        <f>'1-συμβολαια'!C10</f>
        <v>0</v>
      </c>
      <c r="F10" s="15"/>
      <c r="G10" s="16">
        <f>'4-πολλυπρ'!D10</f>
        <v>0</v>
      </c>
      <c r="H10" s="16">
        <f>'4-πολλυπρ'!I10</f>
        <v>0</v>
      </c>
      <c r="I10" s="21"/>
      <c r="J10" s="21">
        <f>'1-συμβολαια'!D10</f>
        <v>0</v>
      </c>
      <c r="K10" s="21"/>
      <c r="L10" s="28">
        <f>'11-χαρτόσ'!D10</f>
        <v>0</v>
      </c>
      <c r="M10" s="28"/>
      <c r="N10" s="28"/>
      <c r="O10" s="22"/>
      <c r="P10" s="18" t="e">
        <f>#REF!-R10</f>
        <v>#REF!</v>
      </c>
      <c r="Q10" s="17"/>
      <c r="R10" s="23">
        <f>'5-αντίγρ'!Q10</f>
        <v>0</v>
      </c>
      <c r="S10" s="24"/>
      <c r="T10" s="25"/>
      <c r="U10" s="94"/>
      <c r="V10" s="94"/>
      <c r="W10" s="89"/>
      <c r="X10" s="26"/>
      <c r="Y10" s="26"/>
      <c r="Z10" s="26"/>
      <c r="AA10" s="26"/>
      <c r="AB10" s="26"/>
      <c r="AC10" s="26"/>
    </row>
    <row r="11" spans="1:29" s="19" customFormat="1">
      <c r="A11" s="14" t="str">
        <f>'1-συμβολαια'!A11</f>
        <v>3ο</v>
      </c>
      <c r="B11" s="56"/>
      <c r="C11" s="88">
        <f>'1-συμβολαια'!B11</f>
        <v>37719</v>
      </c>
      <c r="D11" s="20"/>
      <c r="E11" s="100" t="str">
        <f>'1-συμβολαια'!C11</f>
        <v>δανείου  Α' ΕΞΟΦΛΗΣΗ [= 6.000.000δρχ</v>
      </c>
      <c r="F11" s="15"/>
      <c r="G11" s="16" t="str">
        <f>'4-πολλυπρ'!D11</f>
        <v>τραπεζα …??? [= ???</v>
      </c>
      <c r="H11" s="16" t="str">
        <f>'4-πολλυπρ'!I11</f>
        <v>219-67</v>
      </c>
      <c r="I11" s="21"/>
      <c r="J11" s="21">
        <f>'1-συμβολαια'!D11</f>
        <v>17608.22</v>
      </c>
      <c r="K11" s="21"/>
      <c r="L11" s="28">
        <f>'11-χαρτόσ'!D11</f>
        <v>0</v>
      </c>
      <c r="M11" s="28"/>
      <c r="N11" s="28"/>
      <c r="O11" s="22"/>
      <c r="P11" s="18" t="e">
        <f>#REF!-R11</f>
        <v>#REF!</v>
      </c>
      <c r="Q11" s="17"/>
      <c r="R11" s="23">
        <f>'5-αντίγρ'!Q11</f>
        <v>0.71060000000000001</v>
      </c>
      <c r="S11" s="24"/>
      <c r="T11" s="25"/>
      <c r="U11" s="94"/>
      <c r="V11" s="94"/>
      <c r="W11" s="89"/>
      <c r="X11" s="26"/>
      <c r="Y11" s="26"/>
      <c r="Z11" s="26"/>
      <c r="AA11" s="26"/>
      <c r="AB11" s="26"/>
      <c r="AC11" s="26"/>
    </row>
    <row r="12" spans="1:29" s="19" customFormat="1">
      <c r="A12" s="14">
        <f>'1-συμβολαια'!A12</f>
        <v>0</v>
      </c>
      <c r="B12" s="56"/>
      <c r="C12" s="88">
        <f>'1-συμβολαια'!B12</f>
        <v>0</v>
      </c>
      <c r="D12" s="20"/>
      <c r="E12" s="100" t="str">
        <f>'1-συμβολαια'!C12</f>
        <v xml:space="preserve">δανείου Α.2' ΕΞΟΦΛΗΣΗ ΥΠΟΛΟΙΠΟΥ = 3.119.471δρχ </v>
      </c>
      <c r="F12" s="15"/>
      <c r="G12" s="16" t="str">
        <f>'4-πολλυπρ'!D12</f>
        <v>τραπεζα …??? [= ???</v>
      </c>
      <c r="H12" s="16" t="str">
        <f>'4-πολλυπρ'!I12</f>
        <v>219-67</v>
      </c>
      <c r="I12" s="21"/>
      <c r="J12" s="21">
        <f>'1-συμβολαια'!D12</f>
        <v>9154.7199999999993</v>
      </c>
      <c r="K12" s="21"/>
      <c r="L12" s="28">
        <f>'11-χαρτόσ'!D12</f>
        <v>0</v>
      </c>
      <c r="M12" s="28"/>
      <c r="N12" s="28"/>
      <c r="O12" s="22"/>
      <c r="P12" s="18" t="e">
        <f>#REF!-R12</f>
        <v>#REF!</v>
      </c>
      <c r="Q12" s="17"/>
      <c r="R12" s="23">
        <f>'5-αντίγρ'!Q12</f>
        <v>0</v>
      </c>
      <c r="S12" s="24"/>
      <c r="T12" s="25"/>
      <c r="U12" s="94"/>
      <c r="V12" s="94"/>
      <c r="W12" s="89"/>
      <c r="X12" s="26"/>
      <c r="Y12" s="26"/>
      <c r="Z12" s="26"/>
      <c r="AA12" s="26"/>
      <c r="AB12" s="26"/>
      <c r="AC12" s="26"/>
    </row>
    <row r="13" spans="1:29" s="19" customFormat="1">
      <c r="A13" s="14">
        <f>'1-συμβολαια'!A13</f>
        <v>0</v>
      </c>
      <c r="B13" s="56"/>
      <c r="C13" s="88">
        <f>'1-συμβολαια'!B13</f>
        <v>0</v>
      </c>
      <c r="D13" s="20"/>
      <c r="E13" s="100" t="str">
        <f>'1-συμβολαια'!C13</f>
        <v>υποθήκη δανείου Α' …. ΕΞΑΛΕΙΨΗ</v>
      </c>
      <c r="F13" s="15"/>
      <c r="G13" s="16" t="str">
        <f>'4-πολλυπρ'!D13</f>
        <v>τραπεζα …??? [= ???</v>
      </c>
      <c r="H13" s="16" t="str">
        <f>'4-πολλυπρ'!I13</f>
        <v>219-67</v>
      </c>
      <c r="I13" s="21"/>
      <c r="J13" s="21">
        <f>'1-συμβολαια'!D13</f>
        <v>19564.68</v>
      </c>
      <c r="K13" s="21"/>
      <c r="L13" s="28">
        <f>'11-χαρτόσ'!D13</f>
        <v>0</v>
      </c>
      <c r="M13" s="28"/>
      <c r="N13" s="28"/>
      <c r="O13" s="22"/>
      <c r="P13" s="18" t="e">
        <f>#REF!-R13</f>
        <v>#REF!</v>
      </c>
      <c r="Q13" s="17"/>
      <c r="R13" s="23">
        <f>'5-αντίγρ'!Q13</f>
        <v>0</v>
      </c>
      <c r="S13" s="24"/>
      <c r="T13" s="25"/>
      <c r="U13" s="94"/>
      <c r="V13" s="94"/>
      <c r="W13" s="89"/>
      <c r="X13" s="26"/>
      <c r="Y13" s="26"/>
      <c r="Z13" s="26"/>
      <c r="AA13" s="26"/>
      <c r="AB13" s="26"/>
      <c r="AC13" s="26"/>
    </row>
    <row r="14" spans="1:29" s="19" customFormat="1">
      <c r="A14" s="14">
        <f>'1-συμβολαια'!A14</f>
        <v>0</v>
      </c>
      <c r="B14" s="56"/>
      <c r="C14" s="88">
        <f>'1-συμβολαια'!B14</f>
        <v>0</v>
      </c>
      <c r="D14" s="20"/>
      <c r="E14" s="100" t="str">
        <f>'1-συμβολαια'!C14</f>
        <v>τόκοι δανείου Α' [προυπολογιζόμενοι VS πληρωμένοι]</v>
      </c>
      <c r="F14" s="15"/>
      <c r="G14" s="16" t="str">
        <f>'4-πολλυπρ'!D14</f>
        <v>τραπεζα …??? [= ???</v>
      </c>
      <c r="H14" s="16" t="str">
        <f>'4-πολλυπρ'!I14</f>
        <v>219-67</v>
      </c>
      <c r="I14" s="21"/>
      <c r="J14" s="21">
        <f>'1-συμβολαια'!D14</f>
        <v>57318.327272727271</v>
      </c>
      <c r="K14" s="21"/>
      <c r="L14" s="28">
        <f>'11-χαρτόσ'!D14</f>
        <v>0</v>
      </c>
      <c r="M14" s="28"/>
      <c r="N14" s="28"/>
      <c r="O14" s="22"/>
      <c r="P14" s="18" t="e">
        <f>#REF!-R14</f>
        <v>#REF!</v>
      </c>
      <c r="Q14" s="17"/>
      <c r="R14" s="23">
        <f>'5-αντίγρ'!Q14</f>
        <v>0</v>
      </c>
      <c r="S14" s="24"/>
      <c r="T14" s="25"/>
      <c r="U14" s="94"/>
      <c r="V14" s="94"/>
      <c r="W14" s="89"/>
      <c r="X14" s="26"/>
      <c r="Y14" s="26"/>
      <c r="Z14" s="26"/>
      <c r="AA14" s="26"/>
      <c r="AB14" s="26"/>
      <c r="AC14" s="26"/>
    </row>
    <row r="15" spans="1:29" s="19" customFormat="1">
      <c r="A15" s="14">
        <f>'1-συμβολαια'!A15</f>
        <v>0</v>
      </c>
      <c r="B15" s="56"/>
      <c r="C15" s="88">
        <f>'1-συμβολαια'!B15</f>
        <v>0</v>
      </c>
      <c r="D15" s="20"/>
      <c r="E15" s="100" t="str">
        <f>'1-συμβολαια'!C15</f>
        <v>τόκοι δανείου Α.2' [προυπολογιζόμενοι VS πληρωμένοι]</v>
      </c>
      <c r="F15" s="15"/>
      <c r="G15" s="16" t="str">
        <f>'4-πολλυπρ'!D15</f>
        <v>τραπεζα …??? [= ???</v>
      </c>
      <c r="H15" s="16" t="str">
        <f>'4-πολλυπρ'!I15</f>
        <v>219-67</v>
      </c>
      <c r="I15" s="21"/>
      <c r="J15" s="21">
        <f>'1-συμβολαια'!D15</f>
        <v>111.11</v>
      </c>
      <c r="K15" s="21"/>
      <c r="L15" s="28">
        <f>'11-χαρτόσ'!D15</f>
        <v>0</v>
      </c>
      <c r="M15" s="28"/>
      <c r="N15" s="28"/>
      <c r="O15" s="22"/>
      <c r="P15" s="18" t="e">
        <f>#REF!-R15</f>
        <v>#REF!</v>
      </c>
      <c r="Q15" s="17"/>
      <c r="R15" s="23">
        <f>'5-αντίγρ'!Q15</f>
        <v>0</v>
      </c>
      <c r="S15" s="24"/>
      <c r="T15" s="25"/>
      <c r="U15" s="94"/>
      <c r="V15" s="94"/>
      <c r="W15" s="89"/>
      <c r="X15" s="26"/>
      <c r="Y15" s="26"/>
      <c r="Z15" s="26"/>
      <c r="AA15" s="26"/>
      <c r="AB15" s="26"/>
      <c r="AC15" s="26"/>
    </row>
    <row r="16" spans="1:29">
      <c r="A16" s="495" t="s">
        <v>56</v>
      </c>
      <c r="B16" s="496"/>
      <c r="C16" s="496"/>
      <c r="D16" s="496"/>
      <c r="E16" s="496"/>
      <c r="F16" s="496"/>
      <c r="G16" s="496"/>
      <c r="H16" s="496"/>
      <c r="I16" s="496"/>
      <c r="J16" s="496"/>
      <c r="K16" s="51"/>
      <c r="L16" s="1">
        <f>SUM(L3:L15)</f>
        <v>0</v>
      </c>
      <c r="M16" s="1"/>
      <c r="N16" s="1"/>
      <c r="O16" s="1">
        <f>SUM(O3:O15)</f>
        <v>0</v>
      </c>
      <c r="P16" s="44" t="e">
        <f>SUM(P3:P15)</f>
        <v>#REF!</v>
      </c>
      <c r="Q16" s="1">
        <f>SUM(Q3:Q15)</f>
        <v>0</v>
      </c>
      <c r="R16" s="1">
        <f>SUM(R3:R15)</f>
        <v>1.7765</v>
      </c>
      <c r="S16" s="1">
        <f>SUM(S3:S15)</f>
        <v>0</v>
      </c>
      <c r="T16" s="3"/>
      <c r="U16" s="90"/>
      <c r="V16" s="90"/>
    </row>
    <row r="17" spans="20:35">
      <c r="T17" s="150"/>
    </row>
    <row r="18" spans="20:35" ht="15.75" customHeight="1">
      <c r="T18" s="150"/>
      <c r="U18" s="697" t="s">
        <v>120</v>
      </c>
      <c r="V18" s="697"/>
      <c r="W18" s="697"/>
      <c r="X18" s="697"/>
      <c r="Y18" s="697"/>
      <c r="Z18" s="697"/>
      <c r="AA18" s="697"/>
      <c r="AB18" s="697"/>
      <c r="AC18" s="697"/>
      <c r="AD18" s="148"/>
      <c r="AE18" s="148"/>
      <c r="AF18" s="148"/>
      <c r="AG18" s="148"/>
      <c r="AH18" s="143"/>
      <c r="AI18" s="143"/>
    </row>
    <row r="19" spans="20:35" ht="15.75" customHeight="1">
      <c r="T19" s="150"/>
      <c r="U19" s="149"/>
      <c r="V19" s="699" t="s">
        <v>121</v>
      </c>
      <c r="W19" s="699"/>
      <c r="X19" s="699"/>
      <c r="Y19" s="699"/>
      <c r="Z19" s="699"/>
      <c r="AA19" s="699"/>
      <c r="AB19" s="699"/>
      <c r="AC19" s="699"/>
      <c r="AD19" s="699"/>
      <c r="AE19" s="143"/>
      <c r="AF19" s="143"/>
      <c r="AG19" s="143"/>
      <c r="AH19" s="143"/>
      <c r="AI19" s="143"/>
    </row>
    <row r="20" spans="20:35" ht="15.75" customHeight="1">
      <c r="T20" s="150"/>
      <c r="U20" s="149"/>
      <c r="V20" s="149"/>
      <c r="W20" s="697" t="s">
        <v>122</v>
      </c>
      <c r="X20" s="697"/>
      <c r="Y20" s="697"/>
      <c r="Z20" s="697"/>
      <c r="AA20" s="697"/>
      <c r="AB20" s="697"/>
      <c r="AC20" s="697"/>
      <c r="AD20" s="697"/>
      <c r="AE20" s="697"/>
      <c r="AF20" s="143"/>
      <c r="AG20" s="143"/>
      <c r="AH20" s="143"/>
      <c r="AI20" s="143"/>
    </row>
    <row r="21" spans="20:35" ht="15.75">
      <c r="U21" s="149"/>
      <c r="V21" s="149"/>
      <c r="W21" s="149"/>
      <c r="X21" s="699" t="s">
        <v>123</v>
      </c>
      <c r="Y21" s="699"/>
      <c r="Z21" s="699"/>
      <c r="AA21" s="699"/>
      <c r="AB21" s="699"/>
      <c r="AC21" s="699"/>
      <c r="AD21" s="699"/>
      <c r="AE21" s="699"/>
      <c r="AF21" s="699"/>
      <c r="AG21" s="143"/>
      <c r="AH21" s="143"/>
      <c r="AI21" s="143"/>
    </row>
    <row r="22" spans="20:35" ht="15.75">
      <c r="U22" s="149"/>
      <c r="V22" s="149"/>
      <c r="W22" s="149"/>
      <c r="X22" s="149"/>
      <c r="Y22" s="697" t="s">
        <v>124</v>
      </c>
      <c r="Z22" s="697"/>
      <c r="AA22" s="697"/>
      <c r="AB22" s="697"/>
      <c r="AC22" s="697"/>
      <c r="AD22" s="697"/>
      <c r="AE22" s="697"/>
      <c r="AF22" s="697"/>
      <c r="AG22" s="697"/>
      <c r="AH22" s="143"/>
      <c r="AI22" s="143"/>
    </row>
    <row r="23" spans="20:35" ht="15.75">
      <c r="U23" s="149"/>
      <c r="V23" s="149"/>
      <c r="W23" s="149"/>
      <c r="X23" s="149"/>
      <c r="Y23" s="149"/>
      <c r="Z23" s="699" t="s">
        <v>125</v>
      </c>
      <c r="AA23" s="699"/>
      <c r="AB23" s="699"/>
      <c r="AC23" s="699"/>
      <c r="AD23" s="699"/>
      <c r="AE23" s="699"/>
      <c r="AF23" s="699"/>
      <c r="AG23" s="699"/>
      <c r="AH23" s="699"/>
      <c r="AI23" s="143"/>
    </row>
    <row r="24" spans="20:35" ht="15.75">
      <c r="U24" s="149"/>
      <c r="V24" s="149"/>
      <c r="W24" s="149"/>
      <c r="X24" s="149"/>
      <c r="Y24" s="149"/>
      <c r="Z24" s="149"/>
      <c r="AA24" s="697" t="s">
        <v>126</v>
      </c>
      <c r="AB24" s="697"/>
      <c r="AC24" s="697"/>
      <c r="AD24" s="697"/>
      <c r="AE24" s="697"/>
      <c r="AF24" s="697"/>
      <c r="AG24" s="697"/>
      <c r="AH24" s="697"/>
      <c r="AI24" s="697"/>
    </row>
  </sheetData>
  <mergeCells count="18">
    <mergeCell ref="A16:J16"/>
    <mergeCell ref="E1:F1"/>
    <mergeCell ref="P1:Q1"/>
    <mergeCell ref="A1:B1"/>
    <mergeCell ref="C1:D1"/>
    <mergeCell ref="G1:I1"/>
    <mergeCell ref="J1:K1"/>
    <mergeCell ref="L1:O1"/>
    <mergeCell ref="U18:AC18"/>
    <mergeCell ref="V19:AD19"/>
    <mergeCell ref="U1:AC2"/>
    <mergeCell ref="T1:T2"/>
    <mergeCell ref="R1:S1"/>
    <mergeCell ref="W20:AE20"/>
    <mergeCell ref="X21:AF21"/>
    <mergeCell ref="Y22:AG22"/>
    <mergeCell ref="Z23:AH23"/>
    <mergeCell ref="AA24:AI2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8"/>
  <sheetViews>
    <sheetView workbookViewId="0">
      <pane ySplit="2" topLeftCell="A3" activePane="bottomLeft" state="frozen"/>
      <selection pane="bottomLeft" activeCell="A16" sqref="A16:XFD1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31" customFormat="1" ht="32.25" customHeight="1">
      <c r="A1" s="728" t="s">
        <v>31</v>
      </c>
      <c r="B1" s="729"/>
      <c r="C1" s="729"/>
      <c r="D1" s="729"/>
      <c r="E1" s="730"/>
      <c r="F1" s="731" t="s">
        <v>292</v>
      </c>
      <c r="G1" s="732"/>
      <c r="H1" s="732"/>
      <c r="I1" s="733"/>
      <c r="J1" s="724" t="s">
        <v>293</v>
      </c>
      <c r="K1" s="725"/>
      <c r="L1" s="725"/>
      <c r="M1" s="725"/>
      <c r="N1" s="725"/>
      <c r="O1" s="725"/>
      <c r="P1" s="725"/>
      <c r="Q1" s="725"/>
      <c r="R1" s="725"/>
      <c r="S1" s="725"/>
      <c r="T1" s="725"/>
      <c r="U1" s="725"/>
      <c r="V1" s="725"/>
      <c r="W1" s="725"/>
      <c r="X1" s="725"/>
      <c r="Y1" s="726"/>
      <c r="Z1" s="734" t="s">
        <v>294</v>
      </c>
      <c r="AA1" s="735"/>
      <c r="AB1" s="735"/>
      <c r="AC1" s="736"/>
      <c r="AD1" s="724" t="s">
        <v>295</v>
      </c>
      <c r="AE1" s="725"/>
      <c r="AF1" s="725"/>
      <c r="AG1" s="725"/>
      <c r="AH1" s="725"/>
      <c r="AI1" s="725"/>
      <c r="AJ1" s="725"/>
      <c r="AK1" s="725"/>
      <c r="AL1" s="725"/>
      <c r="AM1" s="725"/>
      <c r="AN1" s="725"/>
      <c r="AO1" s="725"/>
      <c r="AP1" s="725"/>
      <c r="AQ1" s="725"/>
      <c r="AR1" s="725"/>
      <c r="AS1" s="726"/>
      <c r="AT1" s="731" t="s">
        <v>296</v>
      </c>
      <c r="AU1" s="732"/>
      <c r="AV1" s="732"/>
      <c r="AW1" s="733"/>
      <c r="AX1" s="724" t="s">
        <v>297</v>
      </c>
      <c r="AY1" s="725"/>
      <c r="AZ1" s="725"/>
      <c r="BA1" s="725"/>
      <c r="BB1" s="725"/>
      <c r="BC1" s="725"/>
      <c r="BD1" s="725"/>
      <c r="BE1" s="725"/>
      <c r="BF1" s="725"/>
      <c r="BG1" s="725"/>
      <c r="BH1" s="725"/>
      <c r="BI1" s="725"/>
      <c r="BJ1" s="725"/>
      <c r="BK1" s="725"/>
      <c r="BL1" s="725"/>
      <c r="BM1" s="726"/>
    </row>
    <row r="2" spans="1:65" s="4" customFormat="1" ht="23.25" customHeight="1">
      <c r="A2" s="223" t="s">
        <v>19</v>
      </c>
      <c r="B2" s="223" t="s">
        <v>298</v>
      </c>
      <c r="C2" s="224" t="s">
        <v>299</v>
      </c>
      <c r="D2" s="505" t="s">
        <v>29</v>
      </c>
      <c r="E2" s="696"/>
      <c r="F2" s="225" t="s">
        <v>300</v>
      </c>
      <c r="G2" s="223" t="s">
        <v>18</v>
      </c>
      <c r="H2" s="225" t="s">
        <v>23</v>
      </c>
      <c r="I2" s="226" t="s">
        <v>84</v>
      </c>
      <c r="J2" s="227" t="s">
        <v>301</v>
      </c>
      <c r="K2" s="227" t="s">
        <v>302</v>
      </c>
      <c r="L2" s="225" t="s">
        <v>303</v>
      </c>
      <c r="M2" s="225" t="s">
        <v>304</v>
      </c>
      <c r="N2" s="225" t="s">
        <v>305</v>
      </c>
      <c r="O2" s="225" t="s">
        <v>306</v>
      </c>
      <c r="P2" s="225" t="s">
        <v>307</v>
      </c>
      <c r="Q2" s="225" t="s">
        <v>308</v>
      </c>
      <c r="R2" s="225" t="s">
        <v>309</v>
      </c>
      <c r="S2" s="225" t="s">
        <v>310</v>
      </c>
      <c r="T2" s="225" t="s">
        <v>311</v>
      </c>
      <c r="U2" s="225" t="s">
        <v>23</v>
      </c>
      <c r="V2" s="225" t="s">
        <v>312</v>
      </c>
      <c r="W2" s="225" t="s">
        <v>313</v>
      </c>
      <c r="X2" s="225" t="s">
        <v>314</v>
      </c>
      <c r="Y2" s="228" t="s">
        <v>315</v>
      </c>
      <c r="Z2" s="225" t="s">
        <v>300</v>
      </c>
      <c r="AA2" s="223" t="s">
        <v>18</v>
      </c>
      <c r="AB2" s="225" t="s">
        <v>23</v>
      </c>
      <c r="AC2" s="229" t="s">
        <v>84</v>
      </c>
      <c r="AD2" s="227" t="s">
        <v>301</v>
      </c>
      <c r="AE2" s="227" t="s">
        <v>302</v>
      </c>
      <c r="AF2" s="225" t="s">
        <v>303</v>
      </c>
      <c r="AG2" s="225" t="s">
        <v>304</v>
      </c>
      <c r="AH2" s="225" t="s">
        <v>305</v>
      </c>
      <c r="AI2" s="225" t="s">
        <v>306</v>
      </c>
      <c r="AJ2" s="225" t="s">
        <v>307</v>
      </c>
      <c r="AK2" s="225" t="s">
        <v>308</v>
      </c>
      <c r="AL2" s="225" t="s">
        <v>309</v>
      </c>
      <c r="AM2" s="225" t="s">
        <v>310</v>
      </c>
      <c r="AN2" s="225" t="s">
        <v>311</v>
      </c>
      <c r="AO2" s="225" t="s">
        <v>23</v>
      </c>
      <c r="AP2" s="225" t="s">
        <v>312</v>
      </c>
      <c r="AQ2" s="225" t="s">
        <v>313</v>
      </c>
      <c r="AR2" s="225" t="s">
        <v>314</v>
      </c>
      <c r="AS2" s="228" t="s">
        <v>315</v>
      </c>
      <c r="AT2" s="225" t="s">
        <v>300</v>
      </c>
      <c r="AU2" s="223" t="s">
        <v>18</v>
      </c>
      <c r="AV2" s="225" t="s">
        <v>23</v>
      </c>
      <c r="AW2" s="226" t="s">
        <v>84</v>
      </c>
      <c r="AX2" s="227" t="s">
        <v>301</v>
      </c>
      <c r="AY2" s="227" t="s">
        <v>302</v>
      </c>
      <c r="AZ2" s="225" t="s">
        <v>303</v>
      </c>
      <c r="BA2" s="225" t="s">
        <v>304</v>
      </c>
      <c r="BB2" s="225" t="s">
        <v>305</v>
      </c>
      <c r="BC2" s="225" t="s">
        <v>306</v>
      </c>
      <c r="BD2" s="225" t="s">
        <v>307</v>
      </c>
      <c r="BE2" s="225" t="s">
        <v>308</v>
      </c>
      <c r="BF2" s="225" t="s">
        <v>309</v>
      </c>
      <c r="BG2" s="225" t="s">
        <v>310</v>
      </c>
      <c r="BH2" s="225" t="s">
        <v>311</v>
      </c>
      <c r="BI2" s="225" t="s">
        <v>23</v>
      </c>
      <c r="BJ2" s="225" t="s">
        <v>312</v>
      </c>
      <c r="BK2" s="225" t="s">
        <v>313</v>
      </c>
      <c r="BL2" s="225" t="s">
        <v>316</v>
      </c>
      <c r="BM2" s="228" t="s">
        <v>315</v>
      </c>
    </row>
    <row r="3" spans="1:65" s="37" customFormat="1">
      <c r="A3" s="33">
        <f>'1-συμβολαια'!A3</f>
        <v>2774</v>
      </c>
      <c r="B3" s="16" t="str">
        <f>'4-πολλυπρ'!D3</f>
        <v>τραπεζα …??? [= ???</v>
      </c>
      <c r="C3" s="16" t="str">
        <f>'4-πολλυπρ'!I3</f>
        <v>219-67</v>
      </c>
      <c r="D3" s="35"/>
      <c r="E3" s="33"/>
      <c r="F3" s="33"/>
      <c r="G3" s="34"/>
      <c r="H3" s="33"/>
      <c r="I3" s="33"/>
      <c r="J3" s="33"/>
      <c r="K3" s="174" t="s">
        <v>317</v>
      </c>
      <c r="L3" s="36"/>
      <c r="M3" s="36"/>
      <c r="N3" s="36"/>
      <c r="O3" s="36"/>
      <c r="P3" s="36"/>
      <c r="Q3" s="36"/>
      <c r="R3" s="36"/>
      <c r="S3" s="36"/>
      <c r="T3" s="36"/>
      <c r="U3" s="33"/>
      <c r="V3" s="34"/>
      <c r="W3" s="34"/>
      <c r="X3" s="36"/>
      <c r="Y3" s="36"/>
      <c r="Z3" s="33"/>
      <c r="AA3" s="36"/>
      <c r="AB3" s="33"/>
      <c r="AC3" s="36"/>
      <c r="AD3" s="33"/>
      <c r="AE3" s="230" t="s">
        <v>317</v>
      </c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3"/>
      <c r="AU3" s="36"/>
      <c r="AV3" s="33"/>
      <c r="AW3" s="36"/>
      <c r="AX3" s="33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3"/>
      <c r="BJ3" s="36"/>
      <c r="BK3" s="36"/>
      <c r="BL3" s="36"/>
      <c r="BM3" s="36"/>
    </row>
    <row r="4" spans="1:65" s="37" customFormat="1">
      <c r="A4" s="33">
        <f>'1-συμβολαια'!A4</f>
        <v>0</v>
      </c>
      <c r="B4" s="16">
        <f>'4-πολλυπρ'!D4</f>
        <v>0</v>
      </c>
      <c r="C4" s="16">
        <f>'4-πολλυπρ'!I4</f>
        <v>0</v>
      </c>
      <c r="D4" s="35"/>
      <c r="E4" s="33"/>
      <c r="F4" s="33"/>
      <c r="G4" s="34"/>
      <c r="H4" s="33"/>
      <c r="I4" s="33"/>
      <c r="J4" s="33"/>
      <c r="K4" s="174" t="s">
        <v>317</v>
      </c>
      <c r="L4" s="36"/>
      <c r="M4" s="36"/>
      <c r="N4" s="36"/>
      <c r="O4" s="36"/>
      <c r="P4" s="36"/>
      <c r="Q4" s="36"/>
      <c r="R4" s="36"/>
      <c r="S4" s="36"/>
      <c r="T4" s="36"/>
      <c r="U4" s="33"/>
      <c r="V4" s="34"/>
      <c r="W4" s="34"/>
      <c r="X4" s="36"/>
      <c r="Y4" s="36"/>
      <c r="Z4" s="33"/>
      <c r="AA4" s="36"/>
      <c r="AB4" s="33"/>
      <c r="AC4" s="36"/>
      <c r="AD4" s="33"/>
      <c r="AE4" s="230" t="s">
        <v>317</v>
      </c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3"/>
      <c r="AU4" s="36"/>
      <c r="AV4" s="33"/>
      <c r="AW4" s="36"/>
      <c r="AX4" s="33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3"/>
      <c r="BJ4" s="36"/>
      <c r="BK4" s="36"/>
      <c r="BL4" s="36"/>
      <c r="BM4" s="36"/>
    </row>
    <row r="5" spans="1:65" s="37" customFormat="1">
      <c r="A5" s="33" t="str">
        <f>'1-συμβολαια'!A5</f>
        <v>2ο</v>
      </c>
      <c r="B5" s="16" t="str">
        <f>'4-πολλυπρ'!D5</f>
        <v>τραπεζα …??? [= ???</v>
      </c>
      <c r="C5" s="16" t="str">
        <f>'4-πολλυπρ'!I5</f>
        <v>219-67</v>
      </c>
      <c r="D5" s="35"/>
      <c r="E5" s="33"/>
      <c r="F5" s="33"/>
      <c r="G5" s="34"/>
      <c r="H5" s="33"/>
      <c r="I5" s="33"/>
      <c r="J5" s="33"/>
      <c r="K5" s="174" t="s">
        <v>317</v>
      </c>
      <c r="L5" s="36"/>
      <c r="M5" s="36"/>
      <c r="N5" s="36"/>
      <c r="O5" s="36"/>
      <c r="P5" s="36"/>
      <c r="Q5" s="36"/>
      <c r="R5" s="36"/>
      <c r="S5" s="36"/>
      <c r="T5" s="36"/>
      <c r="U5" s="33"/>
      <c r="V5" s="34"/>
      <c r="W5" s="34"/>
      <c r="X5" s="36"/>
      <c r="Y5" s="36"/>
      <c r="Z5" s="33"/>
      <c r="AA5" s="36"/>
      <c r="AB5" s="33"/>
      <c r="AC5" s="36"/>
      <c r="AD5" s="33"/>
      <c r="AE5" s="230" t="s">
        <v>317</v>
      </c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3"/>
      <c r="AU5" s="36"/>
      <c r="AV5" s="33"/>
      <c r="AW5" s="36"/>
      <c r="AX5" s="33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3"/>
      <c r="BJ5" s="36"/>
      <c r="BK5" s="36"/>
      <c r="BL5" s="36"/>
      <c r="BM5" s="36"/>
    </row>
    <row r="6" spans="1:65" s="37" customFormat="1">
      <c r="A6" s="33">
        <f>'1-συμβολαια'!A6</f>
        <v>0</v>
      </c>
      <c r="B6" s="16" t="str">
        <f>'4-πολλυπρ'!D6</f>
        <v>τραπεζα …??? [= ???</v>
      </c>
      <c r="C6" s="16" t="str">
        <f>'4-πολλυπρ'!I6</f>
        <v>219-67</v>
      </c>
      <c r="D6" s="35"/>
      <c r="E6" s="33"/>
      <c r="F6" s="33"/>
      <c r="G6" s="34"/>
      <c r="H6" s="33"/>
      <c r="I6" s="33"/>
      <c r="J6" s="33"/>
      <c r="K6" s="174" t="s">
        <v>317</v>
      </c>
      <c r="L6" s="36"/>
      <c r="M6" s="36"/>
      <c r="N6" s="36"/>
      <c r="O6" s="36"/>
      <c r="P6" s="36"/>
      <c r="Q6" s="36"/>
      <c r="R6" s="36"/>
      <c r="S6" s="36"/>
      <c r="T6" s="36"/>
      <c r="U6" s="33"/>
      <c r="V6" s="34"/>
      <c r="W6" s="34"/>
      <c r="X6" s="36"/>
      <c r="Y6" s="36"/>
      <c r="Z6" s="33"/>
      <c r="AA6" s="36"/>
      <c r="AB6" s="33"/>
      <c r="AC6" s="36"/>
      <c r="AD6" s="33"/>
      <c r="AE6" s="230" t="s">
        <v>317</v>
      </c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3"/>
      <c r="AU6" s="36"/>
      <c r="AV6" s="33"/>
      <c r="AW6" s="36"/>
      <c r="AX6" s="33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3"/>
      <c r="BJ6" s="36"/>
      <c r="BK6" s="36"/>
      <c r="BL6" s="36"/>
      <c r="BM6" s="36"/>
    </row>
    <row r="7" spans="1:65" s="37" customFormat="1">
      <c r="A7" s="33">
        <f>'1-συμβολαια'!A7</f>
        <v>0</v>
      </c>
      <c r="B7" s="16" t="str">
        <f>'4-πολλυπρ'!D7</f>
        <v>τραπεζα …??? [= ???</v>
      </c>
      <c r="C7" s="16" t="str">
        <f>'4-πολλυπρ'!I7</f>
        <v>219-67</v>
      </c>
      <c r="D7" s="35"/>
      <c r="E7" s="33"/>
      <c r="F7" s="33"/>
      <c r="G7" s="34"/>
      <c r="H7" s="33"/>
      <c r="I7" s="33"/>
      <c r="J7" s="33"/>
      <c r="K7" s="174" t="s">
        <v>317</v>
      </c>
      <c r="L7" s="36"/>
      <c r="M7" s="36"/>
      <c r="N7" s="36"/>
      <c r="O7" s="36"/>
      <c r="P7" s="36"/>
      <c r="Q7" s="36"/>
      <c r="R7" s="36"/>
      <c r="S7" s="36"/>
      <c r="T7" s="36"/>
      <c r="U7" s="33"/>
      <c r="V7" s="34"/>
      <c r="W7" s="34"/>
      <c r="X7" s="36"/>
      <c r="Y7" s="36"/>
      <c r="Z7" s="33"/>
      <c r="AA7" s="36"/>
      <c r="AB7" s="33"/>
      <c r="AC7" s="36"/>
      <c r="AD7" s="33"/>
      <c r="AE7" s="230" t="s">
        <v>317</v>
      </c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3"/>
      <c r="AU7" s="36"/>
      <c r="AV7" s="33"/>
      <c r="AW7" s="36"/>
      <c r="AX7" s="33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3"/>
      <c r="BJ7" s="36"/>
      <c r="BK7" s="36"/>
      <c r="BL7" s="36"/>
      <c r="BM7" s="36"/>
    </row>
    <row r="8" spans="1:65" s="19" customFormat="1">
      <c r="A8" s="33">
        <f>'1-συμβολαια'!A8</f>
        <v>0</v>
      </c>
      <c r="B8" s="16" t="str">
        <f>'4-πολλυπρ'!D8</f>
        <v>τραπεζα …??? [= ???</v>
      </c>
      <c r="C8" s="16" t="str">
        <f>'4-πολλυπρ'!I8</f>
        <v>219-67</v>
      </c>
      <c r="D8" s="26"/>
      <c r="E8" s="26"/>
      <c r="F8" s="13"/>
      <c r="G8" s="31"/>
      <c r="H8" s="13"/>
      <c r="I8" s="26"/>
      <c r="J8" s="13"/>
      <c r="K8" s="174" t="s">
        <v>317</v>
      </c>
      <c r="L8" s="26"/>
      <c r="M8" s="26"/>
      <c r="N8" s="26"/>
      <c r="O8" s="26"/>
      <c r="P8" s="26"/>
      <c r="Q8" s="26"/>
      <c r="R8" s="26"/>
      <c r="S8" s="26"/>
      <c r="T8" s="26"/>
      <c r="U8" s="13"/>
      <c r="V8" s="31"/>
      <c r="W8" s="31"/>
      <c r="X8" s="26"/>
      <c r="Y8" s="26"/>
      <c r="Z8" s="13"/>
      <c r="AA8" s="26"/>
      <c r="AB8" s="13"/>
      <c r="AC8" s="26"/>
      <c r="AD8" s="13"/>
      <c r="AE8" s="230" t="s">
        <v>317</v>
      </c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13"/>
      <c r="AU8" s="26"/>
      <c r="AV8" s="13"/>
      <c r="AW8" s="26"/>
      <c r="AX8" s="13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13"/>
      <c r="BJ8" s="26"/>
      <c r="BK8" s="26"/>
      <c r="BL8" s="26"/>
      <c r="BM8" s="26"/>
    </row>
    <row r="9" spans="1:65">
      <c r="A9" s="33">
        <f>'1-συμβολαια'!A9</f>
        <v>0</v>
      </c>
      <c r="B9" s="16" t="str">
        <f>'4-πολλυπρ'!D9</f>
        <v>τραπεζα …??? [= ???</v>
      </c>
      <c r="C9" s="16" t="str">
        <f>'4-πολλυπρ'!I9</f>
        <v>219-67</v>
      </c>
      <c r="D9" s="26"/>
      <c r="E9" s="26"/>
      <c r="F9" s="13"/>
      <c r="G9" s="31"/>
      <c r="H9" s="13"/>
      <c r="I9" s="26"/>
      <c r="J9" s="13"/>
      <c r="K9" s="174" t="s">
        <v>317</v>
      </c>
      <c r="L9" s="26"/>
      <c r="M9" s="26"/>
      <c r="N9" s="26"/>
      <c r="O9" s="26"/>
      <c r="P9" s="26"/>
      <c r="Q9" s="26"/>
      <c r="R9" s="26"/>
      <c r="S9" s="26"/>
      <c r="T9" s="26"/>
      <c r="U9" s="13"/>
      <c r="V9" s="31"/>
      <c r="W9" s="31"/>
      <c r="X9" s="26"/>
      <c r="Y9" s="26"/>
      <c r="Z9" s="13"/>
      <c r="AA9" s="26"/>
      <c r="AB9" s="13"/>
      <c r="AC9" s="26"/>
      <c r="AD9" s="13"/>
      <c r="AE9" s="230" t="s">
        <v>317</v>
      </c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13"/>
      <c r="AU9" s="26"/>
      <c r="AV9" s="13"/>
      <c r="AW9" s="26"/>
      <c r="AX9" s="13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13"/>
      <c r="BJ9" s="26"/>
      <c r="BK9" s="26"/>
      <c r="BL9" s="26"/>
      <c r="BM9" s="26"/>
    </row>
    <row r="10" spans="1:65">
      <c r="A10" s="33">
        <f>'1-συμβολαια'!A10</f>
        <v>0</v>
      </c>
      <c r="B10" s="16">
        <f>'4-πολλυπρ'!D10</f>
        <v>0</v>
      </c>
      <c r="C10" s="16">
        <f>'4-πολλυπρ'!I10</f>
        <v>0</v>
      </c>
      <c r="D10" s="26"/>
      <c r="E10" s="26"/>
      <c r="F10" s="13"/>
      <c r="G10" s="31"/>
      <c r="H10" s="13"/>
      <c r="I10" s="26"/>
      <c r="J10" s="13"/>
      <c r="K10" s="174" t="s">
        <v>317</v>
      </c>
      <c r="L10" s="26"/>
      <c r="M10" s="26"/>
      <c r="N10" s="26"/>
      <c r="O10" s="26"/>
      <c r="P10" s="26"/>
      <c r="Q10" s="26"/>
      <c r="R10" s="26"/>
      <c r="S10" s="26"/>
      <c r="T10" s="26"/>
      <c r="U10" s="13"/>
      <c r="V10" s="31"/>
      <c r="W10" s="31"/>
      <c r="X10" s="26"/>
      <c r="Y10" s="26"/>
      <c r="Z10" s="13"/>
      <c r="AA10" s="26"/>
      <c r="AB10" s="13"/>
      <c r="AC10" s="26"/>
      <c r="AD10" s="13"/>
      <c r="AE10" s="230" t="s">
        <v>317</v>
      </c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13"/>
      <c r="AU10" s="26"/>
      <c r="AV10" s="13"/>
      <c r="AW10" s="26"/>
      <c r="AX10" s="13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13"/>
      <c r="BJ10" s="26"/>
      <c r="BK10" s="26"/>
      <c r="BL10" s="26"/>
      <c r="BM10" s="26"/>
    </row>
    <row r="11" spans="1:65">
      <c r="A11" s="33" t="str">
        <f>'1-συμβολαια'!A11</f>
        <v>3ο</v>
      </c>
      <c r="B11" s="16" t="str">
        <f>'4-πολλυπρ'!D11</f>
        <v>τραπεζα …??? [= ???</v>
      </c>
      <c r="C11" s="16" t="str">
        <f>'4-πολλυπρ'!I11</f>
        <v>219-67</v>
      </c>
      <c r="D11" s="26"/>
      <c r="E11" s="26"/>
      <c r="F11" s="13"/>
      <c r="G11" s="31"/>
      <c r="H11" s="13"/>
      <c r="I11" s="26"/>
      <c r="J11" s="13"/>
      <c r="K11" s="174" t="s">
        <v>317</v>
      </c>
      <c r="L11" s="26"/>
      <c r="M11" s="26"/>
      <c r="N11" s="26"/>
      <c r="O11" s="26"/>
      <c r="P11" s="26"/>
      <c r="Q11" s="26"/>
      <c r="R11" s="26"/>
      <c r="S11" s="26"/>
      <c r="T11" s="26"/>
      <c r="U11" s="13"/>
      <c r="V11" s="31"/>
      <c r="W11" s="31"/>
      <c r="X11" s="26"/>
      <c r="Y11" s="26"/>
      <c r="Z11" s="13"/>
      <c r="AA11" s="26"/>
      <c r="AB11" s="13"/>
      <c r="AC11" s="26"/>
      <c r="AD11" s="13"/>
      <c r="AE11" s="230" t="s">
        <v>317</v>
      </c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13"/>
      <c r="AU11" s="26"/>
      <c r="AV11" s="13"/>
      <c r="AW11" s="26"/>
      <c r="AX11" s="13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13"/>
      <c r="BJ11" s="26"/>
      <c r="BK11" s="26"/>
      <c r="BL11" s="26"/>
      <c r="BM11" s="26"/>
    </row>
    <row r="12" spans="1:65">
      <c r="A12" s="33">
        <f>'1-συμβολαια'!A12</f>
        <v>0</v>
      </c>
      <c r="B12" s="16" t="str">
        <f>'4-πολλυπρ'!D12</f>
        <v>τραπεζα …??? [= ???</v>
      </c>
      <c r="C12" s="16" t="str">
        <f>'4-πολλυπρ'!I12</f>
        <v>219-67</v>
      </c>
      <c r="D12" s="26"/>
      <c r="E12" s="26"/>
      <c r="F12" s="13"/>
      <c r="G12" s="31"/>
      <c r="H12" s="13"/>
      <c r="I12" s="26"/>
      <c r="J12" s="13"/>
      <c r="K12" s="174" t="s">
        <v>317</v>
      </c>
      <c r="L12" s="26"/>
      <c r="M12" s="26"/>
      <c r="N12" s="26"/>
      <c r="O12" s="26"/>
      <c r="P12" s="26"/>
      <c r="Q12" s="26"/>
      <c r="R12" s="26"/>
      <c r="S12" s="26"/>
      <c r="T12" s="26"/>
      <c r="U12" s="13"/>
      <c r="V12" s="31"/>
      <c r="W12" s="31"/>
      <c r="X12" s="26"/>
      <c r="Y12" s="26"/>
      <c r="Z12" s="13"/>
      <c r="AA12" s="26"/>
      <c r="AB12" s="13"/>
      <c r="AC12" s="26"/>
      <c r="AD12" s="13"/>
      <c r="AE12" s="230" t="s">
        <v>317</v>
      </c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13"/>
      <c r="AU12" s="26"/>
      <c r="AV12" s="13"/>
      <c r="AW12" s="26"/>
      <c r="AX12" s="13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13"/>
      <c r="BJ12" s="26"/>
      <c r="BK12" s="26"/>
      <c r="BL12" s="26"/>
      <c r="BM12" s="26"/>
    </row>
    <row r="13" spans="1:65">
      <c r="A13" s="33">
        <f>'1-συμβολαια'!A13</f>
        <v>0</v>
      </c>
      <c r="B13" s="16" t="str">
        <f>'4-πολλυπρ'!D13</f>
        <v>τραπεζα …??? [= ???</v>
      </c>
      <c r="C13" s="16" t="str">
        <f>'4-πολλυπρ'!I13</f>
        <v>219-67</v>
      </c>
      <c r="D13" s="26"/>
      <c r="E13" s="26"/>
      <c r="F13" s="13"/>
      <c r="G13" s="31"/>
      <c r="H13" s="13"/>
      <c r="I13" s="26"/>
      <c r="J13" s="13"/>
      <c r="K13" s="174" t="s">
        <v>317</v>
      </c>
      <c r="L13" s="26"/>
      <c r="M13" s="26"/>
      <c r="N13" s="26"/>
      <c r="O13" s="26"/>
      <c r="P13" s="26"/>
      <c r="Q13" s="26"/>
      <c r="R13" s="26"/>
      <c r="S13" s="26"/>
      <c r="T13" s="26"/>
      <c r="U13" s="13"/>
      <c r="V13" s="31"/>
      <c r="W13" s="31"/>
      <c r="X13" s="26"/>
      <c r="Y13" s="26"/>
      <c r="Z13" s="13"/>
      <c r="AA13" s="26"/>
      <c r="AB13" s="13"/>
      <c r="AC13" s="26"/>
      <c r="AD13" s="13"/>
      <c r="AE13" s="230" t="s">
        <v>317</v>
      </c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13"/>
      <c r="AU13" s="26"/>
      <c r="AV13" s="13"/>
      <c r="AW13" s="26"/>
      <c r="AX13" s="13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13"/>
      <c r="BJ13" s="26"/>
      <c r="BK13" s="26"/>
      <c r="BL13" s="26"/>
      <c r="BM13" s="26"/>
    </row>
    <row r="14" spans="1:65">
      <c r="A14" s="33">
        <f>'1-συμβολαια'!A14</f>
        <v>0</v>
      </c>
      <c r="B14" s="16" t="str">
        <f>'4-πολλυπρ'!D14</f>
        <v>τραπεζα …??? [= ???</v>
      </c>
      <c r="C14" s="16" t="str">
        <f>'4-πολλυπρ'!I14</f>
        <v>219-67</v>
      </c>
      <c r="D14" s="26"/>
      <c r="E14" s="26"/>
      <c r="F14" s="13"/>
      <c r="G14" s="31"/>
      <c r="H14" s="13"/>
      <c r="I14" s="26"/>
      <c r="J14" s="13"/>
      <c r="K14" s="174" t="s">
        <v>317</v>
      </c>
      <c r="L14" s="26"/>
      <c r="M14" s="26"/>
      <c r="N14" s="26"/>
      <c r="O14" s="26"/>
      <c r="P14" s="26"/>
      <c r="Q14" s="26"/>
      <c r="R14" s="26"/>
      <c r="S14" s="26"/>
      <c r="T14" s="26"/>
      <c r="U14" s="13"/>
      <c r="V14" s="31"/>
      <c r="W14" s="31"/>
      <c r="X14" s="26"/>
      <c r="Y14" s="26"/>
      <c r="Z14" s="13"/>
      <c r="AA14" s="26"/>
      <c r="AB14" s="13"/>
      <c r="AC14" s="26"/>
      <c r="AD14" s="13"/>
      <c r="AE14" s="230" t="s">
        <v>317</v>
      </c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13"/>
      <c r="AU14" s="26"/>
      <c r="AV14" s="13"/>
      <c r="AW14" s="26"/>
      <c r="AX14" s="13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13"/>
      <c r="BJ14" s="26"/>
      <c r="BK14" s="26"/>
      <c r="BL14" s="26"/>
      <c r="BM14" s="26"/>
    </row>
    <row r="15" spans="1:65">
      <c r="A15" s="33">
        <f>'1-συμβολαια'!A15</f>
        <v>0</v>
      </c>
      <c r="B15" s="16" t="str">
        <f>'4-πολλυπρ'!D15</f>
        <v>τραπεζα …??? [= ???</v>
      </c>
      <c r="C15" s="16" t="str">
        <f>'4-πολλυπρ'!I15</f>
        <v>219-67</v>
      </c>
      <c r="D15" s="26"/>
      <c r="E15" s="26"/>
      <c r="F15" s="13"/>
      <c r="G15" s="31"/>
      <c r="H15" s="13"/>
      <c r="I15" s="26"/>
      <c r="J15" s="13"/>
      <c r="K15" s="174" t="s">
        <v>317</v>
      </c>
      <c r="L15" s="26"/>
      <c r="M15" s="26"/>
      <c r="N15" s="26"/>
      <c r="O15" s="26"/>
      <c r="P15" s="26"/>
      <c r="Q15" s="26"/>
      <c r="R15" s="26"/>
      <c r="S15" s="26"/>
      <c r="T15" s="26"/>
      <c r="U15" s="13"/>
      <c r="V15" s="31"/>
      <c r="W15" s="31"/>
      <c r="X15" s="26"/>
      <c r="Y15" s="26"/>
      <c r="Z15" s="13"/>
      <c r="AA15" s="26"/>
      <c r="AB15" s="13"/>
      <c r="AC15" s="26"/>
      <c r="AD15" s="13"/>
      <c r="AE15" s="230" t="s">
        <v>317</v>
      </c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13"/>
      <c r="AU15" s="26"/>
      <c r="AV15" s="13"/>
      <c r="AW15" s="26"/>
      <c r="AX15" s="13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13"/>
      <c r="BJ15" s="26"/>
      <c r="BK15" s="26"/>
      <c r="BL15" s="26"/>
      <c r="BM15" s="26"/>
    </row>
    <row r="17" spans="6:9">
      <c r="F17" s="727" t="s">
        <v>318</v>
      </c>
      <c r="G17" s="727"/>
      <c r="H17" s="727"/>
      <c r="I17" s="727"/>
    </row>
    <row r="18" spans="6:9">
      <c r="F18" s="727"/>
      <c r="G18" s="727"/>
      <c r="H18" s="727"/>
      <c r="I18" s="727"/>
    </row>
  </sheetData>
  <mergeCells count="9">
    <mergeCell ref="AX1:BM1"/>
    <mergeCell ref="D2:E2"/>
    <mergeCell ref="F17:I1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E34"/>
  <sheetViews>
    <sheetView workbookViewId="0">
      <pane ySplit="2" topLeftCell="A3" activePane="bottomLeft" state="frozen"/>
      <selection pane="bottomLeft" activeCell="T34" sqref="T34"/>
    </sheetView>
  </sheetViews>
  <sheetFormatPr defaultRowHeight="11.25"/>
  <cols>
    <col min="1" max="1" width="7.28515625" style="8" bestFit="1" customWidth="1"/>
    <col min="2" max="2" width="8.7109375" style="437" bestFit="1" customWidth="1"/>
    <col min="3" max="3" width="47.140625" style="101" customWidth="1"/>
    <col min="4" max="4" width="10.140625" style="3" customWidth="1"/>
    <col min="5" max="5" width="10.28515625" style="3" customWidth="1"/>
    <col min="6" max="6" width="9.5703125" style="3" customWidth="1"/>
    <col min="7" max="7" width="7.7109375" style="2" customWidth="1"/>
    <col min="8" max="8" width="9.7109375" style="2" customWidth="1"/>
    <col min="9" max="9" width="11" style="2" customWidth="1"/>
    <col min="10" max="10" width="10.28515625" style="2" bestFit="1" customWidth="1"/>
    <col min="11" max="11" width="13.140625" style="2" customWidth="1"/>
    <col min="12" max="12" width="9.42578125" style="2" customWidth="1"/>
    <col min="13" max="13" width="8.85546875" style="2" customWidth="1"/>
    <col min="14" max="14" width="8.7109375" style="83" bestFit="1" customWidth="1"/>
    <col min="15" max="15" width="6.42578125" style="2" bestFit="1" customWidth="1"/>
    <col min="16" max="16" width="10.7109375" style="2" customWidth="1"/>
    <col min="17" max="17" width="11.7109375" style="2" customWidth="1"/>
    <col min="18" max="18" width="9.42578125" style="2" bestFit="1" customWidth="1"/>
    <col min="19" max="19" width="8.28515625" style="2" bestFit="1" customWidth="1"/>
    <col min="20" max="20" width="10.28515625" style="2" bestFit="1" customWidth="1"/>
    <col min="21" max="21" width="8.140625" style="2" bestFit="1" customWidth="1"/>
    <col min="22" max="22" width="10.28515625" style="2" bestFit="1" customWidth="1"/>
    <col min="23" max="23" width="8.7109375" style="30" bestFit="1" customWidth="1"/>
    <col min="24" max="24" width="10.28515625" style="8" bestFit="1" customWidth="1"/>
    <col min="25" max="25" width="21.42578125" style="86" customWidth="1"/>
    <col min="26" max="26" width="7.5703125" style="3" customWidth="1"/>
    <col min="27" max="27" width="9.5703125" style="3" customWidth="1"/>
    <col min="28" max="30" width="6.42578125" style="3" customWidth="1"/>
    <col min="31" max="31" width="7.5703125" style="3" customWidth="1"/>
    <col min="32" max="32" width="7.28515625" style="3" customWidth="1"/>
    <col min="33" max="35" width="6.42578125" style="3" customWidth="1"/>
    <col min="36" max="36" width="7.5703125" style="3" customWidth="1"/>
    <col min="37" max="37" width="7.28515625" style="3" customWidth="1"/>
    <col min="38" max="40" width="6.42578125" style="3" customWidth="1"/>
    <col min="41" max="56" width="7" style="3" customWidth="1"/>
    <col min="57" max="57" width="29.28515625" style="3" bestFit="1" customWidth="1"/>
    <col min="58" max="16384" width="9.140625" style="3"/>
  </cols>
  <sheetData>
    <row r="1" spans="1:40" ht="29.25" customHeight="1">
      <c r="A1" s="743" t="s">
        <v>1</v>
      </c>
      <c r="B1" s="745" t="s">
        <v>2</v>
      </c>
      <c r="C1" s="742" t="s">
        <v>0</v>
      </c>
      <c r="D1" s="746" t="s">
        <v>11</v>
      </c>
      <c r="E1" s="740" t="s">
        <v>12</v>
      </c>
      <c r="F1" s="748" t="s">
        <v>518</v>
      </c>
      <c r="G1" s="749"/>
      <c r="H1" s="749"/>
      <c r="I1" s="750" t="s">
        <v>529</v>
      </c>
      <c r="J1" s="751" t="s">
        <v>519</v>
      </c>
      <c r="K1" s="753" t="s">
        <v>520</v>
      </c>
      <c r="L1" s="764" t="s">
        <v>139</v>
      </c>
      <c r="M1" s="768" t="s">
        <v>521</v>
      </c>
      <c r="N1" s="769"/>
      <c r="O1" s="769"/>
      <c r="P1" s="772" t="s">
        <v>43</v>
      </c>
      <c r="Q1" s="773"/>
      <c r="R1" s="774" t="s">
        <v>58</v>
      </c>
      <c r="S1" s="775"/>
      <c r="T1" s="770" t="s">
        <v>76</v>
      </c>
      <c r="U1" s="771"/>
      <c r="V1" s="771"/>
      <c r="W1" s="776" t="s">
        <v>54</v>
      </c>
      <c r="X1" s="778" t="s">
        <v>44</v>
      </c>
      <c r="Y1" s="766" t="s">
        <v>79</v>
      </c>
      <c r="Z1" s="755" t="s">
        <v>29</v>
      </c>
      <c r="AA1" s="756"/>
      <c r="AB1" s="756"/>
      <c r="AC1" s="756"/>
      <c r="AD1" s="757"/>
      <c r="AE1" s="758" t="s">
        <v>29</v>
      </c>
      <c r="AF1" s="759"/>
      <c r="AG1" s="759"/>
      <c r="AH1" s="759"/>
      <c r="AI1" s="759"/>
      <c r="AJ1" s="759"/>
      <c r="AK1" s="759"/>
      <c r="AL1" s="759"/>
      <c r="AM1" s="759"/>
      <c r="AN1" s="760"/>
    </row>
    <row r="2" spans="1:40" ht="26.25" thickBot="1">
      <c r="A2" s="744"/>
      <c r="B2" s="500"/>
      <c r="C2" s="525"/>
      <c r="D2" s="747"/>
      <c r="E2" s="741"/>
      <c r="F2" s="302" t="s">
        <v>254</v>
      </c>
      <c r="G2" s="301" t="s">
        <v>91</v>
      </c>
      <c r="H2" s="377" t="s">
        <v>47</v>
      </c>
      <c r="I2" s="588"/>
      <c r="J2" s="752"/>
      <c r="K2" s="754"/>
      <c r="L2" s="765"/>
      <c r="M2" s="77" t="s">
        <v>23</v>
      </c>
      <c r="N2" s="82" t="s">
        <v>81</v>
      </c>
      <c r="O2" s="456" t="s">
        <v>80</v>
      </c>
      <c r="P2" s="47" t="s">
        <v>23</v>
      </c>
      <c r="Q2" s="41" t="s">
        <v>34</v>
      </c>
      <c r="R2" s="47" t="s">
        <v>23</v>
      </c>
      <c r="S2" s="48" t="s">
        <v>34</v>
      </c>
      <c r="T2" s="47" t="s">
        <v>522</v>
      </c>
      <c r="U2" s="10" t="s">
        <v>523</v>
      </c>
      <c r="V2" s="46" t="s">
        <v>33</v>
      </c>
      <c r="W2" s="777"/>
      <c r="X2" s="779"/>
      <c r="Y2" s="767"/>
      <c r="Z2" s="755"/>
      <c r="AA2" s="756"/>
      <c r="AB2" s="756"/>
      <c r="AC2" s="756"/>
      <c r="AD2" s="757"/>
      <c r="AE2" s="761"/>
      <c r="AF2" s="762"/>
      <c r="AG2" s="762"/>
      <c r="AH2" s="762"/>
      <c r="AI2" s="762"/>
      <c r="AJ2" s="762"/>
      <c r="AK2" s="762"/>
      <c r="AL2" s="762"/>
      <c r="AM2" s="762"/>
      <c r="AN2" s="763"/>
    </row>
    <row r="3" spans="1:40" s="5" customFormat="1">
      <c r="A3" s="432">
        <f>'1-συμβολαια'!A3</f>
        <v>2774</v>
      </c>
      <c r="B3" s="436">
        <f>'1-συμβολαια'!B3</f>
        <v>37719</v>
      </c>
      <c r="C3" s="433" t="str">
        <f>'1-συμβολαια'!C3</f>
        <v>κατασχέσεως ΑΡΣΗ για δάνειο Β.2'  [1.635.748δρχ = 4.800,44€]</v>
      </c>
      <c r="D3" s="395" t="str">
        <f>'4-πολλυπρ'!D3</f>
        <v>τραπεζα …??? [= ???</v>
      </c>
      <c r="E3" s="395" t="str">
        <f>'4-πολλυπρ'!I3</f>
        <v>219-67</v>
      </c>
      <c r="F3" s="394">
        <f>'14-βιβλΕσ'!K3</f>
        <v>1.6786000000000001</v>
      </c>
      <c r="G3" s="385">
        <f>'14-βιβλΕσ'!P3</f>
        <v>7.92</v>
      </c>
      <c r="H3" s="385">
        <f t="shared" ref="H3:H15" si="0">F3+G3</f>
        <v>9.5985999999999994</v>
      </c>
      <c r="I3" s="385">
        <f>'8-κ-15-17'!AG3</f>
        <v>0</v>
      </c>
      <c r="J3" s="385">
        <f>V3</f>
        <v>34.46</v>
      </c>
      <c r="K3" s="385">
        <f>('14-βιβλΕσ'!M3+'14-βιβλΕσ'!N3+'14-βιβλΕσ'!Q3)*40%</f>
        <v>10.616000000000001</v>
      </c>
      <c r="L3" s="385">
        <f>'14-βιβλΕσ'!Q3</f>
        <v>19.490000000000002</v>
      </c>
      <c r="M3" s="478"/>
      <c r="N3" s="300"/>
      <c r="O3" s="300"/>
      <c r="P3" s="385">
        <f t="shared" ref="P3:P15" si="1">V3+J3</f>
        <v>68.92</v>
      </c>
      <c r="Q3" s="323">
        <v>890</v>
      </c>
      <c r="R3" s="300"/>
      <c r="S3" s="300"/>
      <c r="T3" s="385">
        <f>'1-συμβολαια'!L3+'8-κ-15-17'!AG3+'14-βιβλΕσ'!K3+'14-βιβλΕσ'!P3+'14-βιβλΕσ'!Q3</f>
        <v>55</v>
      </c>
      <c r="U3" s="385">
        <f>'1-συμβολαια'!M3</f>
        <v>20.54</v>
      </c>
      <c r="V3" s="385">
        <f t="shared" ref="V3:V15" si="2">T3-U3</f>
        <v>34.46</v>
      </c>
      <c r="W3" s="396">
        <v>45931</v>
      </c>
      <c r="X3" s="319">
        <f t="shared" ref="X3:X15" si="3">Q3+S3</f>
        <v>890</v>
      </c>
      <c r="Y3" s="434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</row>
    <row r="4" spans="1:40" s="19" customFormat="1">
      <c r="A4" s="43"/>
      <c r="B4" s="435"/>
      <c r="C4" s="106"/>
      <c r="D4" s="21"/>
      <c r="E4" s="21"/>
      <c r="F4" s="42"/>
      <c r="G4" s="29"/>
      <c r="H4" s="29"/>
      <c r="I4" s="29"/>
      <c r="J4" s="250"/>
      <c r="K4" s="29"/>
      <c r="L4" s="29"/>
      <c r="M4" s="29"/>
      <c r="N4" s="250"/>
      <c r="O4" s="250"/>
      <c r="P4" s="29"/>
      <c r="Q4" s="13"/>
      <c r="R4" s="29"/>
      <c r="S4" s="13"/>
      <c r="T4" s="29"/>
      <c r="U4" s="29"/>
      <c r="V4" s="29"/>
      <c r="W4" s="31"/>
      <c r="X4" s="250"/>
      <c r="Y4" s="85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</row>
    <row r="5" spans="1:40" s="5" customFormat="1">
      <c r="A5" s="482" t="str">
        <f>'1-συμβολαια'!A5</f>
        <v>2ο</v>
      </c>
      <c r="B5" s="436">
        <f>'1-συμβολαια'!B5</f>
        <v>37719</v>
      </c>
      <c r="C5" s="433" t="str">
        <f>'1-συμβολαια'!C5</f>
        <v>δανείου  Β' ΕΞΟΦΛΗΣΗ [= 2.500.000δρχ</v>
      </c>
      <c r="D5" s="395" t="str">
        <f>'4-πολλυπρ'!D5</f>
        <v>τραπεζα …??? [= ???</v>
      </c>
      <c r="E5" s="395" t="str">
        <f>'4-πολλυπρ'!I5</f>
        <v>219-67</v>
      </c>
      <c r="F5" s="394">
        <f>'14-βιβλΕσ'!K5</f>
        <v>15.240461999999999</v>
      </c>
      <c r="G5" s="385">
        <f>'14-βιβλΕσ'!P5</f>
        <v>0</v>
      </c>
      <c r="H5" s="385">
        <f t="shared" si="0"/>
        <v>15.240461999999999</v>
      </c>
      <c r="I5" s="385">
        <f>'8-κ-15-17'!AG5</f>
        <v>95.377880000000005</v>
      </c>
      <c r="J5" s="385">
        <f t="shared" ref="J5:J9" si="4">V5</f>
        <v>205.35496000000003</v>
      </c>
      <c r="K5" s="385">
        <f>('14-βιβλΕσ'!M5+'14-βιβλΕσ'!N5+'14-βιβλΕσ'!Q5)*40%</f>
        <v>44.190832</v>
      </c>
      <c r="L5" s="385">
        <f>'14-βιβλΕσ'!Q5</f>
        <v>0</v>
      </c>
      <c r="M5" s="478"/>
      <c r="N5" s="300"/>
      <c r="O5" s="300"/>
      <c r="P5" s="385">
        <f t="shared" si="1"/>
        <v>410.70992000000007</v>
      </c>
      <c r="Q5" s="323">
        <v>224072.54844002469</v>
      </c>
      <c r="R5" s="300"/>
      <c r="S5" s="300"/>
      <c r="T5" s="385">
        <f>'1-συμβολαια'!L5+'8-κ-15-17'!AG5+'14-βιβλΕσ'!K5+'14-βιβλΕσ'!P5+'14-βιβλΕσ'!Q5</f>
        <v>205.35496000000003</v>
      </c>
      <c r="U5" s="385">
        <f>'1-συμβολαια'!M5</f>
        <v>0</v>
      </c>
      <c r="V5" s="385">
        <f t="shared" si="2"/>
        <v>205.35496000000003</v>
      </c>
      <c r="W5" s="396">
        <v>45968</v>
      </c>
      <c r="X5" s="319">
        <f t="shared" si="3"/>
        <v>224072.54844002469</v>
      </c>
      <c r="Y5" s="434"/>
      <c r="Z5" s="81"/>
      <c r="AA5" s="81"/>
      <c r="AB5" s="81"/>
      <c r="AC5" s="81"/>
      <c r="AD5" s="81"/>
      <c r="AE5" s="81"/>
      <c r="AF5" s="81"/>
      <c r="AG5" s="81"/>
      <c r="AH5" s="81"/>
      <c r="AI5" s="81"/>
      <c r="AJ5" s="81"/>
      <c r="AK5" s="81"/>
      <c r="AL5" s="81"/>
      <c r="AM5" s="81"/>
      <c r="AN5" s="81"/>
    </row>
    <row r="6" spans="1:40" s="5" customFormat="1">
      <c r="A6" s="482">
        <f>'1-συμβολαια'!A6</f>
        <v>0</v>
      </c>
      <c r="B6" s="436"/>
      <c r="C6" s="433" t="str">
        <f>'1-συμβολαια'!C6</f>
        <v>δανείου  Β.2' ΕΞΟΦΛΗΣΗ ΥΠΟΛΟΙΠΟΥ = 1.635.748δρχ</v>
      </c>
      <c r="D6" s="395" t="str">
        <f>'4-πολλυπρ'!D6</f>
        <v>τραπεζα …??? [= ???</v>
      </c>
      <c r="E6" s="395" t="str">
        <f>'4-πολλυπρ'!I6</f>
        <v>219-67</v>
      </c>
      <c r="F6" s="394">
        <f>'14-βιβλΕσ'!K6</f>
        <v>9.9644859999999973</v>
      </c>
      <c r="G6" s="385">
        <f>'14-βιβλΕσ'!P6</f>
        <v>0</v>
      </c>
      <c r="H6" s="385">
        <f t="shared" si="0"/>
        <v>9.9644859999999973</v>
      </c>
      <c r="I6" s="385">
        <f>'8-κ-15-17'!AG6</f>
        <v>62.405720000000002</v>
      </c>
      <c r="J6" s="385">
        <f t="shared" si="4"/>
        <v>135.48695999999998</v>
      </c>
      <c r="K6" s="385">
        <f>('14-βιβλΕσ'!M6+'14-βιβλΕσ'!N6+'14-βιβλΕσ'!Q6)*40%</f>
        <v>29.232495999999998</v>
      </c>
      <c r="L6" s="385">
        <f>'14-βιβλΕσ'!Q6</f>
        <v>0</v>
      </c>
      <c r="M6" s="478"/>
      <c r="N6" s="300"/>
      <c r="O6" s="300"/>
      <c r="P6" s="385">
        <f t="shared" si="1"/>
        <v>270.97391999999996</v>
      </c>
      <c r="Q6" s="323">
        <v>146640.08548643161</v>
      </c>
      <c r="R6" s="300"/>
      <c r="S6" s="300"/>
      <c r="T6" s="385">
        <f>'1-συμβολαια'!L6+'8-κ-15-17'!AG6+'14-βιβλΕσ'!K6+'14-βιβλΕσ'!P6+'14-βιβλΕσ'!Q6</f>
        <v>135.48695999999998</v>
      </c>
      <c r="U6" s="385">
        <f>'1-συμβολαια'!M6</f>
        <v>0</v>
      </c>
      <c r="V6" s="385">
        <f t="shared" si="2"/>
        <v>135.48695999999998</v>
      </c>
      <c r="W6" s="396"/>
      <c r="X6" s="319">
        <f t="shared" si="3"/>
        <v>146640.08548643161</v>
      </c>
      <c r="Y6" s="434"/>
      <c r="Z6" s="81"/>
      <c r="AA6" s="81"/>
      <c r="AB6" s="81"/>
      <c r="AC6" s="81"/>
      <c r="AD6" s="81"/>
      <c r="AE6" s="81"/>
      <c r="AF6" s="81"/>
      <c r="AG6" s="81"/>
      <c r="AH6" s="81"/>
      <c r="AI6" s="81"/>
      <c r="AJ6" s="81"/>
      <c r="AK6" s="81"/>
      <c r="AL6" s="81"/>
      <c r="AM6" s="81"/>
      <c r="AN6" s="81"/>
    </row>
    <row r="7" spans="1:40" s="5" customFormat="1">
      <c r="A7" s="482">
        <f>'1-συμβολαια'!A7</f>
        <v>0</v>
      </c>
      <c r="B7" s="436"/>
      <c r="C7" s="433" t="str">
        <f>'1-συμβολαια'!C7</f>
        <v>υποθήκη δανείου Β' …. ΕΞΑΛΕΙΨΗ</v>
      </c>
      <c r="D7" s="395" t="str">
        <f>'4-πολλυπρ'!D7</f>
        <v>τραπεζα …??? [= ???</v>
      </c>
      <c r="E7" s="395" t="str">
        <f>'4-πολλυπρ'!I7</f>
        <v>219-67</v>
      </c>
      <c r="F7" s="394">
        <f>'14-βιβλΕσ'!K7</f>
        <v>15.997204</v>
      </c>
      <c r="G7" s="385">
        <f>'14-βιβλΕσ'!P7</f>
        <v>7.92</v>
      </c>
      <c r="H7" s="385">
        <f t="shared" si="0"/>
        <v>23.917203999999998</v>
      </c>
      <c r="I7" s="385">
        <f>'8-κ-15-17'!AG7</f>
        <v>105.97535000000001</v>
      </c>
      <c r="J7" s="385">
        <f t="shared" si="4"/>
        <v>235.85471000000004</v>
      </c>
      <c r="K7" s="385">
        <f>('14-βιβλΕσ'!M7+'14-βιβλΕσ'!N7+'14-βιβλΕσ'!Q7)*40%</f>
        <v>48.783744000000006</v>
      </c>
      <c r="L7" s="385">
        <f>'14-βιβλΕσ'!Q7</f>
        <v>19.510000000000002</v>
      </c>
      <c r="M7" s="478"/>
      <c r="N7" s="300"/>
      <c r="O7" s="300"/>
      <c r="P7" s="385">
        <f t="shared" si="1"/>
        <v>471.70942000000008</v>
      </c>
      <c r="Q7" s="323">
        <v>249167.55296829378</v>
      </c>
      <c r="R7" s="300"/>
      <c r="S7" s="300"/>
      <c r="T7" s="385">
        <f>'1-συμβολαια'!L7+'8-κ-15-17'!AG7+'14-βιβλΕσ'!K7+'14-βιβλΕσ'!P7+'14-βιβλΕσ'!Q7</f>
        <v>256.39471000000003</v>
      </c>
      <c r="U7" s="385">
        <f>'1-συμβολαια'!M7</f>
        <v>20.54</v>
      </c>
      <c r="V7" s="385">
        <f t="shared" si="2"/>
        <v>235.85471000000004</v>
      </c>
      <c r="W7" s="396"/>
      <c r="X7" s="319">
        <f t="shared" si="3"/>
        <v>249167.55296829378</v>
      </c>
      <c r="Y7" s="434"/>
      <c r="Z7" s="81"/>
      <c r="AA7" s="81"/>
      <c r="AB7" s="81"/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</row>
    <row r="8" spans="1:40" s="5" customFormat="1">
      <c r="A8" s="482">
        <f>'1-συμβολαια'!A8</f>
        <v>0</v>
      </c>
      <c r="B8" s="436"/>
      <c r="C8" s="433" t="str">
        <f>'1-συμβολαια'!C8</f>
        <v>τόκοι δανείου Β' [προυπολογιζόμενοι VS πληρωμένοι]</v>
      </c>
      <c r="D8" s="395" t="str">
        <f>'4-πολλυπρ'!D8</f>
        <v>τραπεζα …??? [= ???</v>
      </c>
      <c r="E8" s="395" t="str">
        <f>'4-πολλυπρ'!I8</f>
        <v>219-67</v>
      </c>
      <c r="F8" s="394">
        <f>'14-βιβλΕσ'!K8</f>
        <v>44.312439454545462</v>
      </c>
      <c r="G8" s="385">
        <f>'14-βιβλΕσ'!P8</f>
        <v>0</v>
      </c>
      <c r="H8" s="385">
        <f t="shared" si="0"/>
        <v>44.312439454545462</v>
      </c>
      <c r="I8" s="385">
        <f>'8-κ-15-17'!AG8</f>
        <v>310.47427272727276</v>
      </c>
      <c r="J8" s="385">
        <f t="shared" si="4"/>
        <v>612.54186909090913</v>
      </c>
      <c r="K8" s="385">
        <f>('14-βιβλΕσ'!M8+'14-βιβλΕσ'!N8+'14-βιβλΕσ'!Q8)*40%</f>
        <v>120.82703854545457</v>
      </c>
      <c r="L8" s="385">
        <f>'14-βιβλΕσ'!Q8</f>
        <v>0</v>
      </c>
      <c r="M8" s="478"/>
      <c r="N8" s="300"/>
      <c r="O8" s="300"/>
      <c r="P8" s="385">
        <f t="shared" si="1"/>
        <v>1225.0837381818183</v>
      </c>
      <c r="Q8" s="323">
        <v>727956.13996927335</v>
      </c>
      <c r="R8" s="300"/>
      <c r="S8" s="300"/>
      <c r="T8" s="385">
        <f>'1-συμβολαια'!L8+'8-κ-15-17'!AG8+'14-βιβλΕσ'!K8+'14-βιβλΕσ'!P8+'14-βιβλΕσ'!Q8</f>
        <v>612.54186909090913</v>
      </c>
      <c r="U8" s="385">
        <f>'1-συμβολαια'!M8</f>
        <v>0</v>
      </c>
      <c r="V8" s="385">
        <f t="shared" si="2"/>
        <v>612.54186909090913</v>
      </c>
      <c r="W8" s="396"/>
      <c r="X8" s="319">
        <f t="shared" si="3"/>
        <v>727956.13996927335</v>
      </c>
      <c r="Y8" s="434"/>
      <c r="Z8" s="81"/>
      <c r="AA8" s="81"/>
      <c r="AB8" s="81"/>
      <c r="AC8" s="81"/>
      <c r="AD8" s="81"/>
      <c r="AE8" s="81"/>
      <c r="AF8" s="81"/>
      <c r="AG8" s="81"/>
      <c r="AH8" s="81"/>
      <c r="AI8" s="81"/>
      <c r="AJ8" s="81"/>
      <c r="AK8" s="81"/>
      <c r="AL8" s="81"/>
      <c r="AM8" s="81"/>
      <c r="AN8" s="81"/>
    </row>
    <row r="9" spans="1:40" s="5" customFormat="1">
      <c r="A9" s="482">
        <f>'1-συμβολαια'!A9</f>
        <v>0</v>
      </c>
      <c r="B9" s="436"/>
      <c r="C9" s="433" t="str">
        <f>'1-συμβολαια'!C9</f>
        <v>τόκοι δανείου Β.2' [προυπολογιζόμενοι VS πληρωμένοι]</v>
      </c>
      <c r="D9" s="395" t="str">
        <f>'4-πολλυπρ'!D9</f>
        <v>τραπεζα …??? [= ???</v>
      </c>
      <c r="E9" s="395" t="str">
        <f>'4-πολλυπρ'!I9</f>
        <v>219-67</v>
      </c>
      <c r="F9" s="394">
        <f>'14-βιβλΕσ'!K9</f>
        <v>1.523692</v>
      </c>
      <c r="G9" s="385">
        <f>'14-βιβλΕσ'!P9</f>
        <v>0</v>
      </c>
      <c r="H9" s="385">
        <f t="shared" si="0"/>
        <v>1.523692</v>
      </c>
      <c r="I9" s="385">
        <f>'8-κ-15-17'!AG9</f>
        <v>1.4444300000000001</v>
      </c>
      <c r="J9" s="385">
        <f t="shared" si="4"/>
        <v>18.253710000000002</v>
      </c>
      <c r="K9" s="385">
        <f>('14-βιβλΕσ'!M9+'14-βιβλΕσ'!N9+'14-βιβλΕσ'!Q9)*40%</f>
        <v>6.7237120000000008</v>
      </c>
      <c r="L9" s="385">
        <f>'14-βιβλΕσ'!Q9</f>
        <v>0</v>
      </c>
      <c r="M9" s="478"/>
      <c r="N9" s="300"/>
      <c r="O9" s="300"/>
      <c r="P9" s="385">
        <f t="shared" si="1"/>
        <v>36.507420000000003</v>
      </c>
      <c r="Q9" s="323">
        <v>471.70967892653005</v>
      </c>
      <c r="R9" s="300"/>
      <c r="S9" s="300"/>
      <c r="T9" s="385">
        <f>'1-συμβολαια'!L9+'8-κ-15-17'!AG9+'14-βιβλΕσ'!K9+'14-βιβλΕσ'!P9+'14-βιβλΕσ'!Q9</f>
        <v>18.253710000000002</v>
      </c>
      <c r="U9" s="385">
        <f>'1-συμβολαια'!M9</f>
        <v>0</v>
      </c>
      <c r="V9" s="385">
        <f t="shared" si="2"/>
        <v>18.253710000000002</v>
      </c>
      <c r="W9" s="396"/>
      <c r="X9" s="319">
        <f t="shared" si="3"/>
        <v>471.70967892653005</v>
      </c>
      <c r="Y9" s="434"/>
      <c r="Z9" s="81"/>
      <c r="AA9" s="81"/>
      <c r="AB9" s="81"/>
      <c r="AC9" s="81"/>
      <c r="AD9" s="81"/>
      <c r="AE9" s="81"/>
      <c r="AF9" s="81"/>
      <c r="AG9" s="81"/>
      <c r="AH9" s="81"/>
      <c r="AI9" s="81"/>
      <c r="AJ9" s="81"/>
      <c r="AK9" s="81"/>
      <c r="AL9" s="81"/>
      <c r="AM9" s="81"/>
      <c r="AN9" s="81"/>
    </row>
    <row r="10" spans="1:40" s="19" customFormat="1">
      <c r="A10" s="43"/>
      <c r="B10" s="435"/>
      <c r="C10" s="106"/>
      <c r="D10" s="21"/>
      <c r="E10" s="21"/>
      <c r="F10" s="42"/>
      <c r="G10" s="29"/>
      <c r="H10" s="29"/>
      <c r="I10" s="29"/>
      <c r="J10" s="250"/>
      <c r="K10" s="29"/>
      <c r="L10" s="29"/>
      <c r="M10" s="29"/>
      <c r="N10" s="250"/>
      <c r="O10" s="250"/>
      <c r="P10" s="29"/>
      <c r="Q10" s="13"/>
      <c r="R10" s="29"/>
      <c r="S10" s="13"/>
      <c r="T10" s="29"/>
      <c r="U10" s="29"/>
      <c r="V10" s="29"/>
      <c r="W10" s="31"/>
      <c r="X10" s="250"/>
      <c r="Y10" s="85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</row>
    <row r="11" spans="1:40" s="5" customFormat="1">
      <c r="A11" s="482" t="str">
        <f>'1-συμβολαια'!A11</f>
        <v>3ο</v>
      </c>
      <c r="B11" s="436">
        <f>'1-συμβολαια'!B11</f>
        <v>37719</v>
      </c>
      <c r="C11" s="433" t="str">
        <f>'1-συμβολαια'!C11</f>
        <v>δανείου  Α' ΕΞΟΦΛΗΣΗ [= 6.000.000δρχ</v>
      </c>
      <c r="D11" s="395" t="str">
        <f>'4-πολλυπρ'!D11</f>
        <v>τραπεζα …??? [= ???</v>
      </c>
      <c r="E11" s="395" t="str">
        <f>'4-πολλυπρ'!I11</f>
        <v>219-67</v>
      </c>
      <c r="F11" s="394">
        <f>'14-βιβλΕσ'!K11</f>
        <v>34.439690000000006</v>
      </c>
      <c r="G11" s="385">
        <f>'14-βιβλΕσ'!P11</f>
        <v>0</v>
      </c>
      <c r="H11" s="385">
        <f t="shared" si="0"/>
        <v>34.439690000000006</v>
      </c>
      <c r="I11" s="385">
        <f>'8-κ-15-17'!AG11</f>
        <v>228.90686000000002</v>
      </c>
      <c r="J11" s="385">
        <f t="shared" ref="J11:J15" si="5">V11</f>
        <v>471.53146000000004</v>
      </c>
      <c r="K11" s="385">
        <f>('14-βιβλΕσ'!M11+'14-βιβλΕσ'!N11+'14-βιβλΕσ'!Q11)*40%</f>
        <v>97.24984000000002</v>
      </c>
      <c r="L11" s="385">
        <f>'14-βιβλΕσ'!Q11</f>
        <v>0</v>
      </c>
      <c r="M11" s="478"/>
      <c r="N11" s="300"/>
      <c r="O11" s="300"/>
      <c r="P11" s="385">
        <f t="shared" si="1"/>
        <v>943.06292000000008</v>
      </c>
      <c r="Q11" s="323">
        <v>537221.19564121182</v>
      </c>
      <c r="R11" s="300"/>
      <c r="S11" s="300"/>
      <c r="T11" s="385">
        <f>'1-συμβολαια'!L11+'8-κ-15-17'!AG11+'14-βιβλΕσ'!K11+'14-βιβλΕσ'!P11+'14-βιβλΕσ'!Q11</f>
        <v>471.53146000000004</v>
      </c>
      <c r="U11" s="385">
        <f>'1-συμβολαια'!M11</f>
        <v>0</v>
      </c>
      <c r="V11" s="385">
        <f t="shared" si="2"/>
        <v>471.53146000000004</v>
      </c>
      <c r="W11" s="396">
        <v>45968</v>
      </c>
      <c r="X11" s="319">
        <f t="shared" si="3"/>
        <v>537221.19564121182</v>
      </c>
      <c r="Y11" s="434"/>
      <c r="Z11" s="81"/>
      <c r="AA11" s="81"/>
      <c r="AB11" s="81"/>
      <c r="AC11" s="81"/>
      <c r="AD11" s="81"/>
      <c r="AE11" s="81"/>
      <c r="AF11" s="81"/>
      <c r="AG11" s="81"/>
      <c r="AH11" s="81"/>
      <c r="AI11" s="81"/>
      <c r="AJ11" s="81"/>
      <c r="AK11" s="81"/>
      <c r="AL11" s="81"/>
      <c r="AM11" s="81"/>
      <c r="AN11" s="81"/>
    </row>
    <row r="12" spans="1:40" s="5" customFormat="1">
      <c r="A12" s="482">
        <f>'1-συμβολαια'!A12</f>
        <v>0</v>
      </c>
      <c r="B12" s="436"/>
      <c r="C12" s="433" t="str">
        <f>'1-συμβολαια'!C12</f>
        <v xml:space="preserve">δανείου Α.2' ΕΞΟΦΛΗΣΗ ΥΠΟΛΟΙΠΟΥ = 3.119.471δρχ </v>
      </c>
      <c r="D12" s="395" t="str">
        <f>'4-πολλυπρ'!D12</f>
        <v>τραπεζα …??? [= ???</v>
      </c>
      <c r="E12" s="395" t="str">
        <f>'4-πολλυπρ'!I12</f>
        <v>219-67</v>
      </c>
      <c r="F12" s="394">
        <f>'14-βιβλΕσ'!K12</f>
        <v>17.80219</v>
      </c>
      <c r="G12" s="385">
        <f>'14-βιβλΕσ'!P12</f>
        <v>0</v>
      </c>
      <c r="H12" s="385">
        <f t="shared" si="0"/>
        <v>17.80219</v>
      </c>
      <c r="I12" s="385">
        <f>'8-κ-15-17'!AG12</f>
        <v>119.01136</v>
      </c>
      <c r="J12" s="385">
        <f t="shared" si="5"/>
        <v>244.34395999999998</v>
      </c>
      <c r="K12" s="385">
        <f>('14-βιβλΕσ'!M12+'14-βιβλΕσ'!N12+'14-βιβλΕσ'!Q12)*40%</f>
        <v>50.133040000000001</v>
      </c>
      <c r="L12" s="385">
        <f>'14-βιβλΕσ'!Q12</f>
        <v>0</v>
      </c>
      <c r="M12" s="478"/>
      <c r="N12" s="300"/>
      <c r="O12" s="300"/>
      <c r="P12" s="385">
        <f t="shared" si="1"/>
        <v>488.68791999999996</v>
      </c>
      <c r="Q12" s="323">
        <v>279286.79080341524</v>
      </c>
      <c r="R12" s="300"/>
      <c r="S12" s="300"/>
      <c r="T12" s="385">
        <f>'1-συμβολαια'!L12+'8-κ-15-17'!AG12+'14-βιβλΕσ'!K12+'14-βιβλΕσ'!P12+'14-βιβλΕσ'!Q12</f>
        <v>244.34395999999998</v>
      </c>
      <c r="U12" s="385">
        <f>'1-συμβολαια'!M12</f>
        <v>0</v>
      </c>
      <c r="V12" s="385">
        <f t="shared" si="2"/>
        <v>244.34395999999998</v>
      </c>
      <c r="W12" s="396"/>
      <c r="X12" s="319">
        <f t="shared" si="3"/>
        <v>279286.79080341524</v>
      </c>
      <c r="Y12" s="434"/>
      <c r="Z12" s="81"/>
      <c r="AA12" s="81"/>
      <c r="AB12" s="81"/>
      <c r="AC12" s="81"/>
      <c r="AD12" s="81"/>
      <c r="AE12" s="81"/>
      <c r="AF12" s="81"/>
      <c r="AG12" s="81"/>
      <c r="AH12" s="81"/>
      <c r="AI12" s="81"/>
      <c r="AJ12" s="81"/>
      <c r="AK12" s="81"/>
      <c r="AL12" s="81"/>
      <c r="AM12" s="81"/>
      <c r="AN12" s="81"/>
    </row>
    <row r="13" spans="1:40" s="5" customFormat="1">
      <c r="A13" s="482">
        <f>'1-συμβολαια'!A13</f>
        <v>0</v>
      </c>
      <c r="B13" s="436"/>
      <c r="C13" s="433" t="str">
        <f>'1-συμβολαια'!C13</f>
        <v>υποθήκη δανείου Α' …. ΕΞΑΛΕΙΨΗ</v>
      </c>
      <c r="D13" s="395" t="str">
        <f>'4-πολλυπρ'!D13</f>
        <v>τραπεζα …??? [= ???</v>
      </c>
      <c r="E13" s="395" t="str">
        <f>'4-πολλυπρ'!I13</f>
        <v>219-67</v>
      </c>
      <c r="F13" s="394">
        <f>'14-βιβλΕσ'!K13</f>
        <v>36.540118000000007</v>
      </c>
      <c r="G13" s="385">
        <f>'14-βιβλΕσ'!P13</f>
        <v>7.92</v>
      </c>
      <c r="H13" s="385">
        <f t="shared" si="0"/>
        <v>44.460118000000008</v>
      </c>
      <c r="I13" s="385">
        <f>'8-κ-15-17'!AG13</f>
        <v>254.34084000000001</v>
      </c>
      <c r="J13" s="385">
        <f t="shared" si="5"/>
        <v>524.38296000000003</v>
      </c>
      <c r="K13" s="385">
        <f>('14-βιβλΕσ'!M13+'14-βιβλΕσ'!N13+'14-βιβλΕσ'!Q13)*40%</f>
        <v>104.84884800000003</v>
      </c>
      <c r="L13" s="385">
        <f>'14-βιβλΕσ'!Q13</f>
        <v>22.72</v>
      </c>
      <c r="M13" s="478"/>
      <c r="N13" s="300"/>
      <c r="O13" s="300"/>
      <c r="P13" s="385">
        <f t="shared" si="1"/>
        <v>1048.7659200000001</v>
      </c>
      <c r="Q13" s="323">
        <v>596925.72712390637</v>
      </c>
      <c r="R13" s="300"/>
      <c r="S13" s="300"/>
      <c r="T13" s="385">
        <f>'1-συμβολαια'!L13+'8-κ-15-17'!AG13+'14-βιβλΕσ'!K13+'14-βιβλΕσ'!P13+'14-βιβλΕσ'!Q13</f>
        <v>544.92295999999999</v>
      </c>
      <c r="U13" s="385">
        <f>'1-συμβολαια'!M13</f>
        <v>20.54</v>
      </c>
      <c r="V13" s="385">
        <f t="shared" si="2"/>
        <v>524.38296000000003</v>
      </c>
      <c r="W13" s="396"/>
      <c r="X13" s="319">
        <f t="shared" si="3"/>
        <v>596925.72712390637</v>
      </c>
      <c r="Y13" s="434"/>
      <c r="Z13" s="81"/>
      <c r="AA13" s="81"/>
      <c r="AB13" s="81"/>
      <c r="AC13" s="81"/>
      <c r="AD13" s="81"/>
      <c r="AE13" s="81"/>
      <c r="AF13" s="81"/>
      <c r="AG13" s="81"/>
      <c r="AH13" s="81"/>
      <c r="AI13" s="81"/>
      <c r="AJ13" s="81"/>
      <c r="AK13" s="81"/>
      <c r="AL13" s="81"/>
      <c r="AM13" s="81"/>
      <c r="AN13" s="81"/>
    </row>
    <row r="14" spans="1:40" s="5" customFormat="1">
      <c r="A14" s="482">
        <f>'1-συμβολαια'!A14</f>
        <v>0</v>
      </c>
      <c r="B14" s="436"/>
      <c r="C14" s="433" t="str">
        <f>'1-συμβολαια'!C14</f>
        <v>τόκοι δανείου Α' [προυπολογιζόμενοι VS πληρωμένοι]</v>
      </c>
      <c r="D14" s="395" t="str">
        <f>'4-πολλυπρ'!D14</f>
        <v>τραπεζα …??? [= ???</v>
      </c>
      <c r="E14" s="395" t="str">
        <f>'4-πολλυπρ'!I14</f>
        <v>219-67</v>
      </c>
      <c r="F14" s="394">
        <f>'14-βιβλΕσ'!K14</f>
        <v>104.49668309090909</v>
      </c>
      <c r="G14" s="385">
        <f>'14-βιβλΕσ'!P14</f>
        <v>0</v>
      </c>
      <c r="H14" s="385">
        <f t="shared" si="0"/>
        <v>104.49668309090909</v>
      </c>
      <c r="I14" s="385">
        <f>'8-κ-15-17'!AG14</f>
        <v>745.13825454545463</v>
      </c>
      <c r="J14" s="385">
        <f t="shared" si="5"/>
        <v>1448.4341418181818</v>
      </c>
      <c r="K14" s="385">
        <f>('14-βιβλΕσ'!M14+'14-βιβλΕσ'!N14+'14-βιβλΕσ'!Q14)*40%</f>
        <v>281.31835490909094</v>
      </c>
      <c r="L14" s="385">
        <f>'14-βιβλΕσ'!Q14</f>
        <v>0</v>
      </c>
      <c r="M14" s="478"/>
      <c r="N14" s="300"/>
      <c r="O14" s="300"/>
      <c r="P14" s="385">
        <f t="shared" si="1"/>
        <v>2896.8682836363637</v>
      </c>
      <c r="Q14" s="323">
        <v>1746532.3359262508</v>
      </c>
      <c r="R14" s="300"/>
      <c r="S14" s="300"/>
      <c r="T14" s="385">
        <f>'1-συμβολαια'!L14+'8-κ-15-17'!AG14+'14-βιβλΕσ'!K14+'14-βιβλΕσ'!P14+'14-βιβλΕσ'!Q14</f>
        <v>1448.4341418181818</v>
      </c>
      <c r="U14" s="385">
        <f>'1-συμβολαια'!M14</f>
        <v>0</v>
      </c>
      <c r="V14" s="385">
        <f t="shared" si="2"/>
        <v>1448.4341418181818</v>
      </c>
      <c r="W14" s="396"/>
      <c r="X14" s="319">
        <f t="shared" si="3"/>
        <v>1746532.3359262508</v>
      </c>
      <c r="Y14" s="434"/>
      <c r="Z14" s="81"/>
      <c r="AA14" s="81"/>
      <c r="AB14" s="81"/>
      <c r="AC14" s="81"/>
      <c r="AD14" s="81"/>
      <c r="AE14" s="81"/>
      <c r="AF14" s="81"/>
      <c r="AG14" s="81"/>
      <c r="AH14" s="81"/>
      <c r="AI14" s="81"/>
      <c r="AJ14" s="81"/>
      <c r="AK14" s="81"/>
      <c r="AL14" s="81"/>
      <c r="AM14" s="81"/>
      <c r="AN14" s="81"/>
    </row>
    <row r="15" spans="1:40" s="5" customFormat="1">
      <c r="A15" s="482">
        <f>'1-συμβολαια'!A15</f>
        <v>0</v>
      </c>
      <c r="B15" s="436"/>
      <c r="C15" s="433" t="str">
        <f>'1-συμβολαια'!C15</f>
        <v>τόκοι δανείου Α.2' [προυπολογιζόμενοι VS πληρωμένοι]</v>
      </c>
      <c r="D15" s="395" t="str">
        <f>'4-πολλυπρ'!D15</f>
        <v>τραπεζα …??? [= ???</v>
      </c>
      <c r="E15" s="395" t="str">
        <f>'4-πολλυπρ'!I15</f>
        <v>219-67</v>
      </c>
      <c r="F15" s="394">
        <f>'14-βιβλΕσ'!K15</f>
        <v>1.523692</v>
      </c>
      <c r="G15" s="385">
        <f>'14-βιβλΕσ'!P15</f>
        <v>0</v>
      </c>
      <c r="H15" s="385">
        <f t="shared" si="0"/>
        <v>1.523692</v>
      </c>
      <c r="I15" s="385">
        <f>'8-κ-15-17'!AG15</f>
        <v>1.4444300000000001</v>
      </c>
      <c r="J15" s="385">
        <f t="shared" si="5"/>
        <v>18.253710000000002</v>
      </c>
      <c r="K15" s="385">
        <f>('14-βιβλΕσ'!M15+'14-βιβλΕσ'!N15+'14-βιβλΕσ'!Q15)*40%</f>
        <v>6.7237120000000008</v>
      </c>
      <c r="L15" s="385">
        <f>'14-βιβλΕσ'!Q15</f>
        <v>0</v>
      </c>
      <c r="M15" s="478"/>
      <c r="N15" s="300"/>
      <c r="O15" s="300"/>
      <c r="P15" s="385">
        <f t="shared" si="1"/>
        <v>36.507420000000003</v>
      </c>
      <c r="Q15" s="323">
        <v>471.70967892653005</v>
      </c>
      <c r="R15" s="300"/>
      <c r="S15" s="300"/>
      <c r="T15" s="385">
        <f>'1-συμβολαια'!L15+'8-κ-15-17'!AG15+'14-βιβλΕσ'!K15+'14-βιβλΕσ'!P15+'14-βιβλΕσ'!Q15</f>
        <v>18.253710000000002</v>
      </c>
      <c r="U15" s="385">
        <f>'1-συμβολαια'!M15</f>
        <v>0</v>
      </c>
      <c r="V15" s="385">
        <f t="shared" si="2"/>
        <v>18.253710000000002</v>
      </c>
      <c r="W15" s="396"/>
      <c r="X15" s="319">
        <f t="shared" si="3"/>
        <v>471.70967892653005</v>
      </c>
      <c r="Y15" s="434"/>
      <c r="Z15" s="81"/>
      <c r="AA15" s="81"/>
      <c r="AB15" s="81"/>
      <c r="AC15" s="81"/>
      <c r="AD15" s="81"/>
      <c r="AE15" s="81"/>
      <c r="AF15" s="81"/>
      <c r="AG15" s="81"/>
      <c r="AH15" s="81"/>
      <c r="AI15" s="81"/>
      <c r="AJ15" s="81"/>
      <c r="AK15" s="81"/>
      <c r="AL15" s="81"/>
      <c r="AM15" s="81"/>
      <c r="AN15" s="81"/>
    </row>
    <row r="16" spans="1:40">
      <c r="A16" s="737" t="s">
        <v>35</v>
      </c>
      <c r="B16" s="738"/>
      <c r="C16" s="738"/>
      <c r="D16" s="738"/>
      <c r="E16" s="739"/>
      <c r="F16" s="49">
        <f t="shared" ref="F16:V16" si="6">SUM(F3:F15)</f>
        <v>283.51925654545454</v>
      </c>
      <c r="G16" s="49">
        <f t="shared" si="6"/>
        <v>23.759999999999998</v>
      </c>
      <c r="H16" s="49">
        <f t="shared" si="6"/>
        <v>307.27925654545453</v>
      </c>
      <c r="I16" s="49">
        <f t="shared" si="6"/>
        <v>1924.5193972727275</v>
      </c>
      <c r="J16" s="49">
        <f t="shared" si="6"/>
        <v>3948.8984409090908</v>
      </c>
      <c r="K16" s="49">
        <f t="shared" si="6"/>
        <v>800.64761745454553</v>
      </c>
      <c r="L16" s="49">
        <f t="shared" si="6"/>
        <v>61.72</v>
      </c>
      <c r="M16" s="49">
        <f t="shared" si="6"/>
        <v>0</v>
      </c>
      <c r="N16" s="49">
        <f t="shared" si="6"/>
        <v>0</v>
      </c>
      <c r="O16" s="49">
        <f t="shared" si="6"/>
        <v>0</v>
      </c>
      <c r="P16" s="49">
        <f t="shared" si="6"/>
        <v>7897.7968818181816</v>
      </c>
      <c r="Q16" s="438">
        <f t="shared" si="6"/>
        <v>4509635.795716661</v>
      </c>
      <c r="R16" s="49">
        <f t="shared" si="6"/>
        <v>0</v>
      </c>
      <c r="S16" s="438">
        <f t="shared" si="6"/>
        <v>0</v>
      </c>
      <c r="T16" s="49">
        <f t="shared" si="6"/>
        <v>4010.5184409090907</v>
      </c>
      <c r="U16" s="49">
        <f t="shared" si="6"/>
        <v>61.62</v>
      </c>
      <c r="V16" s="49">
        <f t="shared" si="6"/>
        <v>3948.8984409090908</v>
      </c>
      <c r="W16" s="49"/>
      <c r="X16" s="438">
        <f>SUM(X3:X15)</f>
        <v>4509635.795716661</v>
      </c>
    </row>
    <row r="17" spans="8:57">
      <c r="L17" s="83"/>
    </row>
    <row r="18" spans="8:57">
      <c r="L18" s="163"/>
      <c r="T18" s="163"/>
    </row>
    <row r="19" spans="8:57" ht="15.75">
      <c r="I19" s="479" t="s">
        <v>588</v>
      </c>
      <c r="J19" s="480"/>
      <c r="K19" s="480"/>
      <c r="L19" s="480"/>
      <c r="M19" s="481"/>
      <c r="N19" s="481"/>
      <c r="O19" s="480"/>
      <c r="P19" s="479" t="s">
        <v>588</v>
      </c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  <c r="BD19" s="152"/>
      <c r="BE19" s="152"/>
    </row>
    <row r="20" spans="8:57">
      <c r="I20" s="457"/>
      <c r="J20" s="2" t="s">
        <v>587</v>
      </c>
      <c r="M20" s="83"/>
      <c r="P20" s="457"/>
    </row>
    <row r="21" spans="8:57">
      <c r="I21" s="2">
        <v>0</v>
      </c>
      <c r="M21" s="83"/>
    </row>
    <row r="22" spans="8:57">
      <c r="M22" s="83"/>
    </row>
    <row r="23" spans="8:57">
      <c r="M23" s="83"/>
    </row>
    <row r="24" spans="8:57">
      <c r="H24" s="8">
        <v>2775</v>
      </c>
      <c r="I24" s="8">
        <v>110615.27422001235</v>
      </c>
      <c r="J24" s="8">
        <f>2653-1232+I24</f>
        <v>112036.27422001235</v>
      </c>
      <c r="M24" s="83"/>
      <c r="P24" s="8"/>
      <c r="Q24" s="8">
        <f>5306-1232-2653+I24+J24</f>
        <v>224072.54844002469</v>
      </c>
      <c r="R24" s="8"/>
    </row>
    <row r="25" spans="8:57">
      <c r="H25" s="8"/>
      <c r="I25" s="8">
        <v>72375.542743215803</v>
      </c>
      <c r="J25" s="8">
        <f>1751-806+I25</f>
        <v>73320.542743215803</v>
      </c>
      <c r="M25" s="83"/>
      <c r="P25" s="8"/>
      <c r="Q25" s="8">
        <f>3501-806-1751+I25+J25</f>
        <v>146640.08548643161</v>
      </c>
      <c r="R25" s="8"/>
    </row>
    <row r="26" spans="8:57">
      <c r="H26" s="8"/>
      <c r="I26" s="8">
        <v>122905.77648414689</v>
      </c>
      <c r="J26" s="8">
        <f>3047-1369+I26</f>
        <v>124583.77648414689</v>
      </c>
      <c r="M26" s="83"/>
      <c r="P26" s="8"/>
      <c r="Q26" s="8">
        <f>6094-1369-3047+I26+J26</f>
        <v>249167.55296829378</v>
      </c>
      <c r="R26" s="8"/>
    </row>
    <row r="27" spans="8:57">
      <c r="H27" s="8"/>
      <c r="I27" s="8">
        <v>360075.06998463668</v>
      </c>
      <c r="J27" s="8">
        <f>7914-4011+I27</f>
        <v>363978.06998463668</v>
      </c>
      <c r="M27" s="83"/>
      <c r="P27" s="8"/>
      <c r="Q27" s="8">
        <f>15828-7914-4011+I27+J27</f>
        <v>727956.13996927335</v>
      </c>
      <c r="R27" s="8"/>
    </row>
    <row r="28" spans="8:57">
      <c r="H28" s="8"/>
      <c r="I28" s="8"/>
      <c r="J28" s="8"/>
      <c r="M28" s="83"/>
      <c r="P28" s="8"/>
      <c r="Q28" s="8"/>
      <c r="R28" s="8"/>
    </row>
    <row r="29" spans="8:57">
      <c r="H29" s="8">
        <v>2776</v>
      </c>
      <c r="I29" s="8">
        <v>265476.59782060591</v>
      </c>
      <c r="J29" s="8">
        <f>6092-2958+I29</f>
        <v>268610.59782060591</v>
      </c>
      <c r="M29" s="83"/>
      <c r="P29" s="8"/>
      <c r="Q29" s="8">
        <f>12184-2958-6092+I29+J29</f>
        <v>537221.19564121182</v>
      </c>
      <c r="R29" s="8"/>
    </row>
    <row r="30" spans="8:57">
      <c r="H30" s="8"/>
      <c r="I30" s="8">
        <v>138024.39540170762</v>
      </c>
      <c r="J30" s="8">
        <f>3157-1538+I30</f>
        <v>139643.39540170762</v>
      </c>
      <c r="M30" s="83"/>
      <c r="P30" s="8"/>
      <c r="Q30" s="8">
        <f>6314-1538-3157+I30+J30</f>
        <v>279286.79080341524</v>
      </c>
      <c r="R30" s="8"/>
    </row>
    <row r="31" spans="8:57">
      <c r="H31" s="8"/>
      <c r="I31" s="8">
        <v>294973.86356195319</v>
      </c>
      <c r="J31" s="8">
        <f>6775-3286+I31</f>
        <v>298462.86356195319</v>
      </c>
      <c r="M31" s="83"/>
      <c r="P31" s="8"/>
      <c r="Q31" s="8">
        <f>13550-6775-3286+I31+J31</f>
        <v>596925.72712390637</v>
      </c>
      <c r="R31" s="8"/>
    </row>
    <row r="32" spans="8:57">
      <c r="H32" s="8"/>
      <c r="I32" s="8">
        <v>864180.16796312539</v>
      </c>
      <c r="J32" s="8">
        <f>18714-9627+I32</f>
        <v>873267.16796312539</v>
      </c>
      <c r="M32" s="83"/>
      <c r="P32" s="8"/>
      <c r="Q32" s="8">
        <f>37426-18714-9627+I32+J32</f>
        <v>1746532.3359262508</v>
      </c>
      <c r="R32" s="8"/>
    </row>
    <row r="33" spans="9:18">
      <c r="I33" s="8"/>
      <c r="J33" s="8"/>
      <c r="M33" s="83"/>
      <c r="P33" s="8"/>
      <c r="Q33" s="8"/>
      <c r="R33" s="8"/>
    </row>
    <row r="34" spans="9:18">
      <c r="I34" s="8"/>
      <c r="J34" s="8"/>
      <c r="M34" s="83"/>
      <c r="P34" s="8"/>
      <c r="Q34" s="8"/>
      <c r="R34" s="8"/>
    </row>
  </sheetData>
  <mergeCells count="20">
    <mergeCell ref="AE1:AN2"/>
    <mergeCell ref="L1:L2"/>
    <mergeCell ref="Y1:Y2"/>
    <mergeCell ref="M1:O1"/>
    <mergeCell ref="T1:V1"/>
    <mergeCell ref="P1:Q1"/>
    <mergeCell ref="R1:S1"/>
    <mergeCell ref="W1:W2"/>
    <mergeCell ref="X1:X2"/>
    <mergeCell ref="F1:H1"/>
    <mergeCell ref="I1:I2"/>
    <mergeCell ref="J1:J2"/>
    <mergeCell ref="K1:K2"/>
    <mergeCell ref="Z1:AD2"/>
    <mergeCell ref="A16:E16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38"/>
  <sheetViews>
    <sheetView workbookViewId="0">
      <pane ySplit="1" topLeftCell="A2" activePane="bottomLeft" state="frozen"/>
      <selection pane="bottomLeft" activeCell="J2" sqref="J2:K2"/>
    </sheetView>
  </sheetViews>
  <sheetFormatPr defaultRowHeight="11.25"/>
  <cols>
    <col min="1" max="1" width="7.28515625" style="3" bestFit="1" customWidth="1"/>
    <col min="2" max="2" width="59.4257812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232"/>
      <c r="B1" s="232"/>
      <c r="C1" s="362"/>
      <c r="D1" s="232" t="s">
        <v>319</v>
      </c>
      <c r="E1" s="232" t="s">
        <v>320</v>
      </c>
      <c r="F1" s="232" t="s">
        <v>321</v>
      </c>
      <c r="G1" s="232" t="s">
        <v>322</v>
      </c>
      <c r="H1" s="232" t="s">
        <v>323</v>
      </c>
      <c r="I1" s="232" t="s">
        <v>324</v>
      </c>
      <c r="J1" s="232" t="s">
        <v>325</v>
      </c>
      <c r="K1" s="378" t="s">
        <v>326</v>
      </c>
      <c r="L1" s="510" t="s">
        <v>327</v>
      </c>
      <c r="M1" s="511"/>
      <c r="N1" s="511"/>
      <c r="O1" s="511"/>
      <c r="P1" s="512" t="s">
        <v>328</v>
      </c>
      <c r="Q1" s="512"/>
      <c r="R1" s="512"/>
      <c r="S1" s="512"/>
      <c r="T1" s="513"/>
    </row>
    <row r="2" spans="1:20">
      <c r="A2" s="233">
        <f>'1-συμβολαια'!A3</f>
        <v>2774</v>
      </c>
      <c r="B2" s="84" t="str">
        <f>'1-συμβολαια'!C3</f>
        <v>κατασχέσεως ΑΡΣΗ για δάνειο Β.2'  [1.635.748δρχ = 4.800,44€]</v>
      </c>
      <c r="C2" s="361">
        <f>'1-συμβολαια'!D3</f>
        <v>0</v>
      </c>
      <c r="D2" s="387"/>
      <c r="E2" s="387"/>
      <c r="F2" s="387"/>
      <c r="G2" s="387"/>
      <c r="H2" s="387"/>
      <c r="I2" s="387"/>
      <c r="J2" s="387"/>
      <c r="K2" s="387"/>
      <c r="L2" s="389">
        <v>37720</v>
      </c>
      <c r="M2" s="84">
        <v>29</v>
      </c>
      <c r="N2" s="84">
        <v>31</v>
      </c>
      <c r="O2" s="84"/>
      <c r="P2" s="84"/>
      <c r="Q2" s="84"/>
      <c r="R2" s="84"/>
      <c r="S2" s="84"/>
      <c r="T2" s="84"/>
    </row>
    <row r="3" spans="1:20" s="19" customFormat="1">
      <c r="A3" s="13"/>
      <c r="B3" s="26"/>
      <c r="C3" s="38"/>
      <c r="D3" s="38"/>
      <c r="E3" s="38"/>
      <c r="F3" s="38"/>
      <c r="G3" s="38"/>
      <c r="H3" s="38"/>
      <c r="I3" s="38"/>
      <c r="J3" s="38"/>
      <c r="K3" s="38"/>
      <c r="L3" s="26"/>
      <c r="M3" s="26"/>
      <c r="N3" s="26"/>
      <c r="O3" s="26"/>
      <c r="P3" s="26"/>
      <c r="Q3" s="26"/>
      <c r="R3" s="26"/>
      <c r="S3" s="26"/>
      <c r="T3" s="26"/>
    </row>
    <row r="4" spans="1:20">
      <c r="A4" s="440" t="str">
        <f>'1-συμβολαια'!A5</f>
        <v>2ο</v>
      </c>
      <c r="B4" s="84" t="str">
        <f>'1-συμβολαια'!C5</f>
        <v>δανείου  Β' ΕΞΟΦΛΗΣΗ [= 2.500.000δρχ</v>
      </c>
      <c r="C4" s="361">
        <f>'1-συμβολαια'!D5</f>
        <v>7336.76</v>
      </c>
      <c r="D4" s="361">
        <v>0.5</v>
      </c>
      <c r="E4" s="361"/>
      <c r="F4" s="361"/>
      <c r="G4" s="361"/>
      <c r="H4" s="361"/>
      <c r="I4" s="361"/>
      <c r="J4" s="361"/>
      <c r="K4" s="361">
        <f t="shared" ref="K4:K14" si="0">SUM(D4:I4)</f>
        <v>0.5</v>
      </c>
      <c r="L4" s="389">
        <v>37720</v>
      </c>
      <c r="M4" s="84">
        <v>29</v>
      </c>
      <c r="N4" s="84">
        <v>27</v>
      </c>
      <c r="O4" s="84"/>
      <c r="P4" s="84"/>
      <c r="Q4" s="84"/>
      <c r="R4" s="84"/>
      <c r="S4" s="84"/>
      <c r="T4" s="84"/>
    </row>
    <row r="5" spans="1:20">
      <c r="A5" s="440">
        <f>'1-συμβολαια'!A6</f>
        <v>0</v>
      </c>
      <c r="B5" s="84" t="str">
        <f>'1-συμβολαια'!C6</f>
        <v>δανείου  Β.2' ΕΞΟΦΛΗΣΗ ΥΠΟΛΟΙΠΟΥ = 1.635.748δρχ</v>
      </c>
      <c r="C5" s="361">
        <f>'1-συμβολαια'!D6</f>
        <v>4800.4399999999996</v>
      </c>
      <c r="D5" s="361"/>
      <c r="E5" s="361"/>
      <c r="F5" s="361"/>
      <c r="G5" s="361"/>
      <c r="H5" s="361"/>
      <c r="I5" s="361"/>
      <c r="J5" s="361"/>
      <c r="K5" s="361">
        <f t="shared" si="0"/>
        <v>0</v>
      </c>
      <c r="L5" s="84"/>
      <c r="M5" s="84"/>
      <c r="N5" s="84"/>
      <c r="O5" s="84"/>
      <c r="P5" s="84"/>
      <c r="Q5" s="84"/>
      <c r="R5" s="84"/>
      <c r="S5" s="84"/>
      <c r="T5" s="84"/>
    </row>
    <row r="6" spans="1:20">
      <c r="A6" s="440">
        <f>'1-συμβολαια'!A7</f>
        <v>0</v>
      </c>
      <c r="B6" s="84" t="str">
        <f>'1-συμβολαια'!C7</f>
        <v>υποθήκη δανείου Β' …. ΕΞΑΛΕΙΨΗ</v>
      </c>
      <c r="C6" s="361">
        <f>'1-συμβολαια'!D7</f>
        <v>8151.95</v>
      </c>
      <c r="D6" s="361"/>
      <c r="E6" s="361"/>
      <c r="F6" s="361"/>
      <c r="G6" s="361"/>
      <c r="H6" s="361"/>
      <c r="I6" s="361"/>
      <c r="J6" s="361"/>
      <c r="K6" s="361">
        <f t="shared" si="0"/>
        <v>0</v>
      </c>
      <c r="L6" s="84"/>
      <c r="M6" s="84"/>
      <c r="N6" s="84"/>
      <c r="O6" s="84"/>
      <c r="P6" s="84"/>
      <c r="Q6" s="84"/>
      <c r="R6" s="84"/>
      <c r="S6" s="84"/>
      <c r="T6" s="84"/>
    </row>
    <row r="7" spans="1:20">
      <c r="A7" s="440">
        <f>'1-συμβολαια'!A8</f>
        <v>0</v>
      </c>
      <c r="B7" s="84" t="str">
        <f>'1-συμβολαια'!C8</f>
        <v>τόκοι δανείου Β' [προυπολογιζόμενοι VS πληρωμένοι]</v>
      </c>
      <c r="C7" s="361">
        <f>'1-συμβολαια'!D8</f>
        <v>23882.636363636364</v>
      </c>
      <c r="D7" s="361"/>
      <c r="E7" s="361"/>
      <c r="F7" s="361"/>
      <c r="G7" s="361"/>
      <c r="H7" s="361"/>
      <c r="I7" s="361"/>
      <c r="J7" s="361"/>
      <c r="K7" s="361">
        <f t="shared" si="0"/>
        <v>0</v>
      </c>
      <c r="L7" s="84"/>
      <c r="M7" s="84"/>
      <c r="N7" s="84"/>
      <c r="O7" s="84"/>
      <c r="P7" s="84"/>
      <c r="Q7" s="84"/>
      <c r="R7" s="84"/>
      <c r="S7" s="84"/>
      <c r="T7" s="84"/>
    </row>
    <row r="8" spans="1:20">
      <c r="A8" s="440">
        <f>'1-συμβολαια'!A9</f>
        <v>0</v>
      </c>
      <c r="B8" s="84" t="str">
        <f>'1-συμβολαια'!C9</f>
        <v>τόκοι δανείου Β.2' [προυπολογιζόμενοι VS πληρωμένοι]</v>
      </c>
      <c r="C8" s="361">
        <f>'1-συμβολαια'!D9</f>
        <v>111.11</v>
      </c>
      <c r="D8" s="361"/>
      <c r="E8" s="361"/>
      <c r="F8" s="361"/>
      <c r="G8" s="361"/>
      <c r="H8" s="361"/>
      <c r="I8" s="361"/>
      <c r="J8" s="361"/>
      <c r="K8" s="361">
        <f t="shared" si="0"/>
        <v>0</v>
      </c>
      <c r="L8" s="84"/>
      <c r="M8" s="84"/>
      <c r="N8" s="84"/>
      <c r="O8" s="84"/>
      <c r="P8" s="84"/>
      <c r="Q8" s="84"/>
      <c r="R8" s="84"/>
      <c r="S8" s="84"/>
      <c r="T8" s="84"/>
    </row>
    <row r="9" spans="1:20" s="19" customFormat="1">
      <c r="A9" s="13"/>
      <c r="B9" s="26"/>
      <c r="C9" s="38"/>
      <c r="D9" s="38"/>
      <c r="E9" s="38"/>
      <c r="F9" s="38"/>
      <c r="G9" s="38"/>
      <c r="H9" s="38"/>
      <c r="I9" s="38"/>
      <c r="J9" s="38"/>
      <c r="K9" s="38"/>
      <c r="L9" s="26"/>
      <c r="M9" s="26"/>
      <c r="N9" s="26"/>
      <c r="O9" s="26"/>
      <c r="P9" s="26"/>
      <c r="Q9" s="26"/>
      <c r="R9" s="26"/>
      <c r="S9" s="26"/>
      <c r="T9" s="26"/>
    </row>
    <row r="10" spans="1:20">
      <c r="A10" s="440" t="str">
        <f>'1-συμβολαια'!A11</f>
        <v>3ο</v>
      </c>
      <c r="B10" s="84" t="str">
        <f>'1-συμβολαια'!C11</f>
        <v>δανείου  Α' ΕΞΟΦΛΗΣΗ [= 6.000.000δρχ</v>
      </c>
      <c r="C10" s="361">
        <f>'1-συμβολαια'!D11</f>
        <v>17608.22</v>
      </c>
      <c r="D10" s="361">
        <v>0.5</v>
      </c>
      <c r="E10" s="361"/>
      <c r="F10" s="361"/>
      <c r="G10" s="361"/>
      <c r="H10" s="361"/>
      <c r="I10" s="361"/>
      <c r="J10" s="361"/>
      <c r="K10" s="361">
        <f t="shared" si="0"/>
        <v>0.5</v>
      </c>
      <c r="L10" s="389">
        <v>37720</v>
      </c>
      <c r="M10" s="84">
        <v>29</v>
      </c>
      <c r="N10" s="84">
        <v>29</v>
      </c>
      <c r="O10" s="84"/>
      <c r="P10" s="84"/>
      <c r="Q10" s="84"/>
      <c r="R10" s="84"/>
      <c r="S10" s="84"/>
      <c r="T10" s="84"/>
    </row>
    <row r="11" spans="1:20">
      <c r="A11" s="440">
        <f>'1-συμβολαια'!A12</f>
        <v>0</v>
      </c>
      <c r="B11" s="84" t="str">
        <f>'1-συμβολαια'!C12</f>
        <v xml:space="preserve">δανείου Α.2' ΕΞΟΦΛΗΣΗ ΥΠΟΛΟΙΠΟΥ = 3.119.471δρχ </v>
      </c>
      <c r="C11" s="361">
        <f>'1-συμβολαια'!D12</f>
        <v>9154.7199999999993</v>
      </c>
      <c r="D11" s="361"/>
      <c r="E11" s="361"/>
      <c r="F11" s="361"/>
      <c r="G11" s="361"/>
      <c r="H11" s="361"/>
      <c r="I11" s="361"/>
      <c r="J11" s="361"/>
      <c r="K11" s="361">
        <f t="shared" si="0"/>
        <v>0</v>
      </c>
      <c r="L11" s="84"/>
      <c r="M11" s="84"/>
      <c r="N11" s="84"/>
      <c r="O11" s="84"/>
      <c r="P11" s="84"/>
      <c r="Q11" s="84"/>
      <c r="R11" s="84"/>
      <c r="S11" s="84"/>
      <c r="T11" s="84"/>
    </row>
    <row r="12" spans="1:20">
      <c r="A12" s="440">
        <f>'1-συμβολαια'!A13</f>
        <v>0</v>
      </c>
      <c r="B12" s="84" t="str">
        <f>'1-συμβολαια'!C13</f>
        <v>υποθήκη δανείου Α' …. ΕΞΑΛΕΙΨΗ</v>
      </c>
      <c r="C12" s="361">
        <f>'1-συμβολαια'!D13</f>
        <v>19564.68</v>
      </c>
      <c r="D12" s="361"/>
      <c r="E12" s="361"/>
      <c r="F12" s="361"/>
      <c r="G12" s="361"/>
      <c r="H12" s="361"/>
      <c r="I12" s="361"/>
      <c r="J12" s="361"/>
      <c r="K12" s="361">
        <f t="shared" si="0"/>
        <v>0</v>
      </c>
      <c r="L12" s="84"/>
      <c r="M12" s="84"/>
      <c r="N12" s="84"/>
      <c r="O12" s="84"/>
      <c r="P12" s="84"/>
      <c r="Q12" s="84"/>
      <c r="R12" s="84"/>
      <c r="S12" s="84"/>
      <c r="T12" s="84"/>
    </row>
    <row r="13" spans="1:20">
      <c r="A13" s="440">
        <f>'1-συμβολαια'!A14</f>
        <v>0</v>
      </c>
      <c r="B13" s="84" t="str">
        <f>'1-συμβολαια'!C14</f>
        <v>τόκοι δανείου Α' [προυπολογιζόμενοι VS πληρωμένοι]</v>
      </c>
      <c r="C13" s="361">
        <f>'1-συμβολαια'!D14</f>
        <v>57318.327272727271</v>
      </c>
      <c r="D13" s="361"/>
      <c r="E13" s="361"/>
      <c r="F13" s="361"/>
      <c r="G13" s="361"/>
      <c r="H13" s="361"/>
      <c r="I13" s="361"/>
      <c r="J13" s="361"/>
      <c r="K13" s="361">
        <f t="shared" si="0"/>
        <v>0</v>
      </c>
      <c r="L13" s="84"/>
      <c r="M13" s="84"/>
      <c r="N13" s="84"/>
      <c r="O13" s="84"/>
      <c r="P13" s="84"/>
      <c r="Q13" s="84"/>
      <c r="R13" s="84"/>
      <c r="S13" s="84"/>
      <c r="T13" s="84"/>
    </row>
    <row r="14" spans="1:20">
      <c r="A14" s="440">
        <f>'1-συμβολαια'!A15</f>
        <v>0</v>
      </c>
      <c r="B14" s="84" t="str">
        <f>'1-συμβολαια'!C15</f>
        <v>τόκοι δανείου Α.2' [προυπολογιζόμενοι VS πληρωμένοι]</v>
      </c>
      <c r="C14" s="361">
        <f>'1-συμβολαια'!D15</f>
        <v>111.11</v>
      </c>
      <c r="D14" s="361"/>
      <c r="E14" s="361"/>
      <c r="F14" s="361"/>
      <c r="G14" s="361"/>
      <c r="H14" s="361"/>
      <c r="I14" s="361"/>
      <c r="J14" s="361"/>
      <c r="K14" s="361">
        <f t="shared" si="0"/>
        <v>0</v>
      </c>
      <c r="L14" s="84"/>
      <c r="M14" s="84"/>
      <c r="N14" s="84"/>
      <c r="O14" s="84"/>
      <c r="P14" s="84"/>
      <c r="Q14" s="84"/>
      <c r="R14" s="84"/>
      <c r="S14" s="84"/>
      <c r="T14" s="84"/>
    </row>
    <row r="15" spans="1:20">
      <c r="A15" s="507" t="str">
        <f>'1-συμβολαια'!A16</f>
        <v>σύνολο</v>
      </c>
      <c r="B15" s="508"/>
      <c r="C15" s="509"/>
      <c r="D15" s="361">
        <f t="shared" ref="D15:K15" si="1">SUM(D2:D14)</f>
        <v>1</v>
      </c>
      <c r="E15" s="361">
        <f t="shared" si="1"/>
        <v>0</v>
      </c>
      <c r="F15" s="361">
        <f t="shared" si="1"/>
        <v>0</v>
      </c>
      <c r="G15" s="361">
        <f t="shared" si="1"/>
        <v>0</v>
      </c>
      <c r="H15" s="361">
        <f t="shared" si="1"/>
        <v>0</v>
      </c>
      <c r="I15" s="361">
        <f t="shared" si="1"/>
        <v>0</v>
      </c>
      <c r="J15" s="361">
        <f t="shared" si="1"/>
        <v>0</v>
      </c>
      <c r="K15" s="361">
        <f t="shared" si="1"/>
        <v>1</v>
      </c>
    </row>
    <row r="16" spans="1:20">
      <c r="J16" s="2"/>
    </row>
    <row r="17" spans="3:11">
      <c r="C17" s="2" t="s">
        <v>406</v>
      </c>
      <c r="I17" s="5"/>
    </row>
    <row r="18" spans="3:11">
      <c r="J18" s="2"/>
    </row>
    <row r="19" spans="3:11">
      <c r="H19" s="194"/>
    </row>
    <row r="20" spans="3:11">
      <c r="J20" s="2"/>
    </row>
    <row r="21" spans="3:11">
      <c r="E21" s="144"/>
      <c r="J21" s="2"/>
    </row>
    <row r="22" spans="3:11">
      <c r="E22" s="6"/>
      <c r="J22" s="2"/>
    </row>
    <row r="25" spans="3:11">
      <c r="C25" s="4"/>
      <c r="D25" s="5"/>
      <c r="E25" s="5"/>
      <c r="F25" s="5"/>
      <c r="G25" s="5"/>
      <c r="H25" s="5"/>
      <c r="I25" s="5"/>
      <c r="J25" s="5"/>
      <c r="K25" s="5"/>
    </row>
    <row r="26" spans="3:11">
      <c r="C26" s="4"/>
      <c r="D26" s="5"/>
      <c r="E26" s="5"/>
      <c r="F26" s="5"/>
      <c r="G26" s="5"/>
      <c r="H26" s="5"/>
      <c r="I26" s="5"/>
      <c r="J26" s="5"/>
      <c r="K26" s="5"/>
    </row>
    <row r="27" spans="3:11">
      <c r="C27" s="4"/>
      <c r="D27" s="5"/>
      <c r="E27" s="5"/>
      <c r="F27" s="5"/>
      <c r="G27" s="5"/>
      <c r="H27" s="5"/>
      <c r="I27" s="5"/>
      <c r="J27" s="5"/>
      <c r="K27" s="5"/>
    </row>
    <row r="28" spans="3:11">
      <c r="C28" s="4"/>
      <c r="D28" s="5"/>
      <c r="E28" s="5"/>
      <c r="F28" s="5"/>
      <c r="G28" s="5"/>
      <c r="H28" s="5"/>
      <c r="I28" s="5"/>
      <c r="J28" s="5"/>
      <c r="K28" s="5"/>
    </row>
    <row r="29" spans="3:11">
      <c r="C29" s="4"/>
      <c r="D29" s="5"/>
      <c r="E29" s="5"/>
      <c r="F29" s="5"/>
      <c r="G29" s="5"/>
      <c r="H29" s="5"/>
      <c r="I29" s="5"/>
      <c r="J29" s="5"/>
      <c r="K29" s="5"/>
    </row>
    <row r="30" spans="3:11">
      <c r="C30" s="4"/>
      <c r="D30" s="5"/>
      <c r="E30" s="5"/>
      <c r="F30" s="5"/>
      <c r="G30" s="5"/>
      <c r="H30" s="5"/>
      <c r="I30" s="5"/>
      <c r="J30" s="5"/>
      <c r="K30" s="5"/>
    </row>
    <row r="31" spans="3:11">
      <c r="C31" s="4"/>
      <c r="D31" s="5"/>
    </row>
    <row r="32" spans="3:11">
      <c r="C32" s="4"/>
      <c r="D32" s="5"/>
    </row>
    <row r="33" spans="3:4">
      <c r="C33" s="4"/>
      <c r="D33" s="5"/>
    </row>
    <row r="34" spans="3:4">
      <c r="D34" s="5"/>
    </row>
    <row r="35" spans="3:4">
      <c r="D35" s="5"/>
    </row>
    <row r="36" spans="3:4">
      <c r="D36" s="5"/>
    </row>
    <row r="37" spans="3:4">
      <c r="D37" s="5"/>
    </row>
    <row r="38" spans="3:4">
      <c r="D38" s="5"/>
    </row>
  </sheetData>
  <mergeCells count="3">
    <mergeCell ref="A15:C15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0"/>
  <sheetViews>
    <sheetView workbookViewId="0">
      <pane ySplit="2" topLeftCell="A3" activePane="bottomLeft" state="frozen"/>
      <selection pane="bottomLeft" activeCell="P30" sqref="P30"/>
    </sheetView>
  </sheetViews>
  <sheetFormatPr defaultRowHeight="11.25"/>
  <cols>
    <col min="1" max="1" width="7" style="8" customWidth="1"/>
    <col min="2" max="2" width="50.28515625" style="101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90" customWidth="1"/>
    <col min="17" max="17" width="8" style="90" customWidth="1"/>
    <col min="18" max="18" width="5.85546875" style="90" customWidth="1"/>
    <col min="19" max="19" width="15.42578125" style="90" customWidth="1"/>
    <col min="20" max="20" width="8" style="90" customWidth="1"/>
    <col min="21" max="21" width="16.85546875" style="90" customWidth="1"/>
    <col min="22" max="24" width="8" style="90" customWidth="1"/>
    <col min="25" max="25" width="18.7109375" style="90" customWidth="1"/>
    <col min="26" max="26" width="8" style="90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22" t="s">
        <v>1</v>
      </c>
      <c r="B1" s="524" t="s">
        <v>0</v>
      </c>
      <c r="C1" s="526" t="s">
        <v>7</v>
      </c>
      <c r="D1" s="520" t="s">
        <v>369</v>
      </c>
      <c r="E1" s="521"/>
      <c r="F1" s="521"/>
      <c r="G1" s="521"/>
      <c r="H1" s="521"/>
      <c r="I1" s="521"/>
      <c r="J1" s="521"/>
      <c r="K1" s="521"/>
      <c r="L1" s="521"/>
      <c r="M1" s="528" t="s">
        <v>92</v>
      </c>
      <c r="N1" s="529"/>
      <c r="O1" s="530" t="s">
        <v>254</v>
      </c>
      <c r="P1" s="514" t="s">
        <v>84</v>
      </c>
      <c r="Q1" s="515"/>
      <c r="R1" s="515"/>
      <c r="S1" s="515"/>
      <c r="T1" s="515"/>
      <c r="U1" s="515"/>
      <c r="V1" s="515"/>
      <c r="W1" s="515"/>
      <c r="X1" s="515"/>
      <c r="Y1" s="515"/>
      <c r="Z1" s="516"/>
    </row>
    <row r="2" spans="1:26" s="12" customFormat="1" ht="24" customHeight="1" thickBot="1">
      <c r="A2" s="523"/>
      <c r="B2" s="525"/>
      <c r="C2" s="527"/>
      <c r="D2" s="66" t="s">
        <v>77</v>
      </c>
      <c r="E2" s="66" t="s">
        <v>78</v>
      </c>
      <c r="F2" s="66" t="s">
        <v>370</v>
      </c>
      <c r="G2" s="66" t="s">
        <v>371</v>
      </c>
      <c r="H2" s="66" t="s">
        <v>23</v>
      </c>
      <c r="I2" s="255" t="s">
        <v>359</v>
      </c>
      <c r="J2" s="255" t="s">
        <v>360</v>
      </c>
      <c r="K2" s="255" t="s">
        <v>383</v>
      </c>
      <c r="L2" s="256" t="s">
        <v>362</v>
      </c>
      <c r="M2" s="258" t="s">
        <v>384</v>
      </c>
      <c r="N2" s="257" t="s">
        <v>385</v>
      </c>
      <c r="O2" s="531"/>
      <c r="P2" s="517"/>
      <c r="Q2" s="518"/>
      <c r="R2" s="518"/>
      <c r="S2" s="518"/>
      <c r="T2" s="518"/>
      <c r="U2" s="518"/>
      <c r="V2" s="518"/>
      <c r="W2" s="518"/>
      <c r="X2" s="518"/>
      <c r="Y2" s="518"/>
      <c r="Z2" s="519"/>
    </row>
    <row r="3" spans="1:26" s="5" customFormat="1">
      <c r="A3" s="382">
        <f>'1-συμβολαια'!A3</f>
        <v>2774</v>
      </c>
      <c r="B3" s="400" t="str">
        <f>'1-συμβολαια'!C3</f>
        <v>κατασχέσεως ΑΡΣΗ για δάνειο Β.2'  [1.635.748δρχ = 4.800,44€]</v>
      </c>
      <c r="C3" s="394">
        <f>'1-συμβολαια'!D3</f>
        <v>0</v>
      </c>
      <c r="D3" s="383">
        <v>8.8000000000000007</v>
      </c>
      <c r="E3" s="383"/>
      <c r="F3" s="383"/>
      <c r="G3" s="383"/>
      <c r="H3" s="383">
        <f t="shared" ref="H3:H15" si="0">D3+E3+F3+G3</f>
        <v>8.8000000000000007</v>
      </c>
      <c r="I3" s="384">
        <f t="shared" ref="I3:I15" si="1">(F3+G3)*9%</f>
        <v>0</v>
      </c>
      <c r="J3" s="384">
        <f t="shared" ref="J3:J15" si="2">(D3+E3)*5%</f>
        <v>0.44000000000000006</v>
      </c>
      <c r="K3" s="384">
        <f t="shared" ref="K3:K15" si="3">H3*5%</f>
        <v>0.44000000000000006</v>
      </c>
      <c r="L3" s="394">
        <f t="shared" ref="L3:L15" si="4">H3*1%</f>
        <v>8.8000000000000009E-2</v>
      </c>
      <c r="M3" s="394">
        <f t="shared" ref="M3:M15" si="5">H3-O3</f>
        <v>7.8320000000000007</v>
      </c>
      <c r="N3" s="394">
        <f t="shared" ref="N3:N15" si="6">D3+E3</f>
        <v>8.8000000000000007</v>
      </c>
      <c r="O3" s="394">
        <f t="shared" ref="O3:O15" si="7">I3+J3+K3+L3</f>
        <v>0.96800000000000008</v>
      </c>
      <c r="P3" s="401"/>
      <c r="Q3" s="401"/>
      <c r="R3" s="401"/>
      <c r="S3" s="401"/>
      <c r="T3" s="401"/>
      <c r="U3" s="401"/>
      <c r="V3" s="401"/>
      <c r="W3" s="321"/>
      <c r="X3" s="321"/>
      <c r="Y3" s="321"/>
      <c r="Z3" s="321"/>
    </row>
    <row r="4" spans="1:26" s="19" customFormat="1">
      <c r="A4" s="14"/>
      <c r="B4" s="100"/>
      <c r="C4" s="42"/>
      <c r="D4" s="18"/>
      <c r="E4" s="18"/>
      <c r="F4" s="18"/>
      <c r="G4" s="18"/>
      <c r="H4" s="18"/>
      <c r="I4" s="17"/>
      <c r="J4" s="17"/>
      <c r="K4" s="17"/>
      <c r="L4" s="42"/>
      <c r="M4" s="42"/>
      <c r="N4" s="42"/>
      <c r="O4" s="42"/>
      <c r="P4" s="157"/>
      <c r="Q4" s="157"/>
      <c r="R4" s="157"/>
      <c r="S4" s="157"/>
      <c r="T4" s="157"/>
      <c r="U4" s="157"/>
      <c r="V4" s="157"/>
      <c r="W4" s="89"/>
      <c r="X4" s="89"/>
      <c r="Y4" s="89"/>
      <c r="Z4" s="89"/>
    </row>
    <row r="5" spans="1:26" s="5" customFormat="1">
      <c r="A5" s="441" t="str">
        <f>'1-συμβολαια'!A5</f>
        <v>2ο</v>
      </c>
      <c r="B5" s="400" t="str">
        <f>'1-συμβολαια'!C5</f>
        <v>δανείου  Β' ΕΞΟΦΛΗΣΗ [= 2.500.000δρχ</v>
      </c>
      <c r="C5" s="394">
        <f>'1-συμβολαια'!D5</f>
        <v>7336.76</v>
      </c>
      <c r="D5" s="383"/>
      <c r="E5" s="383">
        <v>2.93</v>
      </c>
      <c r="F5" s="383">
        <v>10.56</v>
      </c>
      <c r="G5" s="383">
        <f t="shared" ref="G5:G15" si="8">(C5-323.67)*1.2%</f>
        <v>84.157080000000008</v>
      </c>
      <c r="H5" s="383">
        <f t="shared" si="0"/>
        <v>97.647080000000003</v>
      </c>
      <c r="I5" s="384">
        <f t="shared" si="1"/>
        <v>8.524537200000001</v>
      </c>
      <c r="J5" s="384">
        <f t="shared" si="2"/>
        <v>0.14650000000000002</v>
      </c>
      <c r="K5" s="384">
        <f t="shared" si="3"/>
        <v>4.8823540000000003</v>
      </c>
      <c r="L5" s="394">
        <f t="shared" si="4"/>
        <v>0.97647080000000008</v>
      </c>
      <c r="M5" s="394">
        <f t="shared" si="5"/>
        <v>83.117218000000008</v>
      </c>
      <c r="N5" s="394">
        <f t="shared" si="6"/>
        <v>2.93</v>
      </c>
      <c r="O5" s="394">
        <f t="shared" si="7"/>
        <v>14.529862</v>
      </c>
      <c r="P5" s="401"/>
      <c r="Q5" s="401" t="s">
        <v>403</v>
      </c>
      <c r="R5" s="401" t="s">
        <v>404</v>
      </c>
      <c r="S5" s="401" t="s">
        <v>405</v>
      </c>
      <c r="T5" s="401"/>
      <c r="U5" s="401"/>
      <c r="V5" s="401"/>
      <c r="W5" s="321"/>
      <c r="X5" s="321"/>
      <c r="Y5" s="321"/>
      <c r="Z5" s="321"/>
    </row>
    <row r="6" spans="1:26" s="5" customFormat="1">
      <c r="A6" s="441">
        <f>'1-συμβολαια'!A6</f>
        <v>0</v>
      </c>
      <c r="B6" s="400" t="str">
        <f>'1-συμβολαια'!C6</f>
        <v>δανείου  Β.2' ΕΞΟΦΛΗΣΗ ΥΠΟΛΟΙΠΟΥ = 1.635.748δρχ</v>
      </c>
      <c r="C6" s="394">
        <f>'1-συμβολαια'!D6</f>
        <v>4800.4399999999996</v>
      </c>
      <c r="D6" s="383"/>
      <c r="E6" s="383">
        <v>2.93</v>
      </c>
      <c r="F6" s="383">
        <v>10.56</v>
      </c>
      <c r="G6" s="383">
        <f t="shared" si="8"/>
        <v>53.721239999999995</v>
      </c>
      <c r="H6" s="383">
        <f t="shared" si="0"/>
        <v>67.211239999999989</v>
      </c>
      <c r="I6" s="384">
        <f t="shared" si="1"/>
        <v>5.7853115999999991</v>
      </c>
      <c r="J6" s="384">
        <f t="shared" si="2"/>
        <v>0.14650000000000002</v>
      </c>
      <c r="K6" s="384">
        <f t="shared" si="3"/>
        <v>3.3605619999999998</v>
      </c>
      <c r="L6" s="394">
        <f t="shared" si="4"/>
        <v>0.67211239999999994</v>
      </c>
      <c r="M6" s="394">
        <f t="shared" si="5"/>
        <v>57.246753999999996</v>
      </c>
      <c r="N6" s="394">
        <f t="shared" si="6"/>
        <v>2.93</v>
      </c>
      <c r="O6" s="394">
        <f t="shared" si="7"/>
        <v>9.9644859999999973</v>
      </c>
      <c r="P6" s="401"/>
      <c r="Q6" s="401" t="s">
        <v>403</v>
      </c>
      <c r="R6" s="401" t="s">
        <v>404</v>
      </c>
      <c r="S6" s="401" t="s">
        <v>405</v>
      </c>
      <c r="T6" s="401"/>
      <c r="U6" s="401"/>
      <c r="V6" s="401"/>
      <c r="W6" s="321"/>
      <c r="X6" s="321"/>
      <c r="Y6" s="321"/>
      <c r="Z6" s="321"/>
    </row>
    <row r="7" spans="1:26" s="5" customFormat="1">
      <c r="A7" s="441">
        <f>'1-συμβολαια'!A7</f>
        <v>0</v>
      </c>
      <c r="B7" s="400" t="str">
        <f>'1-συμβολαια'!C7</f>
        <v>υποθήκη δανείου Β' …. ΕΞΑΛΕΙΨΗ</v>
      </c>
      <c r="C7" s="394">
        <f>'1-συμβολαια'!D7</f>
        <v>8151.95</v>
      </c>
      <c r="D7" s="383"/>
      <c r="E7" s="383">
        <v>2.93</v>
      </c>
      <c r="F7" s="383">
        <v>10.56</v>
      </c>
      <c r="G7" s="383">
        <f t="shared" si="8"/>
        <v>93.939359999999994</v>
      </c>
      <c r="H7" s="383">
        <f t="shared" si="0"/>
        <v>107.42935999999999</v>
      </c>
      <c r="I7" s="384">
        <f t="shared" si="1"/>
        <v>9.4049423999999995</v>
      </c>
      <c r="J7" s="384">
        <f t="shared" si="2"/>
        <v>0.14650000000000002</v>
      </c>
      <c r="K7" s="384">
        <f t="shared" si="3"/>
        <v>5.3714680000000001</v>
      </c>
      <c r="L7" s="394">
        <f t="shared" si="4"/>
        <v>1.0742935999999998</v>
      </c>
      <c r="M7" s="394">
        <f t="shared" si="5"/>
        <v>91.432155999999992</v>
      </c>
      <c r="N7" s="394">
        <f t="shared" si="6"/>
        <v>2.93</v>
      </c>
      <c r="O7" s="394">
        <f t="shared" si="7"/>
        <v>15.997204</v>
      </c>
      <c r="P7" s="401"/>
      <c r="Q7" s="401" t="s">
        <v>403</v>
      </c>
      <c r="R7" s="401" t="s">
        <v>404</v>
      </c>
      <c r="S7" s="401" t="s">
        <v>405</v>
      </c>
      <c r="T7" s="401" t="s">
        <v>586</v>
      </c>
      <c r="U7" s="401"/>
      <c r="V7" s="401"/>
      <c r="W7" s="321"/>
      <c r="X7" s="321"/>
      <c r="Y7" s="321"/>
      <c r="Z7" s="321"/>
    </row>
    <row r="8" spans="1:26" s="5" customFormat="1">
      <c r="A8" s="441">
        <f>'1-συμβολαια'!A8</f>
        <v>0</v>
      </c>
      <c r="B8" s="400" t="str">
        <f>'1-συμβολαια'!C8</f>
        <v>τόκοι δανείου Β' [προυπολογιζόμενοι VS πληρωμένοι]</v>
      </c>
      <c r="C8" s="394">
        <f>'1-συμβολαια'!D8</f>
        <v>23882.636363636364</v>
      </c>
      <c r="D8" s="383"/>
      <c r="E8" s="383">
        <v>2.93</v>
      </c>
      <c r="F8" s="383">
        <v>10.56</v>
      </c>
      <c r="G8" s="383">
        <f t="shared" si="8"/>
        <v>282.70759636363641</v>
      </c>
      <c r="H8" s="383">
        <f t="shared" si="0"/>
        <v>296.19759636363642</v>
      </c>
      <c r="I8" s="384">
        <f t="shared" si="1"/>
        <v>26.394083672727277</v>
      </c>
      <c r="J8" s="384">
        <f t="shared" si="2"/>
        <v>0.14650000000000002</v>
      </c>
      <c r="K8" s="384">
        <f t="shared" si="3"/>
        <v>14.809879818181821</v>
      </c>
      <c r="L8" s="394">
        <f t="shared" si="4"/>
        <v>2.9619759636363643</v>
      </c>
      <c r="M8" s="394">
        <f t="shared" si="5"/>
        <v>251.88515690909097</v>
      </c>
      <c r="N8" s="394">
        <f t="shared" si="6"/>
        <v>2.93</v>
      </c>
      <c r="O8" s="394">
        <f t="shared" si="7"/>
        <v>44.312439454545462</v>
      </c>
      <c r="P8" s="401"/>
      <c r="Q8" s="401" t="s">
        <v>403</v>
      </c>
      <c r="R8" s="401" t="s">
        <v>404</v>
      </c>
      <c r="S8" s="401" t="s">
        <v>405</v>
      </c>
      <c r="T8" s="401"/>
      <c r="U8" s="401"/>
      <c r="V8" s="401"/>
      <c r="W8" s="321"/>
      <c r="X8" s="321"/>
      <c r="Y8" s="321"/>
      <c r="Z8" s="321"/>
    </row>
    <row r="9" spans="1:26" s="5" customFormat="1">
      <c r="A9" s="441">
        <f>'1-συμβολαια'!A9</f>
        <v>0</v>
      </c>
      <c r="B9" s="400" t="str">
        <f>'1-συμβολαια'!C9</f>
        <v>τόκοι δανείου Β.2' [προυπολογιζόμενοι VS πληρωμένοι]</v>
      </c>
      <c r="C9" s="394">
        <f>'1-συμβολαια'!D9</f>
        <v>111.11</v>
      </c>
      <c r="D9" s="383"/>
      <c r="E9" s="383">
        <v>2.93</v>
      </c>
      <c r="F9" s="383">
        <v>10.56</v>
      </c>
      <c r="G9" s="383">
        <f t="shared" si="8"/>
        <v>-2.5507200000000001</v>
      </c>
      <c r="H9" s="383">
        <f t="shared" si="0"/>
        <v>10.93928</v>
      </c>
      <c r="I9" s="384">
        <f t="shared" si="1"/>
        <v>0.72083520000000001</v>
      </c>
      <c r="J9" s="384">
        <f t="shared" si="2"/>
        <v>0.14650000000000002</v>
      </c>
      <c r="K9" s="384">
        <f t="shared" si="3"/>
        <v>0.54696400000000001</v>
      </c>
      <c r="L9" s="394">
        <f t="shared" si="4"/>
        <v>0.1093928</v>
      </c>
      <c r="M9" s="394">
        <f t="shared" si="5"/>
        <v>9.4155879999999996</v>
      </c>
      <c r="N9" s="394">
        <f t="shared" si="6"/>
        <v>2.93</v>
      </c>
      <c r="O9" s="394">
        <f t="shared" si="7"/>
        <v>1.523692</v>
      </c>
      <c r="P9" s="401"/>
      <c r="Q9" s="401" t="s">
        <v>403</v>
      </c>
      <c r="R9" s="401" t="s">
        <v>404</v>
      </c>
      <c r="S9" s="401" t="s">
        <v>405</v>
      </c>
      <c r="T9" s="401"/>
      <c r="U9" s="401"/>
      <c r="V9" s="401"/>
      <c r="W9" s="321"/>
      <c r="X9" s="321"/>
      <c r="Y9" s="321"/>
      <c r="Z9" s="321"/>
    </row>
    <row r="10" spans="1:26" s="19" customFormat="1">
      <c r="A10" s="14"/>
      <c r="B10" s="100"/>
      <c r="C10" s="42"/>
      <c r="D10" s="18"/>
      <c r="E10" s="18"/>
      <c r="F10" s="18"/>
      <c r="G10" s="18"/>
      <c r="H10" s="18"/>
      <c r="I10" s="17"/>
      <c r="J10" s="17"/>
      <c r="K10" s="17"/>
      <c r="L10" s="42"/>
      <c r="M10" s="42"/>
      <c r="N10" s="42"/>
      <c r="O10" s="42"/>
      <c r="P10" s="157"/>
      <c r="Q10" s="157"/>
      <c r="R10" s="157"/>
      <c r="S10" s="157"/>
      <c r="T10" s="157"/>
      <c r="U10" s="157"/>
      <c r="V10" s="157"/>
      <c r="W10" s="89"/>
      <c r="X10" s="89"/>
      <c r="Y10" s="89"/>
      <c r="Z10" s="89"/>
    </row>
    <row r="11" spans="1:26" s="5" customFormat="1">
      <c r="A11" s="441" t="str">
        <f>'1-συμβολαια'!A11</f>
        <v>3ο</v>
      </c>
      <c r="B11" s="400" t="str">
        <f>'1-συμβολαια'!C11</f>
        <v>δανείου  Α' ΕΞΟΦΛΗΣΗ [= 6.000.000δρχ</v>
      </c>
      <c r="C11" s="394">
        <f>'1-συμβολαια'!D11</f>
        <v>17608.22</v>
      </c>
      <c r="D11" s="383"/>
      <c r="E11" s="383">
        <v>2.93</v>
      </c>
      <c r="F11" s="383">
        <v>10.56</v>
      </c>
      <c r="G11" s="383">
        <f t="shared" si="8"/>
        <v>207.41460000000004</v>
      </c>
      <c r="H11" s="383">
        <f t="shared" si="0"/>
        <v>220.90460000000004</v>
      </c>
      <c r="I11" s="384">
        <f t="shared" si="1"/>
        <v>19.617714000000003</v>
      </c>
      <c r="J11" s="384">
        <f t="shared" si="2"/>
        <v>0.14650000000000002</v>
      </c>
      <c r="K11" s="384">
        <f t="shared" si="3"/>
        <v>11.045230000000004</v>
      </c>
      <c r="L11" s="394">
        <f t="shared" si="4"/>
        <v>2.2090460000000003</v>
      </c>
      <c r="M11" s="394">
        <f t="shared" si="5"/>
        <v>187.88611000000003</v>
      </c>
      <c r="N11" s="394">
        <f t="shared" si="6"/>
        <v>2.93</v>
      </c>
      <c r="O11" s="394">
        <f t="shared" si="7"/>
        <v>33.018490000000007</v>
      </c>
      <c r="P11" s="401"/>
      <c r="Q11" s="401" t="s">
        <v>403</v>
      </c>
      <c r="R11" s="401" t="s">
        <v>404</v>
      </c>
      <c r="S11" s="401" t="s">
        <v>405</v>
      </c>
      <c r="T11" s="401"/>
      <c r="U11" s="401"/>
      <c r="V11" s="401"/>
      <c r="W11" s="321"/>
      <c r="X11" s="321"/>
      <c r="Y11" s="321"/>
      <c r="Z11" s="321"/>
    </row>
    <row r="12" spans="1:26" s="5" customFormat="1">
      <c r="A12" s="441">
        <f>'1-συμβολαια'!A12</f>
        <v>0</v>
      </c>
      <c r="B12" s="400" t="str">
        <f>'1-συμβολαια'!C12</f>
        <v xml:space="preserve">δανείου Α.2' ΕΞΟΦΛΗΣΗ ΥΠΟΛΟΙΠΟΥ = 3.119.471δρχ </v>
      </c>
      <c r="C12" s="394">
        <f>'1-συμβολαια'!D12</f>
        <v>9154.7199999999993</v>
      </c>
      <c r="D12" s="383"/>
      <c r="E12" s="383">
        <v>2.93</v>
      </c>
      <c r="F12" s="383">
        <v>10.56</v>
      </c>
      <c r="G12" s="383">
        <f t="shared" si="8"/>
        <v>105.9726</v>
      </c>
      <c r="H12" s="383">
        <f t="shared" si="0"/>
        <v>119.46259999999999</v>
      </c>
      <c r="I12" s="384">
        <f t="shared" si="1"/>
        <v>10.487933999999999</v>
      </c>
      <c r="J12" s="384">
        <f t="shared" si="2"/>
        <v>0.14650000000000002</v>
      </c>
      <c r="K12" s="384">
        <f t="shared" si="3"/>
        <v>5.9731300000000003</v>
      </c>
      <c r="L12" s="394">
        <f t="shared" si="4"/>
        <v>1.194626</v>
      </c>
      <c r="M12" s="394">
        <f t="shared" si="5"/>
        <v>101.66041</v>
      </c>
      <c r="N12" s="394">
        <f t="shared" si="6"/>
        <v>2.93</v>
      </c>
      <c r="O12" s="394">
        <f t="shared" si="7"/>
        <v>17.80219</v>
      </c>
      <c r="P12" s="401"/>
      <c r="Q12" s="401" t="s">
        <v>403</v>
      </c>
      <c r="R12" s="401" t="s">
        <v>404</v>
      </c>
      <c r="S12" s="401" t="s">
        <v>405</v>
      </c>
      <c r="T12" s="401"/>
      <c r="U12" s="401"/>
      <c r="V12" s="401"/>
      <c r="W12" s="321"/>
      <c r="X12" s="321"/>
      <c r="Y12" s="321"/>
      <c r="Z12" s="321"/>
    </row>
    <row r="13" spans="1:26" s="5" customFormat="1">
      <c r="A13" s="441">
        <f>'1-συμβολαια'!A13</f>
        <v>0</v>
      </c>
      <c r="B13" s="400" t="str">
        <f>'1-συμβολαια'!C13</f>
        <v>υποθήκη δανείου Α' …. ΕΞΑΛΕΙΨΗ</v>
      </c>
      <c r="C13" s="394">
        <f>'1-συμβολαια'!D13</f>
        <v>19564.68</v>
      </c>
      <c r="D13" s="383"/>
      <c r="E13" s="383">
        <v>2.93</v>
      </c>
      <c r="F13" s="383">
        <v>10.56</v>
      </c>
      <c r="G13" s="383">
        <f t="shared" si="8"/>
        <v>230.89212000000003</v>
      </c>
      <c r="H13" s="383">
        <f t="shared" si="0"/>
        <v>244.38212000000004</v>
      </c>
      <c r="I13" s="384">
        <f t="shared" si="1"/>
        <v>21.730690800000001</v>
      </c>
      <c r="J13" s="384">
        <f t="shared" si="2"/>
        <v>0.14650000000000002</v>
      </c>
      <c r="K13" s="384">
        <f t="shared" si="3"/>
        <v>12.219106000000004</v>
      </c>
      <c r="L13" s="394">
        <f t="shared" si="4"/>
        <v>2.4438212000000004</v>
      </c>
      <c r="M13" s="394">
        <f t="shared" si="5"/>
        <v>207.84200200000004</v>
      </c>
      <c r="N13" s="394">
        <f t="shared" si="6"/>
        <v>2.93</v>
      </c>
      <c r="O13" s="394">
        <f t="shared" si="7"/>
        <v>36.540118000000007</v>
      </c>
      <c r="P13" s="401"/>
      <c r="Q13" s="401" t="s">
        <v>403</v>
      </c>
      <c r="R13" s="401" t="s">
        <v>404</v>
      </c>
      <c r="S13" s="401" t="s">
        <v>405</v>
      </c>
      <c r="T13" s="401" t="s">
        <v>586</v>
      </c>
      <c r="U13" s="401"/>
      <c r="V13" s="401"/>
      <c r="W13" s="321"/>
      <c r="X13" s="321"/>
      <c r="Y13" s="321"/>
      <c r="Z13" s="321"/>
    </row>
    <row r="14" spans="1:26" s="5" customFormat="1">
      <c r="A14" s="441">
        <f>'1-συμβολαια'!A14</f>
        <v>0</v>
      </c>
      <c r="B14" s="400" t="str">
        <f>'1-συμβολαια'!C14</f>
        <v>τόκοι δανείου Α' [προυπολογιζόμενοι VS πληρωμένοι]</v>
      </c>
      <c r="C14" s="394">
        <f>'1-συμβολαια'!D14</f>
        <v>57318.327272727271</v>
      </c>
      <c r="D14" s="383"/>
      <c r="E14" s="383">
        <v>2.93</v>
      </c>
      <c r="F14" s="383">
        <v>10.56</v>
      </c>
      <c r="G14" s="383">
        <f t="shared" si="8"/>
        <v>683.93588727272731</v>
      </c>
      <c r="H14" s="383">
        <f t="shared" si="0"/>
        <v>697.42588727272732</v>
      </c>
      <c r="I14" s="384">
        <f t="shared" si="1"/>
        <v>62.504629854545449</v>
      </c>
      <c r="J14" s="384">
        <f t="shared" si="2"/>
        <v>0.14650000000000002</v>
      </c>
      <c r="K14" s="384">
        <f t="shared" si="3"/>
        <v>34.871294363636366</v>
      </c>
      <c r="L14" s="394">
        <f t="shared" si="4"/>
        <v>6.9742588727272734</v>
      </c>
      <c r="M14" s="394">
        <f t="shared" si="5"/>
        <v>592.92920418181825</v>
      </c>
      <c r="N14" s="394">
        <f t="shared" si="6"/>
        <v>2.93</v>
      </c>
      <c r="O14" s="394">
        <f t="shared" si="7"/>
        <v>104.49668309090909</v>
      </c>
      <c r="P14" s="401"/>
      <c r="Q14" s="401" t="s">
        <v>403</v>
      </c>
      <c r="R14" s="401" t="s">
        <v>404</v>
      </c>
      <c r="S14" s="401" t="s">
        <v>405</v>
      </c>
      <c r="T14" s="401"/>
      <c r="U14" s="401"/>
      <c r="V14" s="401"/>
      <c r="W14" s="321"/>
      <c r="X14" s="321"/>
      <c r="Y14" s="321"/>
      <c r="Z14" s="321"/>
    </row>
    <row r="15" spans="1:26" s="5" customFormat="1">
      <c r="A15" s="441">
        <f>'1-συμβολαια'!A15</f>
        <v>0</v>
      </c>
      <c r="B15" s="400" t="str">
        <f>'1-συμβολαια'!C15</f>
        <v>τόκοι δανείου Α.2' [προυπολογιζόμενοι VS πληρωμένοι]</v>
      </c>
      <c r="C15" s="394">
        <f>'1-συμβολαια'!D15</f>
        <v>111.11</v>
      </c>
      <c r="D15" s="383"/>
      <c r="E15" s="383">
        <v>2.93</v>
      </c>
      <c r="F15" s="383">
        <v>10.56</v>
      </c>
      <c r="G15" s="383">
        <f t="shared" si="8"/>
        <v>-2.5507200000000001</v>
      </c>
      <c r="H15" s="383">
        <f t="shared" si="0"/>
        <v>10.93928</v>
      </c>
      <c r="I15" s="384">
        <f t="shared" si="1"/>
        <v>0.72083520000000001</v>
      </c>
      <c r="J15" s="384">
        <f t="shared" si="2"/>
        <v>0.14650000000000002</v>
      </c>
      <c r="K15" s="384">
        <f t="shared" si="3"/>
        <v>0.54696400000000001</v>
      </c>
      <c r="L15" s="394">
        <f t="shared" si="4"/>
        <v>0.1093928</v>
      </c>
      <c r="M15" s="394">
        <f t="shared" si="5"/>
        <v>9.4155879999999996</v>
      </c>
      <c r="N15" s="394">
        <f t="shared" si="6"/>
        <v>2.93</v>
      </c>
      <c r="O15" s="394">
        <f t="shared" si="7"/>
        <v>1.523692</v>
      </c>
      <c r="P15" s="401"/>
      <c r="Q15" s="401" t="s">
        <v>403</v>
      </c>
      <c r="R15" s="401" t="s">
        <v>404</v>
      </c>
      <c r="S15" s="401" t="s">
        <v>405</v>
      </c>
      <c r="T15" s="401"/>
      <c r="U15" s="401"/>
      <c r="V15" s="401"/>
      <c r="W15" s="321"/>
      <c r="X15" s="321"/>
      <c r="Y15" s="321"/>
      <c r="Z15" s="321"/>
    </row>
    <row r="16" spans="1:26">
      <c r="A16" s="495" t="s">
        <v>56</v>
      </c>
      <c r="B16" s="496"/>
      <c r="C16" s="496"/>
      <c r="D16" s="44">
        <f t="shared" ref="D16:O16" si="9">SUM(D3:D15)</f>
        <v>8.8000000000000007</v>
      </c>
      <c r="E16" s="44">
        <f t="shared" si="9"/>
        <v>29.3</v>
      </c>
      <c r="F16" s="44">
        <f t="shared" si="9"/>
        <v>105.60000000000001</v>
      </c>
      <c r="G16" s="44">
        <f t="shared" si="9"/>
        <v>1737.6390436363638</v>
      </c>
      <c r="H16" s="44">
        <f t="shared" si="9"/>
        <v>1881.3390436363638</v>
      </c>
      <c r="I16" s="44">
        <f t="shared" si="9"/>
        <v>165.89151392727274</v>
      </c>
      <c r="J16" s="44">
        <f t="shared" si="9"/>
        <v>1.9050000000000007</v>
      </c>
      <c r="K16" s="44">
        <f t="shared" si="9"/>
        <v>94.066952181818195</v>
      </c>
      <c r="L16" s="44">
        <f t="shared" si="9"/>
        <v>18.813390436363637</v>
      </c>
      <c r="M16" s="44">
        <f t="shared" si="9"/>
        <v>1600.6621870909094</v>
      </c>
      <c r="N16" s="44">
        <f t="shared" si="9"/>
        <v>38.1</v>
      </c>
      <c r="O16" s="44">
        <f t="shared" si="9"/>
        <v>280.67685654545454</v>
      </c>
    </row>
    <row r="17" spans="2:26">
      <c r="J17" s="341"/>
      <c r="K17" s="207"/>
      <c r="L17" s="8"/>
      <c r="P17" s="192" t="s">
        <v>386</v>
      </c>
      <c r="Q17" s="158"/>
      <c r="R17" s="158"/>
      <c r="S17" s="158"/>
      <c r="T17" s="158"/>
      <c r="U17" s="158"/>
      <c r="V17" s="158"/>
      <c r="W17" s="158"/>
      <c r="X17" s="158"/>
      <c r="Y17" s="158"/>
    </row>
    <row r="18" spans="2:26">
      <c r="I18" s="207"/>
      <c r="J18" s="207"/>
      <c r="K18" s="207"/>
      <c r="L18" s="8"/>
      <c r="P18" s="166"/>
      <c r="Q18" s="192" t="s">
        <v>387</v>
      </c>
      <c r="R18" s="158"/>
      <c r="S18" s="158"/>
      <c r="T18" s="158"/>
      <c r="U18" s="158"/>
      <c r="V18" s="158"/>
      <c r="W18" s="158"/>
      <c r="X18" s="158"/>
      <c r="Y18" s="166"/>
    </row>
    <row r="19" spans="2:26">
      <c r="P19" s="166"/>
      <c r="Q19" s="166"/>
      <c r="R19" s="158" t="s">
        <v>388</v>
      </c>
      <c r="S19" s="166"/>
      <c r="T19" s="166"/>
      <c r="U19" s="166"/>
      <c r="V19" s="166"/>
      <c r="W19" s="166"/>
      <c r="X19" s="166"/>
      <c r="Y19" s="166"/>
    </row>
    <row r="20" spans="2:26">
      <c r="P20" s="166"/>
      <c r="Q20" s="166"/>
      <c r="R20" s="166"/>
      <c r="S20" s="192" t="s">
        <v>389</v>
      </c>
      <c r="T20" s="166"/>
      <c r="U20" s="166"/>
      <c r="V20" s="166"/>
      <c r="W20" s="166"/>
      <c r="X20" s="166"/>
      <c r="Y20" s="166"/>
    </row>
    <row r="21" spans="2:26">
      <c r="P21" s="166"/>
      <c r="Q21" s="166"/>
      <c r="R21" s="166"/>
      <c r="S21" s="166"/>
      <c r="T21" s="158" t="s">
        <v>390</v>
      </c>
      <c r="U21" s="166"/>
      <c r="V21" s="166"/>
      <c r="W21" s="166"/>
      <c r="X21" s="166"/>
      <c r="Y21" s="166"/>
    </row>
    <row r="22" spans="2:26">
      <c r="P22" s="166"/>
      <c r="Q22" s="166"/>
      <c r="R22" s="158"/>
      <c r="S22" s="158"/>
      <c r="T22" s="166"/>
      <c r="U22" s="192" t="s">
        <v>391</v>
      </c>
      <c r="V22" s="166"/>
      <c r="W22" s="158"/>
      <c r="X22" s="158"/>
      <c r="Y22" s="158"/>
      <c r="Z22" s="158"/>
    </row>
    <row r="23" spans="2:26">
      <c r="P23" s="166"/>
      <c r="Q23" s="166"/>
      <c r="R23" s="158"/>
      <c r="S23" s="158"/>
      <c r="T23" s="166"/>
      <c r="U23" s="166"/>
      <c r="V23" s="158" t="s">
        <v>392</v>
      </c>
      <c r="W23" s="158"/>
      <c r="X23" s="158"/>
      <c r="Y23" s="158"/>
      <c r="Z23" s="166"/>
    </row>
    <row r="24" spans="2:26" ht="15.75">
      <c r="B24" s="342" t="s">
        <v>481</v>
      </c>
      <c r="C24" s="453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343"/>
      <c r="Q24" s="344"/>
      <c r="R24" s="5"/>
      <c r="S24" s="3"/>
      <c r="T24" s="345"/>
      <c r="U24" s="166"/>
      <c r="V24" s="166"/>
      <c r="W24" s="166"/>
      <c r="X24" s="166"/>
      <c r="Y24" s="166"/>
      <c r="Z24" s="166"/>
    </row>
    <row r="25" spans="2:26" ht="15.75">
      <c r="B25" s="169"/>
      <c r="C25" s="261" t="s">
        <v>482</v>
      </c>
      <c r="D25" s="346"/>
      <c r="E25" s="346"/>
      <c r="F25" s="346"/>
      <c r="G25" s="347"/>
      <c r="H25" s="347"/>
      <c r="I25" s="347"/>
      <c r="J25" s="347"/>
      <c r="K25" s="347"/>
      <c r="L25" s="347"/>
      <c r="M25" s="347"/>
      <c r="N25" s="347"/>
      <c r="P25" s="207"/>
      <c r="Q25" s="341"/>
      <c r="R25" s="3"/>
      <c r="S25" s="3"/>
      <c r="T25" s="345"/>
    </row>
    <row r="26" spans="2:26" ht="15.75">
      <c r="B26" s="348"/>
      <c r="C26" s="349"/>
      <c r="D26" s="350" t="s">
        <v>393</v>
      </c>
      <c r="E26" s="350"/>
      <c r="F26" s="350"/>
      <c r="G26" s="350"/>
      <c r="H26" s="351"/>
      <c r="I26" s="351"/>
      <c r="J26" s="351"/>
      <c r="K26" s="351"/>
      <c r="L26" s="351"/>
      <c r="M26" s="351"/>
      <c r="O26" s="352"/>
      <c r="P26" s="8"/>
      <c r="Q26" s="4"/>
      <c r="R26" s="5"/>
      <c r="S26" s="3"/>
      <c r="T26" s="5"/>
    </row>
    <row r="27" spans="2:26" ht="15.75">
      <c r="B27" s="348"/>
      <c r="C27" s="349"/>
      <c r="D27" s="349"/>
      <c r="E27" s="349"/>
      <c r="F27" s="349"/>
      <c r="G27" s="349"/>
      <c r="H27" s="349"/>
      <c r="I27" s="353"/>
      <c r="J27" s="353"/>
      <c r="K27" s="353"/>
      <c r="L27" s="353"/>
      <c r="M27" s="67"/>
      <c r="O27" s="352"/>
      <c r="P27" s="8"/>
      <c r="Q27" s="4"/>
      <c r="R27" s="3"/>
      <c r="S27" s="3"/>
      <c r="T27" s="3"/>
    </row>
    <row r="28" spans="2:26" ht="15.75">
      <c r="B28" s="348"/>
      <c r="C28" s="454" t="s">
        <v>61</v>
      </c>
      <c r="D28" s="267"/>
      <c r="E28" s="347"/>
      <c r="F28" s="347"/>
      <c r="G28" s="353"/>
      <c r="H28" s="353"/>
      <c r="I28" s="353"/>
      <c r="J28" s="354"/>
      <c r="K28" s="349"/>
      <c r="L28" s="349"/>
      <c r="M28" s="353"/>
      <c r="O28" s="352"/>
      <c r="P28" s="8"/>
      <c r="Q28" s="4"/>
      <c r="R28" s="5"/>
      <c r="S28" s="5"/>
      <c r="T28" s="5"/>
    </row>
    <row r="29" spans="2:26" ht="15.75">
      <c r="B29" s="348"/>
      <c r="C29" s="349"/>
      <c r="D29" s="259" t="s">
        <v>483</v>
      </c>
      <c r="E29" s="259"/>
      <c r="F29" s="259"/>
      <c r="G29" s="355"/>
      <c r="H29" s="355"/>
      <c r="I29" s="355"/>
      <c r="J29" s="355"/>
      <c r="K29" s="355"/>
      <c r="L29" s="355"/>
      <c r="M29" s="347"/>
      <c r="O29" s="352"/>
      <c r="P29" s="8"/>
      <c r="Q29" s="4"/>
      <c r="R29" s="5"/>
      <c r="S29" s="5"/>
      <c r="T29" s="5"/>
    </row>
    <row r="30" spans="2:26" ht="15">
      <c r="B30" s="348"/>
      <c r="C30" s="349"/>
      <c r="D30" s="260" t="s">
        <v>485</v>
      </c>
      <c r="E30" s="260"/>
      <c r="F30" s="260"/>
      <c r="G30" s="260"/>
      <c r="H30" s="355"/>
      <c r="I30" s="355"/>
      <c r="J30" s="355"/>
      <c r="K30" s="355"/>
      <c r="L30" s="355"/>
      <c r="M30" s="355"/>
      <c r="O30" s="352"/>
      <c r="P30" s="8"/>
      <c r="Q30" s="4"/>
      <c r="R30" s="5"/>
      <c r="S30" s="5"/>
      <c r="T30" s="5"/>
      <c r="U30" s="3"/>
      <c r="V30" s="3"/>
      <c r="W30" s="3"/>
      <c r="X30" s="3"/>
    </row>
    <row r="31" spans="2:26" ht="15.75">
      <c r="B31" s="348"/>
      <c r="C31" s="349"/>
      <c r="D31" s="261" t="s">
        <v>396</v>
      </c>
      <c r="E31" s="353"/>
      <c r="F31" s="353"/>
      <c r="G31" s="353"/>
      <c r="H31" s="353"/>
      <c r="I31" s="349"/>
      <c r="J31" s="353"/>
      <c r="K31" s="353"/>
      <c r="L31" s="353"/>
      <c r="M31" s="356"/>
      <c r="O31" s="352"/>
      <c r="P31" s="8"/>
      <c r="Q31" s="4"/>
      <c r="R31" s="5"/>
      <c r="S31" s="5"/>
      <c r="T31" s="5"/>
      <c r="U31" s="3"/>
      <c r="V31" s="3"/>
      <c r="W31" s="3"/>
      <c r="X31" s="3"/>
    </row>
    <row r="32" spans="2:26" ht="15">
      <c r="B32" s="348"/>
      <c r="C32" s="349"/>
      <c r="D32" s="349"/>
      <c r="E32" s="349"/>
      <c r="F32" s="349"/>
      <c r="G32" s="349"/>
      <c r="H32" s="349"/>
      <c r="I32" s="349"/>
      <c r="J32" s="349"/>
      <c r="K32" s="349"/>
      <c r="L32" s="349"/>
      <c r="M32" s="349"/>
      <c r="P32" s="5"/>
      <c r="Q32" s="5"/>
      <c r="R32" s="5"/>
      <c r="S32" s="5"/>
      <c r="T32" s="5"/>
      <c r="U32" s="3"/>
      <c r="V32" s="3"/>
      <c r="W32" s="3"/>
      <c r="X32" s="3"/>
    </row>
    <row r="33" spans="2:20">
      <c r="P33" s="5"/>
      <c r="Q33" s="5"/>
      <c r="R33" s="5"/>
      <c r="S33" s="5"/>
      <c r="T33" s="5"/>
    </row>
    <row r="34" spans="2:20">
      <c r="P34" s="5"/>
      <c r="Q34" s="5"/>
      <c r="R34" s="5"/>
      <c r="S34" s="5"/>
      <c r="T34" s="5"/>
    </row>
    <row r="35" spans="2:20" ht="15">
      <c r="P35" s="4"/>
      <c r="Q35" s="357"/>
      <c r="R35" s="5"/>
      <c r="S35" s="5"/>
      <c r="T35" s="5"/>
    </row>
    <row r="36" spans="2:20" ht="15">
      <c r="D36" s="2"/>
      <c r="P36" s="2"/>
      <c r="Q36" s="358"/>
      <c r="R36" s="3"/>
      <c r="S36" s="5"/>
      <c r="T36" s="5"/>
    </row>
    <row r="37" spans="2:20" ht="15">
      <c r="P37" s="8"/>
      <c r="Q37" s="263"/>
      <c r="R37" s="358"/>
      <c r="S37" s="3"/>
      <c r="T37" s="3"/>
    </row>
    <row r="38" spans="2:20">
      <c r="B38" s="102"/>
      <c r="C38" s="4"/>
      <c r="D38" s="64"/>
      <c r="E38" s="4"/>
      <c r="F38" s="4"/>
      <c r="G38" s="4"/>
      <c r="H38" s="64"/>
      <c r="I38" s="64"/>
      <c r="J38" s="64"/>
      <c r="K38" s="64"/>
      <c r="O38" s="8"/>
      <c r="P38" s="5"/>
      <c r="Q38" s="5"/>
      <c r="R38" s="5"/>
      <c r="S38" s="5"/>
    </row>
    <row r="39" spans="2:20">
      <c r="O39" s="8"/>
      <c r="P39" s="5"/>
      <c r="Q39" s="5"/>
      <c r="R39" s="5"/>
      <c r="S39" s="5"/>
    </row>
    <row r="40" spans="2:20">
      <c r="O40" s="8"/>
      <c r="P40" s="5"/>
      <c r="Q40" s="5"/>
      <c r="R40" s="5"/>
      <c r="S40" s="5"/>
    </row>
  </sheetData>
  <mergeCells count="8">
    <mergeCell ref="P1:Z2"/>
    <mergeCell ref="D1:L1"/>
    <mergeCell ref="A16:C16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20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1.5703125" style="3" bestFit="1" customWidth="1"/>
    <col min="2" max="2" width="70.140625" style="99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90" customWidth="1"/>
    <col min="9" max="12" width="5.5703125" style="90" customWidth="1"/>
    <col min="13" max="13" width="19.7109375" style="90" customWidth="1"/>
    <col min="14" max="14" width="19.7109375" style="9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5" customFormat="1" ht="15.75" customHeight="1">
      <c r="A1" s="541" t="s">
        <v>1</v>
      </c>
      <c r="B1" s="547" t="s">
        <v>0</v>
      </c>
      <c r="C1" s="549" t="s">
        <v>85</v>
      </c>
      <c r="D1" s="543" t="s">
        <v>3</v>
      </c>
      <c r="E1" s="544"/>
      <c r="F1" s="545" t="s">
        <v>535</v>
      </c>
      <c r="G1" s="546"/>
      <c r="H1" s="532" t="s">
        <v>29</v>
      </c>
      <c r="I1" s="533"/>
      <c r="J1" s="533"/>
      <c r="K1" s="533"/>
      <c r="L1" s="533"/>
      <c r="M1" s="533"/>
      <c r="N1" s="534"/>
    </row>
    <row r="2" spans="1:14" s="9" customFormat="1" ht="16.5" thickBot="1">
      <c r="A2" s="542"/>
      <c r="B2" s="548"/>
      <c r="C2" s="550"/>
      <c r="D2" s="54"/>
      <c r="E2" s="65" t="s">
        <v>9</v>
      </c>
      <c r="F2" s="359"/>
      <c r="G2" s="120" t="s">
        <v>9</v>
      </c>
      <c r="H2" s="535"/>
      <c r="I2" s="536"/>
      <c r="J2" s="536"/>
      <c r="K2" s="536"/>
      <c r="L2" s="536"/>
      <c r="M2" s="536"/>
      <c r="N2" s="537"/>
    </row>
    <row r="3" spans="1:14" s="165" customFormat="1" ht="15">
      <c r="A3" s="419">
        <f>'1-συμβολαια'!A3</f>
        <v>2774</v>
      </c>
      <c r="B3" s="402" t="str">
        <f>'1-συμβολαια'!C3</f>
        <v>κατασχέσεως ΑΡΣΗ για δάνειο Β.2'  [1.635.748δρχ = 4.800,44€]</v>
      </c>
      <c r="C3" s="403">
        <f>'1-συμβολαια'!D3</f>
        <v>0</v>
      </c>
      <c r="D3" s="404">
        <v>1</v>
      </c>
      <c r="E3" s="404">
        <v>1</v>
      </c>
      <c r="F3" s="405">
        <f t="shared" ref="F3:F11" si="0">(D3-1)*2.93</f>
        <v>0</v>
      </c>
      <c r="G3" s="420">
        <f t="shared" ref="G3:G15" si="1">(E3-1)*2.93</f>
        <v>0</v>
      </c>
      <c r="H3" s="401"/>
      <c r="I3" s="401" t="s">
        <v>136</v>
      </c>
      <c r="J3" s="401" t="s">
        <v>228</v>
      </c>
      <c r="K3" s="406"/>
      <c r="L3" s="406"/>
      <c r="M3" s="406"/>
      <c r="N3" s="406"/>
    </row>
    <row r="4" spans="1:14" s="165" customFormat="1" ht="15">
      <c r="A4" s="109"/>
      <c r="B4" s="113"/>
      <c r="C4" s="118"/>
      <c r="D4" s="116"/>
      <c r="E4" s="116"/>
      <c r="F4" s="110"/>
      <c r="G4" s="117"/>
      <c r="H4" s="157"/>
      <c r="I4" s="157"/>
      <c r="J4" s="157"/>
      <c r="K4" s="115"/>
      <c r="L4" s="115"/>
      <c r="M4" s="115"/>
      <c r="N4" s="115"/>
    </row>
    <row r="5" spans="1:14" s="165" customFormat="1" ht="15">
      <c r="A5" s="442" t="str">
        <f>'1-συμβολαια'!A5</f>
        <v>2ο</v>
      </c>
      <c r="B5" s="402" t="str">
        <f>'1-συμβολαια'!C5</f>
        <v>δανείου  Β' ΕΞΟΦΛΗΣΗ [= 2.500.000δρχ</v>
      </c>
      <c r="C5" s="403">
        <f>'1-συμβολαια'!D5</f>
        <v>7336.76</v>
      </c>
      <c r="D5" s="404">
        <v>1</v>
      </c>
      <c r="E5" s="404">
        <v>1</v>
      </c>
      <c r="F5" s="405">
        <f t="shared" si="0"/>
        <v>0</v>
      </c>
      <c r="G5" s="420">
        <f t="shared" si="1"/>
        <v>0</v>
      </c>
      <c r="H5" s="401"/>
      <c r="I5" s="401" t="s">
        <v>136</v>
      </c>
      <c r="J5" s="401" t="s">
        <v>228</v>
      </c>
      <c r="K5" s="406"/>
      <c r="L5" s="406"/>
      <c r="M5" s="406"/>
      <c r="N5" s="406"/>
    </row>
    <row r="6" spans="1:14" s="165" customFormat="1" ht="15">
      <c r="A6" s="442">
        <f>'1-συμβολαια'!A6</f>
        <v>0</v>
      </c>
      <c r="B6" s="402" t="str">
        <f>'1-συμβολαια'!C6</f>
        <v>δανείου  Β.2' ΕΞΟΦΛΗΣΗ ΥΠΟΛΟΙΠΟΥ = 1.635.748δρχ</v>
      </c>
      <c r="C6" s="403">
        <f>'1-συμβολαια'!D6</f>
        <v>4800.4399999999996</v>
      </c>
      <c r="D6" s="404">
        <v>1</v>
      </c>
      <c r="E6" s="404"/>
      <c r="F6" s="405">
        <f t="shared" si="0"/>
        <v>0</v>
      </c>
      <c r="G6" s="420">
        <f t="shared" si="1"/>
        <v>-2.93</v>
      </c>
      <c r="H6" s="401"/>
      <c r="I6" s="401" t="s">
        <v>136</v>
      </c>
      <c r="J6" s="401" t="s">
        <v>228</v>
      </c>
      <c r="K6" s="406"/>
      <c r="L6" s="406"/>
      <c r="M6" s="406"/>
      <c r="N6" s="406"/>
    </row>
    <row r="7" spans="1:14" s="165" customFormat="1" ht="15">
      <c r="A7" s="442">
        <f>'1-συμβολαια'!A7</f>
        <v>0</v>
      </c>
      <c r="B7" s="402" t="str">
        <f>'1-συμβολαια'!C7</f>
        <v>υποθήκη δανείου Β' …. ΕΞΑΛΕΙΨΗ</v>
      </c>
      <c r="C7" s="403">
        <f>'1-συμβολαια'!D7</f>
        <v>8151.95</v>
      </c>
      <c r="D7" s="404">
        <v>1</v>
      </c>
      <c r="E7" s="404"/>
      <c r="F7" s="405">
        <f t="shared" si="0"/>
        <v>0</v>
      </c>
      <c r="G7" s="420">
        <f t="shared" si="1"/>
        <v>-2.93</v>
      </c>
      <c r="H7" s="401"/>
      <c r="I7" s="401" t="s">
        <v>136</v>
      </c>
      <c r="J7" s="401" t="s">
        <v>228</v>
      </c>
      <c r="K7" s="406"/>
      <c r="L7" s="406"/>
      <c r="M7" s="406"/>
      <c r="N7" s="406"/>
    </row>
    <row r="8" spans="1:14" s="165" customFormat="1" ht="15">
      <c r="A8" s="442">
        <f>'1-συμβολαια'!A8</f>
        <v>0</v>
      </c>
      <c r="B8" s="402" t="str">
        <f>'1-συμβολαια'!C8</f>
        <v>τόκοι δανείου Β' [προυπολογιζόμενοι VS πληρωμένοι]</v>
      </c>
      <c r="C8" s="403">
        <f>'1-συμβολαια'!D8</f>
        <v>23882.636363636364</v>
      </c>
      <c r="D8" s="404">
        <v>1</v>
      </c>
      <c r="E8" s="404"/>
      <c r="F8" s="405">
        <f t="shared" si="0"/>
        <v>0</v>
      </c>
      <c r="G8" s="420">
        <f t="shared" si="1"/>
        <v>-2.93</v>
      </c>
      <c r="H8" s="401"/>
      <c r="I8" s="401" t="s">
        <v>136</v>
      </c>
      <c r="J8" s="401" t="s">
        <v>228</v>
      </c>
      <c r="K8" s="406"/>
      <c r="L8" s="406"/>
      <c r="M8" s="406"/>
      <c r="N8" s="406"/>
    </row>
    <row r="9" spans="1:14" s="165" customFormat="1" ht="15">
      <c r="A9" s="442">
        <f>'1-συμβολαια'!A9</f>
        <v>0</v>
      </c>
      <c r="B9" s="402" t="str">
        <f>'1-συμβολαια'!C9</f>
        <v>τόκοι δανείου Β.2' [προυπολογιζόμενοι VS πληρωμένοι]</v>
      </c>
      <c r="C9" s="403">
        <f>'1-συμβολαια'!D9</f>
        <v>111.11</v>
      </c>
      <c r="D9" s="404">
        <v>1</v>
      </c>
      <c r="E9" s="404"/>
      <c r="F9" s="405">
        <f t="shared" si="0"/>
        <v>0</v>
      </c>
      <c r="G9" s="420">
        <f t="shared" si="1"/>
        <v>-2.93</v>
      </c>
      <c r="H9" s="401"/>
      <c r="I9" s="401" t="s">
        <v>136</v>
      </c>
      <c r="J9" s="401" t="s">
        <v>228</v>
      </c>
      <c r="K9" s="406"/>
      <c r="L9" s="406"/>
      <c r="M9" s="406"/>
      <c r="N9" s="406"/>
    </row>
    <row r="10" spans="1:14" s="165" customFormat="1" ht="15">
      <c r="A10" s="109"/>
      <c r="B10" s="113"/>
      <c r="C10" s="118"/>
      <c r="D10" s="116"/>
      <c r="E10" s="116"/>
      <c r="F10" s="110"/>
      <c r="G10" s="117"/>
      <c r="H10" s="157"/>
      <c r="I10" s="157"/>
      <c r="J10" s="157"/>
      <c r="K10" s="115"/>
      <c r="L10" s="115"/>
      <c r="M10" s="115"/>
      <c r="N10" s="115"/>
    </row>
    <row r="11" spans="1:14" s="165" customFormat="1" ht="15">
      <c r="A11" s="442" t="str">
        <f>'1-συμβολαια'!A11</f>
        <v>3ο</v>
      </c>
      <c r="B11" s="402" t="str">
        <f>'1-συμβολαια'!C11</f>
        <v>δανείου  Α' ΕΞΟΦΛΗΣΗ [= 6.000.000δρχ</v>
      </c>
      <c r="C11" s="403">
        <f>'1-συμβολαια'!D11</f>
        <v>17608.22</v>
      </c>
      <c r="D11" s="404">
        <v>2</v>
      </c>
      <c r="E11" s="404">
        <v>2</v>
      </c>
      <c r="F11" s="405">
        <f t="shared" si="0"/>
        <v>2.93</v>
      </c>
      <c r="G11" s="420">
        <f t="shared" si="1"/>
        <v>2.93</v>
      </c>
      <c r="H11" s="401"/>
      <c r="I11" s="401" t="s">
        <v>136</v>
      </c>
      <c r="J11" s="401" t="s">
        <v>228</v>
      </c>
      <c r="K11" s="406"/>
      <c r="L11" s="406"/>
      <c r="M11" s="406"/>
      <c r="N11" s="406"/>
    </row>
    <row r="12" spans="1:14" s="165" customFormat="1" ht="15">
      <c r="A12" s="442">
        <f>'1-συμβολαια'!A12</f>
        <v>0</v>
      </c>
      <c r="B12" s="402" t="str">
        <f>'1-συμβολαια'!C12</f>
        <v xml:space="preserve">δανείου Α.2' ΕΞΟΦΛΗΣΗ ΥΠΟΛΟΙΠΟΥ = 3.119.471δρχ </v>
      </c>
      <c r="C12" s="403">
        <f>'1-συμβολαια'!D12</f>
        <v>9154.7199999999993</v>
      </c>
      <c r="D12" s="404">
        <v>2</v>
      </c>
      <c r="E12" s="404"/>
      <c r="F12" s="405"/>
      <c r="G12" s="420">
        <f t="shared" si="1"/>
        <v>-2.93</v>
      </c>
      <c r="H12" s="401"/>
      <c r="I12" s="401" t="s">
        <v>136</v>
      </c>
      <c r="J12" s="401" t="s">
        <v>228</v>
      </c>
      <c r="K12" s="406"/>
      <c r="L12" s="406"/>
      <c r="M12" s="406"/>
      <c r="N12" s="406"/>
    </row>
    <row r="13" spans="1:14" s="165" customFormat="1" ht="15">
      <c r="A13" s="442">
        <f>'1-συμβολαια'!A13</f>
        <v>0</v>
      </c>
      <c r="B13" s="402" t="str">
        <f>'1-συμβολαια'!C13</f>
        <v>υποθήκη δανείου Α' …. ΕΞΑΛΕΙΨΗ</v>
      </c>
      <c r="C13" s="403">
        <f>'1-συμβολαια'!D13</f>
        <v>19564.68</v>
      </c>
      <c r="D13" s="404">
        <v>2</v>
      </c>
      <c r="E13" s="404"/>
      <c r="F13" s="405"/>
      <c r="G13" s="420">
        <f t="shared" si="1"/>
        <v>-2.93</v>
      </c>
      <c r="H13" s="401"/>
      <c r="I13" s="401" t="s">
        <v>136</v>
      </c>
      <c r="J13" s="401" t="s">
        <v>228</v>
      </c>
      <c r="K13" s="406"/>
      <c r="L13" s="406"/>
      <c r="M13" s="406"/>
      <c r="N13" s="406"/>
    </row>
    <row r="14" spans="1:14" s="165" customFormat="1" ht="15">
      <c r="A14" s="442">
        <f>'1-συμβολαια'!A14</f>
        <v>0</v>
      </c>
      <c r="B14" s="402" t="str">
        <f>'1-συμβολαια'!C14</f>
        <v>τόκοι δανείου Α' [προυπολογιζόμενοι VS πληρωμένοι]</v>
      </c>
      <c r="C14" s="403">
        <f>'1-συμβολαια'!D14</f>
        <v>57318.327272727271</v>
      </c>
      <c r="D14" s="404">
        <v>2</v>
      </c>
      <c r="E14" s="404"/>
      <c r="F14" s="405"/>
      <c r="G14" s="420">
        <f t="shared" si="1"/>
        <v>-2.93</v>
      </c>
      <c r="H14" s="401"/>
      <c r="I14" s="401" t="s">
        <v>136</v>
      </c>
      <c r="J14" s="401" t="s">
        <v>228</v>
      </c>
      <c r="K14" s="406"/>
      <c r="L14" s="406"/>
      <c r="M14" s="406"/>
      <c r="N14" s="406"/>
    </row>
    <row r="15" spans="1:14" s="165" customFormat="1" ht="15">
      <c r="A15" s="442">
        <f>'1-συμβολαια'!A15</f>
        <v>0</v>
      </c>
      <c r="B15" s="402" t="str">
        <f>'1-συμβολαια'!C15</f>
        <v>τόκοι δανείου Α.2' [προυπολογιζόμενοι VS πληρωμένοι]</v>
      </c>
      <c r="C15" s="403">
        <f>'1-συμβολαια'!D15</f>
        <v>111.11</v>
      </c>
      <c r="D15" s="404">
        <v>2</v>
      </c>
      <c r="E15" s="404"/>
      <c r="F15" s="405"/>
      <c r="G15" s="420">
        <f t="shared" si="1"/>
        <v>-2.93</v>
      </c>
      <c r="H15" s="401"/>
      <c r="I15" s="401" t="s">
        <v>136</v>
      </c>
      <c r="J15" s="401" t="s">
        <v>228</v>
      </c>
      <c r="K15" s="406"/>
      <c r="L15" s="406"/>
      <c r="M15" s="406"/>
      <c r="N15" s="406"/>
    </row>
    <row r="16" spans="1:14" ht="15.75">
      <c r="A16" s="538" t="s">
        <v>60</v>
      </c>
      <c r="B16" s="539"/>
      <c r="C16" s="539"/>
      <c r="D16" s="539"/>
      <c r="E16" s="540"/>
      <c r="F16" s="130">
        <f>SUM(F3:F15)</f>
        <v>2.93</v>
      </c>
      <c r="G16" s="130">
        <f>SUM(G3:G15)</f>
        <v>-20.51</v>
      </c>
    </row>
    <row r="17" spans="2:13" ht="15.75">
      <c r="H17" s="168" t="s">
        <v>145</v>
      </c>
      <c r="I17" s="169"/>
      <c r="J17" s="169"/>
      <c r="K17" s="169"/>
      <c r="L17" s="169"/>
      <c r="M17" s="169"/>
    </row>
    <row r="18" spans="2:13" ht="15.75">
      <c r="B18" s="462" t="s">
        <v>536</v>
      </c>
      <c r="C18" s="364"/>
      <c r="D18" s="364"/>
      <c r="E18" s="364"/>
      <c r="F18" s="364"/>
      <c r="I18" s="169" t="s">
        <v>146</v>
      </c>
      <c r="J18" s="169"/>
      <c r="K18" s="169"/>
      <c r="L18" s="169"/>
      <c r="M18" s="95"/>
    </row>
    <row r="19" spans="2:13" ht="15.75">
      <c r="B19" s="462" t="s">
        <v>537</v>
      </c>
      <c r="C19" s="364"/>
      <c r="D19" s="3"/>
      <c r="J19" s="168" t="s">
        <v>147</v>
      </c>
    </row>
    <row r="20" spans="2:13" ht="15.75">
      <c r="C20" s="267" t="s">
        <v>61</v>
      </c>
      <c r="D20" s="3"/>
    </row>
  </sheetData>
  <mergeCells count="7">
    <mergeCell ref="H1:N2"/>
    <mergeCell ref="A16:E1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0"/>
  <sheetViews>
    <sheetView workbookViewId="0">
      <pane ySplit="2" topLeftCell="A3" activePane="bottomLeft" state="frozen"/>
      <selection pane="bottomLeft" activeCell="D26" sqref="D26"/>
    </sheetView>
  </sheetViews>
  <sheetFormatPr defaultRowHeight="11.25"/>
  <cols>
    <col min="1" max="1" width="11.5703125" style="8" bestFit="1" customWidth="1"/>
    <col min="2" max="2" width="66.7109375" style="101" bestFit="1" customWidth="1"/>
    <col min="3" max="3" width="7.28515625" style="8" bestFit="1" customWidth="1"/>
    <col min="4" max="4" width="19.42578125" style="8" bestFit="1" customWidth="1"/>
    <col min="5" max="6" width="4.140625" style="8" bestFit="1" customWidth="1"/>
    <col min="7" max="7" width="4.28515625" style="8" bestFit="1" customWidth="1"/>
    <col min="8" max="8" width="7.28515625" style="8" bestFit="1" customWidth="1"/>
    <col min="9" max="9" width="17.8554687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90" customWidth="1"/>
    <col min="18" max="20" width="6.7109375" style="90" customWidth="1"/>
    <col min="21" max="21" width="30.5703125" style="9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1" s="6" customFormat="1" ht="15.75">
      <c r="A1" s="522" t="s">
        <v>1</v>
      </c>
      <c r="B1" s="524" t="s">
        <v>0</v>
      </c>
      <c r="C1" s="551" t="s">
        <v>11</v>
      </c>
      <c r="D1" s="551"/>
      <c r="E1" s="551"/>
      <c r="F1" s="551"/>
      <c r="G1" s="551"/>
      <c r="H1" s="552" t="s">
        <v>12</v>
      </c>
      <c r="I1" s="552"/>
      <c r="J1" s="552"/>
      <c r="K1" s="552"/>
      <c r="L1" s="552"/>
      <c r="M1" s="552"/>
      <c r="N1" s="552"/>
      <c r="O1" s="555" t="s">
        <v>86</v>
      </c>
      <c r="P1" s="553" t="s">
        <v>229</v>
      </c>
      <c r="Q1" s="514" t="s">
        <v>29</v>
      </c>
      <c r="R1" s="515"/>
      <c r="S1" s="515"/>
      <c r="T1" s="515"/>
      <c r="U1" s="516"/>
    </row>
    <row r="2" spans="1:21" ht="24" customHeight="1" thickBot="1">
      <c r="A2" s="523"/>
      <c r="B2" s="525"/>
      <c r="C2" s="7" t="s">
        <v>47</v>
      </c>
      <c r="D2" s="451" t="s">
        <v>48</v>
      </c>
      <c r="E2" s="451" t="s">
        <v>49</v>
      </c>
      <c r="F2" s="451" t="s">
        <v>50</v>
      </c>
      <c r="G2" s="45" t="s">
        <v>51</v>
      </c>
      <c r="H2" s="451" t="s">
        <v>47</v>
      </c>
      <c r="I2" s="451" t="s">
        <v>48</v>
      </c>
      <c r="J2" s="451" t="s">
        <v>49</v>
      </c>
      <c r="K2" s="451" t="s">
        <v>50</v>
      </c>
      <c r="L2" s="451" t="s">
        <v>51</v>
      </c>
      <c r="M2" s="451" t="s">
        <v>52</v>
      </c>
      <c r="N2" s="46" t="s">
        <v>53</v>
      </c>
      <c r="O2" s="556"/>
      <c r="P2" s="554"/>
      <c r="Q2" s="517"/>
      <c r="R2" s="518"/>
      <c r="S2" s="518"/>
      <c r="T2" s="518"/>
      <c r="U2" s="519"/>
    </row>
    <row r="3" spans="1:21" s="322" customFormat="1" ht="15">
      <c r="A3" s="419">
        <f>'1-συμβολαια'!A3</f>
        <v>2774</v>
      </c>
      <c r="B3" s="407" t="str">
        <f>'1-συμβολαια'!C3</f>
        <v>κατασχέσεως ΑΡΣΗ για δάνειο Β.2'  [1.635.748δρχ = 4.800,44€]</v>
      </c>
      <c r="C3" s="421">
        <v>1</v>
      </c>
      <c r="D3" s="323" t="s">
        <v>592</v>
      </c>
      <c r="E3" s="323"/>
      <c r="F3" s="323"/>
      <c r="G3" s="323"/>
      <c r="H3" s="323">
        <v>1</v>
      </c>
      <c r="I3" s="323" t="s">
        <v>593</v>
      </c>
      <c r="J3" s="323"/>
      <c r="K3" s="323"/>
      <c r="L3" s="323"/>
      <c r="M3" s="323"/>
      <c r="N3" s="323"/>
      <c r="O3" s="408"/>
      <c r="P3" s="409">
        <f>O3*('2-δικαιώμ'!N3+'3-φύλλα2α'!F3)</f>
        <v>0</v>
      </c>
      <c r="Q3" s="410"/>
      <c r="R3" s="410"/>
      <c r="S3" s="410"/>
      <c r="T3" s="410"/>
      <c r="U3" s="411"/>
    </row>
    <row r="4" spans="1:21" s="322" customFormat="1" ht="15">
      <c r="A4" s="109"/>
      <c r="B4" s="119"/>
      <c r="C4" s="134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1"/>
      <c r="P4" s="132"/>
      <c r="Q4" s="155"/>
      <c r="R4" s="155"/>
      <c r="S4" s="155"/>
      <c r="T4" s="155"/>
      <c r="U4" s="133"/>
    </row>
    <row r="5" spans="1:21" s="322" customFormat="1" ht="15">
      <c r="A5" s="442" t="str">
        <f>'1-συμβολαια'!A5</f>
        <v>2ο</v>
      </c>
      <c r="B5" s="407" t="str">
        <f>'1-συμβολαια'!C5</f>
        <v>δανείου  Β' ΕΞΟΦΛΗΣΗ [= 2.500.000δρχ</v>
      </c>
      <c r="C5" s="421">
        <v>1</v>
      </c>
      <c r="D5" s="323" t="s">
        <v>592</v>
      </c>
      <c r="E5" s="323"/>
      <c r="F5" s="323"/>
      <c r="G5" s="323"/>
      <c r="H5" s="323">
        <v>1</v>
      </c>
      <c r="I5" s="323" t="s">
        <v>593</v>
      </c>
      <c r="J5" s="323"/>
      <c r="K5" s="323"/>
      <c r="L5" s="323"/>
      <c r="M5" s="323"/>
      <c r="N5" s="323"/>
      <c r="O5" s="408"/>
      <c r="P5" s="409">
        <f>O5*('2-δικαιώμ'!N5+'3-φύλλα2α'!F5)</f>
        <v>0</v>
      </c>
      <c r="Q5" s="410"/>
      <c r="R5" s="410"/>
      <c r="S5" s="410"/>
      <c r="T5" s="410"/>
      <c r="U5" s="411"/>
    </row>
    <row r="6" spans="1:21" s="322" customFormat="1" ht="15">
      <c r="A6" s="442">
        <f>'1-συμβολαια'!A6</f>
        <v>0</v>
      </c>
      <c r="B6" s="407" t="str">
        <f>'1-συμβολαια'!C6</f>
        <v>δανείου  Β.2' ΕΞΟΦΛΗΣΗ ΥΠΟΛΟΙΠΟΥ = 1.635.748δρχ</v>
      </c>
      <c r="C6" s="421">
        <v>1</v>
      </c>
      <c r="D6" s="323" t="s">
        <v>592</v>
      </c>
      <c r="E6" s="323"/>
      <c r="F6" s="323"/>
      <c r="G6" s="323"/>
      <c r="H6" s="323">
        <v>1</v>
      </c>
      <c r="I6" s="323" t="s">
        <v>593</v>
      </c>
      <c r="J6" s="323"/>
      <c r="K6" s="323"/>
      <c r="L6" s="323"/>
      <c r="M6" s="323"/>
      <c r="N6" s="323"/>
      <c r="O6" s="408"/>
      <c r="P6" s="409">
        <f>O6*('2-δικαιώμ'!N6+'3-φύλλα2α'!F6)</f>
        <v>0</v>
      </c>
      <c r="Q6" s="410"/>
      <c r="R6" s="410"/>
      <c r="S6" s="410"/>
      <c r="T6" s="410"/>
      <c r="U6" s="411"/>
    </row>
    <row r="7" spans="1:21" s="322" customFormat="1" ht="15">
      <c r="A7" s="442">
        <f>'1-συμβολαια'!A7</f>
        <v>0</v>
      </c>
      <c r="B7" s="407" t="str">
        <f>'1-συμβολαια'!C7</f>
        <v>υποθήκη δανείου Β' …. ΕΞΑΛΕΙΨΗ</v>
      </c>
      <c r="C7" s="421">
        <v>1</v>
      </c>
      <c r="D7" s="323" t="s">
        <v>592</v>
      </c>
      <c r="E7" s="323"/>
      <c r="F7" s="323"/>
      <c r="G7" s="323"/>
      <c r="H7" s="323">
        <v>1</v>
      </c>
      <c r="I7" s="323" t="s">
        <v>593</v>
      </c>
      <c r="J7" s="323"/>
      <c r="K7" s="323"/>
      <c r="L7" s="323"/>
      <c r="M7" s="323"/>
      <c r="N7" s="323"/>
      <c r="O7" s="408"/>
      <c r="P7" s="409">
        <f>O7*('2-δικαιώμ'!N7+'3-φύλλα2α'!F7)</f>
        <v>0</v>
      </c>
      <c r="Q7" s="410"/>
      <c r="R7" s="410"/>
      <c r="S7" s="410"/>
      <c r="T7" s="410"/>
      <c r="U7" s="411"/>
    </row>
    <row r="8" spans="1:21" s="322" customFormat="1" ht="15">
      <c r="A8" s="442">
        <f>'1-συμβολαια'!A8</f>
        <v>0</v>
      </c>
      <c r="B8" s="407" t="str">
        <f>'1-συμβολαια'!C8</f>
        <v>τόκοι δανείου Β' [προυπολογιζόμενοι VS πληρωμένοι]</v>
      </c>
      <c r="C8" s="421">
        <v>1</v>
      </c>
      <c r="D8" s="323" t="s">
        <v>592</v>
      </c>
      <c r="E8" s="323"/>
      <c r="F8" s="323"/>
      <c r="G8" s="323"/>
      <c r="H8" s="323">
        <v>1</v>
      </c>
      <c r="I8" s="323" t="s">
        <v>593</v>
      </c>
      <c r="J8" s="323"/>
      <c r="K8" s="323"/>
      <c r="L8" s="323"/>
      <c r="M8" s="323"/>
      <c r="N8" s="323"/>
      <c r="O8" s="408"/>
      <c r="P8" s="409">
        <f>O8*('2-δικαιώμ'!N8+'3-φύλλα2α'!F8)</f>
        <v>0</v>
      </c>
      <c r="Q8" s="410"/>
      <c r="R8" s="410"/>
      <c r="S8" s="410"/>
      <c r="T8" s="410"/>
      <c r="U8" s="411"/>
    </row>
    <row r="9" spans="1:21" s="322" customFormat="1" ht="15">
      <c r="A9" s="442">
        <f>'1-συμβολαια'!A9</f>
        <v>0</v>
      </c>
      <c r="B9" s="407" t="str">
        <f>'1-συμβολαια'!C9</f>
        <v>τόκοι δανείου Β.2' [προυπολογιζόμενοι VS πληρωμένοι]</v>
      </c>
      <c r="C9" s="421">
        <v>1</v>
      </c>
      <c r="D9" s="323" t="s">
        <v>592</v>
      </c>
      <c r="E9" s="323"/>
      <c r="F9" s="323"/>
      <c r="G9" s="323"/>
      <c r="H9" s="323">
        <v>1</v>
      </c>
      <c r="I9" s="323" t="s">
        <v>593</v>
      </c>
      <c r="J9" s="323"/>
      <c r="K9" s="323"/>
      <c r="L9" s="323"/>
      <c r="M9" s="323"/>
      <c r="N9" s="323"/>
      <c r="O9" s="408"/>
      <c r="P9" s="409">
        <f>O9*('2-δικαιώμ'!N9+'3-φύλλα2α'!F9)</f>
        <v>0</v>
      </c>
      <c r="Q9" s="410"/>
      <c r="R9" s="410"/>
      <c r="S9" s="410"/>
      <c r="T9" s="410"/>
      <c r="U9" s="411"/>
    </row>
    <row r="10" spans="1:21" s="322" customFormat="1" ht="15">
      <c r="A10" s="109"/>
      <c r="B10" s="119"/>
      <c r="C10" s="134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1"/>
      <c r="P10" s="132"/>
      <c r="Q10" s="155"/>
      <c r="R10" s="155"/>
      <c r="S10" s="155"/>
      <c r="T10" s="155"/>
      <c r="U10" s="133"/>
    </row>
    <row r="11" spans="1:21" s="322" customFormat="1" ht="15">
      <c r="A11" s="442" t="str">
        <f>'1-συμβολαια'!A11</f>
        <v>3ο</v>
      </c>
      <c r="B11" s="407" t="str">
        <f>'1-συμβολαια'!C11</f>
        <v>δανείου  Α' ΕΞΟΦΛΗΣΗ [= 6.000.000δρχ</v>
      </c>
      <c r="C11" s="421">
        <v>1</v>
      </c>
      <c r="D11" s="323" t="s">
        <v>592</v>
      </c>
      <c r="E11" s="323"/>
      <c r="F11" s="323"/>
      <c r="G11" s="323"/>
      <c r="H11" s="323">
        <v>1</v>
      </c>
      <c r="I11" s="323" t="s">
        <v>593</v>
      </c>
      <c r="J11" s="323"/>
      <c r="K11" s="323"/>
      <c r="L11" s="323"/>
      <c r="M11" s="323"/>
      <c r="N11" s="323"/>
      <c r="O11" s="408"/>
      <c r="P11" s="409">
        <f>O11*('2-δικαιώμ'!N11+'3-φύλλα2α'!F11)</f>
        <v>0</v>
      </c>
      <c r="Q11" s="410"/>
      <c r="R11" s="410"/>
      <c r="S11" s="410"/>
      <c r="T11" s="410"/>
      <c r="U11" s="411"/>
    </row>
    <row r="12" spans="1:21" s="322" customFormat="1" ht="15">
      <c r="A12" s="442">
        <f>'1-συμβολαια'!A12</f>
        <v>0</v>
      </c>
      <c r="B12" s="407" t="str">
        <f>'1-συμβολαια'!C12</f>
        <v xml:space="preserve">δανείου Α.2' ΕΞΟΦΛΗΣΗ ΥΠΟΛΟΙΠΟΥ = 3.119.471δρχ </v>
      </c>
      <c r="C12" s="421">
        <v>1</v>
      </c>
      <c r="D12" s="323" t="s">
        <v>592</v>
      </c>
      <c r="E12" s="323"/>
      <c r="F12" s="323"/>
      <c r="G12" s="323"/>
      <c r="H12" s="323">
        <v>1</v>
      </c>
      <c r="I12" s="323" t="s">
        <v>593</v>
      </c>
      <c r="J12" s="323"/>
      <c r="K12" s="323"/>
      <c r="L12" s="323"/>
      <c r="M12" s="323"/>
      <c r="N12" s="323"/>
      <c r="O12" s="408"/>
      <c r="P12" s="409">
        <f>O12*('2-δικαιώμ'!N12+'3-φύλλα2α'!F12)</f>
        <v>0</v>
      </c>
      <c r="Q12" s="410"/>
      <c r="R12" s="410"/>
      <c r="S12" s="410"/>
      <c r="T12" s="410"/>
      <c r="U12" s="411"/>
    </row>
    <row r="13" spans="1:21" s="322" customFormat="1" ht="15">
      <c r="A13" s="442">
        <f>'1-συμβολαια'!A13</f>
        <v>0</v>
      </c>
      <c r="B13" s="407" t="str">
        <f>'1-συμβολαια'!C13</f>
        <v>υποθήκη δανείου Α' …. ΕΞΑΛΕΙΨΗ</v>
      </c>
      <c r="C13" s="421">
        <v>1</v>
      </c>
      <c r="D13" s="323" t="s">
        <v>592</v>
      </c>
      <c r="E13" s="323"/>
      <c r="F13" s="323"/>
      <c r="G13" s="323"/>
      <c r="H13" s="323">
        <v>1</v>
      </c>
      <c r="I13" s="323" t="s">
        <v>593</v>
      </c>
      <c r="J13" s="323"/>
      <c r="K13" s="323"/>
      <c r="L13" s="323"/>
      <c r="M13" s="323"/>
      <c r="N13" s="323"/>
      <c r="O13" s="408"/>
      <c r="P13" s="409">
        <f>O13*('2-δικαιώμ'!N13+'3-φύλλα2α'!F13)</f>
        <v>0</v>
      </c>
      <c r="Q13" s="410"/>
      <c r="R13" s="410"/>
      <c r="S13" s="410"/>
      <c r="T13" s="410"/>
      <c r="U13" s="411"/>
    </row>
    <row r="14" spans="1:21" s="322" customFormat="1" ht="15">
      <c r="A14" s="442">
        <f>'1-συμβολαια'!A14</f>
        <v>0</v>
      </c>
      <c r="B14" s="407" t="str">
        <f>'1-συμβολαια'!C14</f>
        <v>τόκοι δανείου Α' [προυπολογιζόμενοι VS πληρωμένοι]</v>
      </c>
      <c r="C14" s="421">
        <v>1</v>
      </c>
      <c r="D14" s="323" t="s">
        <v>592</v>
      </c>
      <c r="E14" s="323"/>
      <c r="F14" s="323"/>
      <c r="G14" s="323"/>
      <c r="H14" s="323">
        <v>1</v>
      </c>
      <c r="I14" s="323" t="s">
        <v>593</v>
      </c>
      <c r="J14" s="323"/>
      <c r="K14" s="323"/>
      <c r="L14" s="323"/>
      <c r="M14" s="323"/>
      <c r="N14" s="323"/>
      <c r="O14" s="408"/>
      <c r="P14" s="409">
        <f>O14*('2-δικαιώμ'!N14+'3-φύλλα2α'!F14)</f>
        <v>0</v>
      </c>
      <c r="Q14" s="410"/>
      <c r="R14" s="410"/>
      <c r="S14" s="410"/>
      <c r="T14" s="410"/>
      <c r="U14" s="411"/>
    </row>
    <row r="15" spans="1:21" s="322" customFormat="1" ht="15">
      <c r="A15" s="442">
        <f>'1-συμβολαια'!A15</f>
        <v>0</v>
      </c>
      <c r="B15" s="407" t="str">
        <f>'1-συμβολαια'!C15</f>
        <v>τόκοι δανείου Α.2' [προυπολογιζόμενοι VS πληρωμένοι]</v>
      </c>
      <c r="C15" s="421">
        <v>1</v>
      </c>
      <c r="D15" s="323" t="s">
        <v>592</v>
      </c>
      <c r="E15" s="323"/>
      <c r="F15" s="323"/>
      <c r="G15" s="323"/>
      <c r="H15" s="323">
        <v>1</v>
      </c>
      <c r="I15" s="323" t="s">
        <v>593</v>
      </c>
      <c r="J15" s="323"/>
      <c r="K15" s="323"/>
      <c r="L15" s="323"/>
      <c r="M15" s="323"/>
      <c r="N15" s="323"/>
      <c r="O15" s="408"/>
      <c r="P15" s="409">
        <f>O15*('2-δικαιώμ'!N15+'3-φύλλα2α'!F15)</f>
        <v>0</v>
      </c>
      <c r="Q15" s="410"/>
      <c r="R15" s="410"/>
      <c r="S15" s="410"/>
      <c r="T15" s="410"/>
      <c r="U15" s="411"/>
    </row>
    <row r="16" spans="1:21" ht="15.75">
      <c r="A16" s="538" t="s">
        <v>47</v>
      </c>
      <c r="B16" s="539"/>
      <c r="C16" s="539"/>
      <c r="D16" s="539"/>
      <c r="E16" s="539"/>
      <c r="F16" s="539"/>
      <c r="G16" s="539"/>
      <c r="H16" s="539"/>
      <c r="I16" s="539"/>
      <c r="J16" s="539"/>
      <c r="K16" s="539"/>
      <c r="L16" s="539"/>
      <c r="M16" s="539"/>
      <c r="N16" s="539"/>
      <c r="O16" s="539"/>
      <c r="P16" s="129">
        <f>SUM(P3:P15)</f>
        <v>0</v>
      </c>
    </row>
    <row r="18" spans="17:25" ht="15.75">
      <c r="Q18" s="190" t="s">
        <v>148</v>
      </c>
      <c r="R18" s="153"/>
      <c r="S18" s="153"/>
      <c r="T18" s="153"/>
      <c r="U18" s="153"/>
      <c r="V18" s="153"/>
      <c r="W18" s="153"/>
      <c r="X18" s="153"/>
      <c r="Y18" s="143"/>
    </row>
    <row r="19" spans="17:25" ht="15.75">
      <c r="R19" s="169" t="s">
        <v>149</v>
      </c>
      <c r="S19" s="169"/>
      <c r="T19" s="169"/>
      <c r="U19" s="169"/>
      <c r="V19" s="169"/>
      <c r="W19" s="169"/>
      <c r="X19" s="169"/>
    </row>
    <row r="20" spans="17:25" ht="15.75">
      <c r="S20" s="190" t="s">
        <v>150</v>
      </c>
    </row>
  </sheetData>
  <mergeCells count="8">
    <mergeCell ref="Q1:U2"/>
    <mergeCell ref="A16:O1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A22" sqref="A22"/>
    </sheetView>
  </sheetViews>
  <sheetFormatPr defaultRowHeight="11.25"/>
  <cols>
    <col min="1" max="1" width="7.28515625" style="8" bestFit="1" customWidth="1"/>
    <col min="2" max="2" width="46.42578125" style="101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7.28515625" style="2" bestFit="1" customWidth="1"/>
    <col min="9" max="9" width="7.28515625" style="2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10.140625" style="2" customWidth="1"/>
    <col min="18" max="18" width="6.42578125" style="90" customWidth="1"/>
    <col min="19" max="22" width="7.28515625" style="90" customWidth="1"/>
    <col min="23" max="23" width="7.140625" style="90" customWidth="1"/>
    <col min="24" max="24" width="4.85546875" style="90" customWidth="1"/>
    <col min="25" max="25" width="5.85546875" style="90" customWidth="1"/>
    <col min="26" max="26" width="5" style="90" customWidth="1"/>
    <col min="27" max="27" width="6.7109375" style="90" customWidth="1"/>
    <col min="28" max="28" width="5.5703125" style="90" customWidth="1"/>
    <col min="29" max="39" width="6.28515625" style="90" customWidth="1"/>
    <col min="40" max="40" width="11.7109375" style="90" customWidth="1"/>
    <col min="41" max="41" width="22.7109375" style="9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97" t="s">
        <v>1</v>
      </c>
      <c r="B1" s="559" t="s">
        <v>0</v>
      </c>
      <c r="C1" s="503" t="s">
        <v>7</v>
      </c>
      <c r="D1" s="561" t="s">
        <v>3</v>
      </c>
      <c r="E1" s="562"/>
      <c r="F1" s="563" t="s">
        <v>492</v>
      </c>
      <c r="G1" s="564"/>
      <c r="H1" s="564"/>
      <c r="I1" s="564"/>
      <c r="J1" s="564"/>
      <c r="K1" s="564"/>
      <c r="L1" s="565"/>
      <c r="M1" s="566" t="s">
        <v>408</v>
      </c>
      <c r="N1" s="567"/>
      <c r="O1" s="568" t="s">
        <v>254</v>
      </c>
      <c r="P1" s="569"/>
      <c r="Q1" s="570" t="s">
        <v>407</v>
      </c>
      <c r="R1" s="558" t="s">
        <v>173</v>
      </c>
      <c r="S1" s="558"/>
      <c r="T1" s="558"/>
      <c r="U1" s="558"/>
      <c r="V1" s="558"/>
      <c r="W1" s="558"/>
      <c r="X1" s="558"/>
      <c r="Y1" s="558"/>
      <c r="Z1" s="558"/>
      <c r="AA1" s="558"/>
      <c r="AB1" s="558"/>
      <c r="AC1" s="558"/>
      <c r="AD1" s="558"/>
      <c r="AE1" s="558"/>
      <c r="AF1" s="558"/>
      <c r="AG1" s="558"/>
      <c r="AH1" s="558"/>
      <c r="AI1" s="558"/>
      <c r="AJ1" s="558"/>
      <c r="AK1" s="558"/>
      <c r="AL1" s="558"/>
      <c r="AM1" s="558"/>
      <c r="AN1" s="558"/>
      <c r="AO1" s="558"/>
    </row>
    <row r="2" spans="1:41" ht="23.25" thickBot="1">
      <c r="A2" s="498"/>
      <c r="B2" s="560"/>
      <c r="C2" s="504"/>
      <c r="D2" s="195" t="s">
        <v>4</v>
      </c>
      <c r="E2" s="180" t="s">
        <v>9</v>
      </c>
      <c r="F2" s="269" t="s">
        <v>4</v>
      </c>
      <c r="G2" s="196" t="s">
        <v>9</v>
      </c>
      <c r="H2" s="178" t="s">
        <v>47</v>
      </c>
      <c r="I2" s="268" t="s">
        <v>9</v>
      </c>
      <c r="J2" s="247" t="s">
        <v>360</v>
      </c>
      <c r="K2" s="247" t="s">
        <v>383</v>
      </c>
      <c r="L2" s="249" t="s">
        <v>362</v>
      </c>
      <c r="M2" s="268" t="s">
        <v>23</v>
      </c>
      <c r="N2" s="270" t="s">
        <v>87</v>
      </c>
      <c r="O2" s="268" t="s">
        <v>23</v>
      </c>
      <c r="P2" s="264" t="s">
        <v>9</v>
      </c>
      <c r="Q2" s="571"/>
      <c r="R2" s="198" t="s">
        <v>129</v>
      </c>
      <c r="S2" s="198" t="s">
        <v>171</v>
      </c>
      <c r="T2" s="198" t="s">
        <v>130</v>
      </c>
      <c r="U2" s="198" t="s">
        <v>257</v>
      </c>
      <c r="V2" s="198" t="s">
        <v>131</v>
      </c>
      <c r="W2" s="198" t="s">
        <v>258</v>
      </c>
      <c r="X2" s="198" t="s">
        <v>151</v>
      </c>
      <c r="Y2" s="198" t="s">
        <v>172</v>
      </c>
      <c r="Z2" s="198" t="s">
        <v>152</v>
      </c>
      <c r="AA2" s="198" t="s">
        <v>259</v>
      </c>
      <c r="AB2" s="198" t="s">
        <v>153</v>
      </c>
      <c r="AC2" s="198" t="s">
        <v>260</v>
      </c>
      <c r="AD2" s="198" t="s">
        <v>154</v>
      </c>
      <c r="AE2" s="198" t="s">
        <v>274</v>
      </c>
      <c r="AF2" s="198" t="s">
        <v>275</v>
      </c>
      <c r="AG2" s="315" t="s">
        <v>276</v>
      </c>
      <c r="AH2" s="198" t="s">
        <v>277</v>
      </c>
      <c r="AI2" s="198" t="s">
        <v>278</v>
      </c>
      <c r="AJ2" s="198" t="s">
        <v>465</v>
      </c>
      <c r="AK2" s="198" t="s">
        <v>466</v>
      </c>
      <c r="AL2" s="198"/>
      <c r="AM2" s="299" t="s">
        <v>91</v>
      </c>
      <c r="AN2" s="297" t="s">
        <v>47</v>
      </c>
      <c r="AO2" s="298" t="s">
        <v>29</v>
      </c>
    </row>
    <row r="3" spans="1:41" s="5" customFormat="1">
      <c r="A3" s="382">
        <f>'1-συμβολαια'!A3</f>
        <v>2774</v>
      </c>
      <c r="B3" s="400" t="str">
        <f>'1-συμβολαια'!C3</f>
        <v>κατασχέσεως ΑΡΣΗ για δάνειο Β.2'  [1.635.748δρχ = 4.800,44€]</v>
      </c>
      <c r="C3" s="394">
        <f>'1-συμβολαια'!D3</f>
        <v>0</v>
      </c>
      <c r="D3" s="412">
        <f>'3-φύλλα2α'!D3</f>
        <v>1</v>
      </c>
      <c r="E3" s="412">
        <f>'3-φύλλα2α'!E3</f>
        <v>1</v>
      </c>
      <c r="F3" s="323">
        <v>2</v>
      </c>
      <c r="G3" s="388"/>
      <c r="H3" s="383">
        <f t="shared" ref="H3:H15" si="0">F3*D3*3.23</f>
        <v>6.46</v>
      </c>
      <c r="I3" s="475">
        <f t="shared" ref="I3:I15" si="1">E3*G3*3.23</f>
        <v>0</v>
      </c>
      <c r="J3" s="413">
        <f t="shared" ref="J3:J15" si="2">H3*5%</f>
        <v>0.32300000000000001</v>
      </c>
      <c r="K3" s="413">
        <f t="shared" ref="K3:K15" si="3">H3*5%</f>
        <v>0.32300000000000001</v>
      </c>
      <c r="L3" s="413">
        <f t="shared" ref="L3:L15" si="4">H3*1%</f>
        <v>6.4600000000000005E-2</v>
      </c>
      <c r="M3" s="413">
        <f t="shared" ref="M3:M15" si="5">H3-O3</f>
        <v>5.7493999999999996</v>
      </c>
      <c r="N3" s="413">
        <f t="shared" ref="N3:N15" si="6">I3-P3</f>
        <v>0</v>
      </c>
      <c r="O3" s="413">
        <f t="shared" ref="O3:O15" si="7">J3+K3+L3</f>
        <v>0.71060000000000001</v>
      </c>
      <c r="P3" s="413">
        <f t="shared" ref="P3:P15" si="8">I3*11%</f>
        <v>0</v>
      </c>
      <c r="Q3" s="413">
        <f t="shared" ref="Q3:Q15" si="9">O3-P3</f>
        <v>0.71060000000000001</v>
      </c>
      <c r="R3" s="401"/>
      <c r="S3" s="401"/>
      <c r="T3" s="401">
        <v>3.23</v>
      </c>
      <c r="U3" s="414">
        <v>1.98</v>
      </c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15"/>
      <c r="AH3" s="415"/>
      <c r="AI3" s="415"/>
      <c r="AJ3" s="415"/>
      <c r="AK3" s="415"/>
      <c r="AL3" s="415"/>
      <c r="AM3" s="416">
        <f t="shared" ref="AM3:AM15" si="10">U3+Y3+AA3+AI3+AK3</f>
        <v>1.98</v>
      </c>
      <c r="AN3" s="417">
        <f t="shared" ref="AN3:AN15" si="11">R3+S3+T3+V3+W3+X3+Z3+AB3+AC3+AD3+AE3+AF3+AG3+AH3+AJ3+AL3</f>
        <v>3.23</v>
      </c>
      <c r="AO3" s="321"/>
    </row>
    <row r="4" spans="1:41" s="5" customFormat="1">
      <c r="A4" s="14"/>
      <c r="B4" s="100"/>
      <c r="C4" s="42"/>
      <c r="D4" s="28"/>
      <c r="E4" s="28"/>
      <c r="F4" s="13"/>
      <c r="G4" s="13"/>
      <c r="H4" s="18"/>
      <c r="I4" s="24"/>
      <c r="J4" s="24"/>
      <c r="K4" s="24"/>
      <c r="L4" s="24"/>
      <c r="M4" s="24"/>
      <c r="N4" s="24"/>
      <c r="O4" s="24"/>
      <c r="P4" s="24"/>
      <c r="Q4" s="24"/>
      <c r="R4" s="157"/>
      <c r="S4" s="157"/>
      <c r="T4" s="157"/>
      <c r="U4" s="365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99"/>
      <c r="AH4" s="199"/>
      <c r="AI4" s="199"/>
      <c r="AJ4" s="199"/>
      <c r="AK4" s="199"/>
      <c r="AL4" s="199"/>
      <c r="AM4" s="371"/>
      <c r="AN4" s="200"/>
      <c r="AO4" s="89"/>
    </row>
    <row r="5" spans="1:41" s="5" customFormat="1">
      <c r="A5" s="441" t="str">
        <f>'1-συμβολαια'!A5</f>
        <v>2ο</v>
      </c>
      <c r="B5" s="400" t="str">
        <f>'1-συμβολαια'!C5</f>
        <v>δανείου  Β' ΕΞΟΦΛΗΣΗ [= 2.500.000δρχ</v>
      </c>
      <c r="C5" s="394">
        <f>'1-συμβολαια'!D5</f>
        <v>7336.76</v>
      </c>
      <c r="D5" s="412">
        <f>'3-φύλλα2α'!D5</f>
        <v>1</v>
      </c>
      <c r="E5" s="412">
        <f>'3-φύλλα2α'!E5</f>
        <v>1</v>
      </c>
      <c r="F5" s="323">
        <v>2</v>
      </c>
      <c r="G5" s="443">
        <v>1</v>
      </c>
      <c r="H5" s="383">
        <f t="shared" si="0"/>
        <v>6.46</v>
      </c>
      <c r="I5" s="476">
        <f t="shared" si="1"/>
        <v>3.23</v>
      </c>
      <c r="J5" s="413">
        <f t="shared" si="2"/>
        <v>0.32300000000000001</v>
      </c>
      <c r="K5" s="413">
        <f t="shared" si="3"/>
        <v>0.32300000000000001</v>
      </c>
      <c r="L5" s="413">
        <f t="shared" si="4"/>
        <v>6.4600000000000005E-2</v>
      </c>
      <c r="M5" s="413">
        <f t="shared" si="5"/>
        <v>5.7493999999999996</v>
      </c>
      <c r="N5" s="413">
        <f t="shared" si="6"/>
        <v>2.8746999999999998</v>
      </c>
      <c r="O5" s="413">
        <f t="shared" si="7"/>
        <v>0.71060000000000001</v>
      </c>
      <c r="P5" s="413">
        <f t="shared" si="8"/>
        <v>0.3553</v>
      </c>
      <c r="Q5" s="413">
        <f t="shared" si="9"/>
        <v>0.3553</v>
      </c>
      <c r="R5" s="401"/>
      <c r="S5" s="401"/>
      <c r="T5" s="401"/>
      <c r="U5" s="414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15"/>
      <c r="AH5" s="415"/>
      <c r="AI5" s="415"/>
      <c r="AJ5" s="415"/>
      <c r="AK5" s="415"/>
      <c r="AL5" s="415"/>
      <c r="AM5" s="416">
        <f t="shared" si="10"/>
        <v>0</v>
      </c>
      <c r="AN5" s="417">
        <f t="shared" si="11"/>
        <v>0</v>
      </c>
      <c r="AO5" s="321"/>
    </row>
    <row r="6" spans="1:41" s="5" customFormat="1">
      <c r="A6" s="441">
        <f>'1-συμβολαια'!A6</f>
        <v>0</v>
      </c>
      <c r="B6" s="400" t="str">
        <f>'1-συμβολαια'!C6</f>
        <v>δανείου  Β.2' ΕΞΟΦΛΗΣΗ ΥΠΟΛΟΙΠΟΥ = 1.635.748δρχ</v>
      </c>
      <c r="C6" s="394">
        <f>'1-συμβολαια'!D6</f>
        <v>4800.4399999999996</v>
      </c>
      <c r="D6" s="412">
        <f>'3-φύλλα2α'!D6</f>
        <v>1</v>
      </c>
      <c r="E6" s="412">
        <f>'3-φύλλα2α'!E6</f>
        <v>0</v>
      </c>
      <c r="F6" s="323"/>
      <c r="G6" s="323"/>
      <c r="H6" s="383">
        <f t="shared" si="0"/>
        <v>0</v>
      </c>
      <c r="I6" s="413">
        <f t="shared" si="1"/>
        <v>0</v>
      </c>
      <c r="J6" s="413">
        <f t="shared" si="2"/>
        <v>0</v>
      </c>
      <c r="K6" s="413">
        <f t="shared" si="3"/>
        <v>0</v>
      </c>
      <c r="L6" s="413">
        <f t="shared" si="4"/>
        <v>0</v>
      </c>
      <c r="M6" s="413">
        <f t="shared" si="5"/>
        <v>0</v>
      </c>
      <c r="N6" s="413">
        <f t="shared" si="6"/>
        <v>0</v>
      </c>
      <c r="O6" s="413">
        <f t="shared" si="7"/>
        <v>0</v>
      </c>
      <c r="P6" s="413">
        <f t="shared" si="8"/>
        <v>0</v>
      </c>
      <c r="Q6" s="413">
        <f t="shared" si="9"/>
        <v>0</v>
      </c>
      <c r="R6" s="401"/>
      <c r="S6" s="401"/>
      <c r="T6" s="401"/>
      <c r="U6" s="414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  <c r="AG6" s="415"/>
      <c r="AH6" s="415"/>
      <c r="AI6" s="415"/>
      <c r="AJ6" s="415"/>
      <c r="AK6" s="415"/>
      <c r="AL6" s="415"/>
      <c r="AM6" s="416">
        <f t="shared" si="10"/>
        <v>0</v>
      </c>
      <c r="AN6" s="417">
        <f t="shared" si="11"/>
        <v>0</v>
      </c>
      <c r="AO6" s="321"/>
    </row>
    <row r="7" spans="1:41" s="5" customFormat="1">
      <c r="A7" s="441">
        <f>'1-συμβολαια'!A7</f>
        <v>0</v>
      </c>
      <c r="B7" s="400" t="str">
        <f>'1-συμβολαια'!C7</f>
        <v>υποθήκη δανείου Β' …. ΕΞΑΛΕΙΨΗ</v>
      </c>
      <c r="C7" s="394">
        <f>'1-συμβολαια'!D7</f>
        <v>8151.95</v>
      </c>
      <c r="D7" s="412">
        <f>'3-φύλλα2α'!D7</f>
        <v>1</v>
      </c>
      <c r="E7" s="412">
        <f>'3-φύλλα2α'!E7</f>
        <v>0</v>
      </c>
      <c r="F7" s="323"/>
      <c r="G7" s="323"/>
      <c r="H7" s="383">
        <f t="shared" si="0"/>
        <v>0</v>
      </c>
      <c r="I7" s="413">
        <f t="shared" si="1"/>
        <v>0</v>
      </c>
      <c r="J7" s="413">
        <f t="shared" si="2"/>
        <v>0</v>
      </c>
      <c r="K7" s="413">
        <f t="shared" si="3"/>
        <v>0</v>
      </c>
      <c r="L7" s="413">
        <f t="shared" si="4"/>
        <v>0</v>
      </c>
      <c r="M7" s="413">
        <f t="shared" si="5"/>
        <v>0</v>
      </c>
      <c r="N7" s="413">
        <f t="shared" si="6"/>
        <v>0</v>
      </c>
      <c r="O7" s="413">
        <f t="shared" si="7"/>
        <v>0</v>
      </c>
      <c r="P7" s="413">
        <f t="shared" si="8"/>
        <v>0</v>
      </c>
      <c r="Q7" s="413">
        <f t="shared" si="9"/>
        <v>0</v>
      </c>
      <c r="R7" s="401"/>
      <c r="S7" s="401"/>
      <c r="T7" s="401">
        <v>3.25</v>
      </c>
      <c r="U7" s="414">
        <v>1.98</v>
      </c>
      <c r="V7" s="401"/>
      <c r="W7" s="401"/>
      <c r="X7" s="401"/>
      <c r="Y7" s="401"/>
      <c r="Z7" s="401"/>
      <c r="AA7" s="401"/>
      <c r="AB7" s="401"/>
      <c r="AC7" s="401"/>
      <c r="AD7" s="401"/>
      <c r="AE7" s="401"/>
      <c r="AF7" s="401"/>
      <c r="AG7" s="415"/>
      <c r="AH7" s="415"/>
      <c r="AI7" s="415"/>
      <c r="AJ7" s="415"/>
      <c r="AK7" s="415"/>
      <c r="AL7" s="415"/>
      <c r="AM7" s="416">
        <f t="shared" si="10"/>
        <v>1.98</v>
      </c>
      <c r="AN7" s="417">
        <f t="shared" si="11"/>
        <v>3.25</v>
      </c>
      <c r="AO7" s="321"/>
    </row>
    <row r="8" spans="1:41" s="5" customFormat="1">
      <c r="A8" s="441">
        <f>'1-συμβολαια'!A8</f>
        <v>0</v>
      </c>
      <c r="B8" s="400" t="str">
        <f>'1-συμβολαια'!C8</f>
        <v>τόκοι δανείου Β' [προυπολογιζόμενοι VS πληρωμένοι]</v>
      </c>
      <c r="C8" s="394">
        <f>'1-συμβολαια'!D8</f>
        <v>23882.636363636364</v>
      </c>
      <c r="D8" s="412">
        <f>'3-φύλλα2α'!D8</f>
        <v>1</v>
      </c>
      <c r="E8" s="412">
        <f>'3-φύλλα2α'!E8</f>
        <v>0</v>
      </c>
      <c r="F8" s="323"/>
      <c r="G8" s="323"/>
      <c r="H8" s="383">
        <f t="shared" si="0"/>
        <v>0</v>
      </c>
      <c r="I8" s="413">
        <f t="shared" si="1"/>
        <v>0</v>
      </c>
      <c r="J8" s="413">
        <f t="shared" si="2"/>
        <v>0</v>
      </c>
      <c r="K8" s="413">
        <f t="shared" si="3"/>
        <v>0</v>
      </c>
      <c r="L8" s="413">
        <f t="shared" si="4"/>
        <v>0</v>
      </c>
      <c r="M8" s="413">
        <f t="shared" si="5"/>
        <v>0</v>
      </c>
      <c r="N8" s="413">
        <f t="shared" si="6"/>
        <v>0</v>
      </c>
      <c r="O8" s="413">
        <f t="shared" si="7"/>
        <v>0</v>
      </c>
      <c r="P8" s="413">
        <f t="shared" si="8"/>
        <v>0</v>
      </c>
      <c r="Q8" s="413">
        <f t="shared" si="9"/>
        <v>0</v>
      </c>
      <c r="R8" s="401"/>
      <c r="S8" s="401"/>
      <c r="T8" s="401"/>
      <c r="U8" s="414"/>
      <c r="V8" s="401"/>
      <c r="W8" s="401"/>
      <c r="X8" s="401"/>
      <c r="Y8" s="401"/>
      <c r="Z8" s="401"/>
      <c r="AA8" s="401"/>
      <c r="AB8" s="401"/>
      <c r="AC8" s="401"/>
      <c r="AD8" s="401"/>
      <c r="AE8" s="401"/>
      <c r="AF8" s="401"/>
      <c r="AG8" s="415"/>
      <c r="AH8" s="415"/>
      <c r="AI8" s="415"/>
      <c r="AJ8" s="415"/>
      <c r="AK8" s="415"/>
      <c r="AL8" s="415"/>
      <c r="AM8" s="416">
        <f t="shared" si="10"/>
        <v>0</v>
      </c>
      <c r="AN8" s="417">
        <f t="shared" si="11"/>
        <v>0</v>
      </c>
      <c r="AO8" s="321"/>
    </row>
    <row r="9" spans="1:41" s="5" customFormat="1">
      <c r="A9" s="441">
        <f>'1-συμβολαια'!A9</f>
        <v>0</v>
      </c>
      <c r="B9" s="400" t="str">
        <f>'1-συμβολαια'!C9</f>
        <v>τόκοι δανείου Β.2' [προυπολογιζόμενοι VS πληρωμένοι]</v>
      </c>
      <c r="C9" s="394">
        <f>'1-συμβολαια'!D9</f>
        <v>111.11</v>
      </c>
      <c r="D9" s="412">
        <f>'3-φύλλα2α'!D9</f>
        <v>1</v>
      </c>
      <c r="E9" s="412">
        <f>'3-φύλλα2α'!E9</f>
        <v>0</v>
      </c>
      <c r="F9" s="323"/>
      <c r="G9" s="323"/>
      <c r="H9" s="383">
        <f t="shared" si="0"/>
        <v>0</v>
      </c>
      <c r="I9" s="413">
        <f t="shared" si="1"/>
        <v>0</v>
      </c>
      <c r="J9" s="413">
        <f t="shared" si="2"/>
        <v>0</v>
      </c>
      <c r="K9" s="413">
        <f t="shared" si="3"/>
        <v>0</v>
      </c>
      <c r="L9" s="413">
        <f t="shared" si="4"/>
        <v>0</v>
      </c>
      <c r="M9" s="413">
        <f t="shared" si="5"/>
        <v>0</v>
      </c>
      <c r="N9" s="413">
        <f t="shared" si="6"/>
        <v>0</v>
      </c>
      <c r="O9" s="413">
        <f t="shared" si="7"/>
        <v>0</v>
      </c>
      <c r="P9" s="413">
        <f t="shared" si="8"/>
        <v>0</v>
      </c>
      <c r="Q9" s="413">
        <f t="shared" si="9"/>
        <v>0</v>
      </c>
      <c r="R9" s="401"/>
      <c r="S9" s="401"/>
      <c r="T9" s="401"/>
      <c r="U9" s="414"/>
      <c r="V9" s="401"/>
      <c r="W9" s="401"/>
      <c r="X9" s="401"/>
      <c r="Y9" s="401"/>
      <c r="Z9" s="401"/>
      <c r="AA9" s="401"/>
      <c r="AB9" s="401"/>
      <c r="AC9" s="401"/>
      <c r="AD9" s="401"/>
      <c r="AE9" s="401"/>
      <c r="AF9" s="401"/>
      <c r="AG9" s="415"/>
      <c r="AH9" s="415"/>
      <c r="AI9" s="415"/>
      <c r="AJ9" s="415"/>
      <c r="AK9" s="415"/>
      <c r="AL9" s="415"/>
      <c r="AM9" s="416">
        <f t="shared" si="10"/>
        <v>0</v>
      </c>
      <c r="AN9" s="417">
        <f t="shared" si="11"/>
        <v>0</v>
      </c>
      <c r="AO9" s="321"/>
    </row>
    <row r="10" spans="1:41" s="5" customFormat="1">
      <c r="A10" s="14"/>
      <c r="B10" s="100"/>
      <c r="C10" s="42"/>
      <c r="D10" s="28"/>
      <c r="E10" s="28"/>
      <c r="F10" s="13"/>
      <c r="G10" s="13"/>
      <c r="H10" s="18"/>
      <c r="I10" s="24"/>
      <c r="J10" s="24"/>
      <c r="K10" s="24"/>
      <c r="L10" s="24"/>
      <c r="M10" s="24"/>
      <c r="N10" s="24"/>
      <c r="O10" s="24"/>
      <c r="P10" s="24"/>
      <c r="Q10" s="24"/>
      <c r="R10" s="157"/>
      <c r="S10" s="157"/>
      <c r="T10" s="157"/>
      <c r="U10" s="365"/>
      <c r="V10" s="157"/>
      <c r="W10" s="157"/>
      <c r="X10" s="157"/>
      <c r="Y10" s="157"/>
      <c r="Z10" s="157"/>
      <c r="AA10" s="157"/>
      <c r="AB10" s="157"/>
      <c r="AC10" s="157"/>
      <c r="AD10" s="157"/>
      <c r="AE10" s="157"/>
      <c r="AF10" s="157"/>
      <c r="AG10" s="199"/>
      <c r="AH10" s="199"/>
      <c r="AI10" s="199"/>
      <c r="AJ10" s="199"/>
      <c r="AK10" s="199"/>
      <c r="AL10" s="199"/>
      <c r="AM10" s="371"/>
      <c r="AN10" s="200"/>
      <c r="AO10" s="89"/>
    </row>
    <row r="11" spans="1:41" s="5" customFormat="1">
      <c r="A11" s="441" t="str">
        <f>'1-συμβολαια'!A11</f>
        <v>3ο</v>
      </c>
      <c r="B11" s="400" t="str">
        <f>'1-συμβολαια'!C11</f>
        <v>δανείου  Α' ΕΞΟΦΛΗΣΗ [= 6.000.000δρχ</v>
      </c>
      <c r="C11" s="394">
        <f>'1-συμβολαια'!D11</f>
        <v>17608.22</v>
      </c>
      <c r="D11" s="412">
        <f>'3-φύλλα2α'!D11</f>
        <v>2</v>
      </c>
      <c r="E11" s="412">
        <f>'3-φύλλα2α'!E11</f>
        <v>2</v>
      </c>
      <c r="F11" s="323">
        <v>2</v>
      </c>
      <c r="G11" s="443">
        <v>1</v>
      </c>
      <c r="H11" s="383">
        <f t="shared" si="0"/>
        <v>12.92</v>
      </c>
      <c r="I11" s="476">
        <f t="shared" si="1"/>
        <v>6.46</v>
      </c>
      <c r="J11" s="413">
        <f t="shared" si="2"/>
        <v>0.64600000000000002</v>
      </c>
      <c r="K11" s="413">
        <f t="shared" si="3"/>
        <v>0.64600000000000002</v>
      </c>
      <c r="L11" s="413">
        <f t="shared" si="4"/>
        <v>0.12920000000000001</v>
      </c>
      <c r="M11" s="413">
        <f t="shared" si="5"/>
        <v>11.498799999999999</v>
      </c>
      <c r="N11" s="413">
        <f t="shared" si="6"/>
        <v>5.7493999999999996</v>
      </c>
      <c r="O11" s="413">
        <f t="shared" si="7"/>
        <v>1.4212</v>
      </c>
      <c r="P11" s="413">
        <f t="shared" si="8"/>
        <v>0.71060000000000001</v>
      </c>
      <c r="Q11" s="413">
        <f t="shared" si="9"/>
        <v>0.71060000000000001</v>
      </c>
      <c r="R11" s="401"/>
      <c r="S11" s="401"/>
      <c r="T11" s="401"/>
      <c r="U11" s="414"/>
      <c r="V11" s="401"/>
      <c r="W11" s="401"/>
      <c r="X11" s="401"/>
      <c r="Y11" s="401"/>
      <c r="Z11" s="401"/>
      <c r="AA11" s="401"/>
      <c r="AB11" s="401"/>
      <c r="AC11" s="401"/>
      <c r="AD11" s="401"/>
      <c r="AE11" s="401"/>
      <c r="AF11" s="401"/>
      <c r="AG11" s="415"/>
      <c r="AH11" s="415"/>
      <c r="AI11" s="415"/>
      <c r="AJ11" s="415"/>
      <c r="AK11" s="415"/>
      <c r="AL11" s="415"/>
      <c r="AM11" s="416">
        <f t="shared" si="10"/>
        <v>0</v>
      </c>
      <c r="AN11" s="417">
        <f t="shared" si="11"/>
        <v>0</v>
      </c>
      <c r="AO11" s="321"/>
    </row>
    <row r="12" spans="1:41" s="5" customFormat="1">
      <c r="A12" s="441">
        <f>'1-συμβολαια'!A12</f>
        <v>0</v>
      </c>
      <c r="B12" s="400" t="str">
        <f>'1-συμβολαια'!C12</f>
        <v xml:space="preserve">δανείου Α.2' ΕΞΟΦΛΗΣΗ ΥΠΟΛΟΙΠΟΥ = 3.119.471δρχ </v>
      </c>
      <c r="C12" s="394">
        <f>'1-συμβολαια'!D12</f>
        <v>9154.7199999999993</v>
      </c>
      <c r="D12" s="412">
        <f>'3-φύλλα2α'!D12</f>
        <v>2</v>
      </c>
      <c r="E12" s="412">
        <f>'3-φύλλα2α'!E12</f>
        <v>0</v>
      </c>
      <c r="F12" s="323"/>
      <c r="G12" s="323"/>
      <c r="H12" s="383">
        <f t="shared" si="0"/>
        <v>0</v>
      </c>
      <c r="I12" s="413">
        <f t="shared" si="1"/>
        <v>0</v>
      </c>
      <c r="J12" s="413">
        <f t="shared" si="2"/>
        <v>0</v>
      </c>
      <c r="K12" s="413">
        <f t="shared" si="3"/>
        <v>0</v>
      </c>
      <c r="L12" s="413">
        <f t="shared" si="4"/>
        <v>0</v>
      </c>
      <c r="M12" s="413">
        <f t="shared" si="5"/>
        <v>0</v>
      </c>
      <c r="N12" s="413">
        <f t="shared" si="6"/>
        <v>0</v>
      </c>
      <c r="O12" s="413">
        <f t="shared" si="7"/>
        <v>0</v>
      </c>
      <c r="P12" s="413">
        <f t="shared" si="8"/>
        <v>0</v>
      </c>
      <c r="Q12" s="413">
        <f t="shared" si="9"/>
        <v>0</v>
      </c>
      <c r="R12" s="401"/>
      <c r="S12" s="401"/>
      <c r="T12" s="401"/>
      <c r="U12" s="414"/>
      <c r="V12" s="401"/>
      <c r="W12" s="401"/>
      <c r="X12" s="401"/>
      <c r="Y12" s="401"/>
      <c r="Z12" s="401"/>
      <c r="AA12" s="401"/>
      <c r="AB12" s="401"/>
      <c r="AC12" s="401"/>
      <c r="AD12" s="401"/>
      <c r="AE12" s="401"/>
      <c r="AF12" s="401"/>
      <c r="AG12" s="415"/>
      <c r="AH12" s="415"/>
      <c r="AI12" s="415"/>
      <c r="AJ12" s="415"/>
      <c r="AK12" s="415"/>
      <c r="AL12" s="415"/>
      <c r="AM12" s="416">
        <f t="shared" si="10"/>
        <v>0</v>
      </c>
      <c r="AN12" s="417">
        <f t="shared" si="11"/>
        <v>0</v>
      </c>
      <c r="AO12" s="321"/>
    </row>
    <row r="13" spans="1:41" s="5" customFormat="1">
      <c r="A13" s="441">
        <f>'1-συμβολαια'!A13</f>
        <v>0</v>
      </c>
      <c r="B13" s="400" t="str">
        <f>'1-συμβολαια'!C13</f>
        <v>υποθήκη δανείου Α' …. ΕΞΑΛΕΙΨΗ</v>
      </c>
      <c r="C13" s="394">
        <f>'1-συμβολαια'!D13</f>
        <v>19564.68</v>
      </c>
      <c r="D13" s="412">
        <f>'3-φύλλα2α'!D13</f>
        <v>2</v>
      </c>
      <c r="E13" s="412">
        <f>'3-φύλλα2α'!E13</f>
        <v>0</v>
      </c>
      <c r="F13" s="323"/>
      <c r="G13" s="323"/>
      <c r="H13" s="383">
        <f t="shared" si="0"/>
        <v>0</v>
      </c>
      <c r="I13" s="413">
        <f t="shared" si="1"/>
        <v>0</v>
      </c>
      <c r="J13" s="413">
        <f t="shared" si="2"/>
        <v>0</v>
      </c>
      <c r="K13" s="413">
        <f t="shared" si="3"/>
        <v>0</v>
      </c>
      <c r="L13" s="413">
        <f t="shared" si="4"/>
        <v>0</v>
      </c>
      <c r="M13" s="413">
        <f t="shared" si="5"/>
        <v>0</v>
      </c>
      <c r="N13" s="413">
        <f t="shared" si="6"/>
        <v>0</v>
      </c>
      <c r="O13" s="413">
        <f t="shared" si="7"/>
        <v>0</v>
      </c>
      <c r="P13" s="413">
        <f t="shared" si="8"/>
        <v>0</v>
      </c>
      <c r="Q13" s="413">
        <f t="shared" si="9"/>
        <v>0</v>
      </c>
      <c r="R13" s="401"/>
      <c r="S13" s="401"/>
      <c r="T13" s="401">
        <v>6.46</v>
      </c>
      <c r="U13" s="414">
        <v>1.98</v>
      </c>
      <c r="V13" s="401"/>
      <c r="W13" s="401"/>
      <c r="X13" s="401"/>
      <c r="Y13" s="401"/>
      <c r="Z13" s="401"/>
      <c r="AA13" s="401"/>
      <c r="AB13" s="401"/>
      <c r="AC13" s="401"/>
      <c r="AD13" s="401"/>
      <c r="AE13" s="401"/>
      <c r="AF13" s="401"/>
      <c r="AG13" s="415"/>
      <c r="AH13" s="415"/>
      <c r="AI13" s="415"/>
      <c r="AJ13" s="415"/>
      <c r="AK13" s="415"/>
      <c r="AL13" s="415"/>
      <c r="AM13" s="416">
        <f t="shared" si="10"/>
        <v>1.98</v>
      </c>
      <c r="AN13" s="417">
        <f t="shared" si="11"/>
        <v>6.46</v>
      </c>
      <c r="AO13" s="321"/>
    </row>
    <row r="14" spans="1:41" s="5" customFormat="1">
      <c r="A14" s="441">
        <f>'1-συμβολαια'!A14</f>
        <v>0</v>
      </c>
      <c r="B14" s="400" t="str">
        <f>'1-συμβολαια'!C14</f>
        <v>τόκοι δανείου Α' [προυπολογιζόμενοι VS πληρωμένοι]</v>
      </c>
      <c r="C14" s="394">
        <f>'1-συμβολαια'!D14</f>
        <v>57318.327272727271</v>
      </c>
      <c r="D14" s="412">
        <f>'3-φύλλα2α'!D14</f>
        <v>2</v>
      </c>
      <c r="E14" s="412">
        <f>'3-φύλλα2α'!E14</f>
        <v>0</v>
      </c>
      <c r="F14" s="323"/>
      <c r="G14" s="323"/>
      <c r="H14" s="383">
        <f t="shared" si="0"/>
        <v>0</v>
      </c>
      <c r="I14" s="413">
        <f t="shared" si="1"/>
        <v>0</v>
      </c>
      <c r="J14" s="413">
        <f t="shared" si="2"/>
        <v>0</v>
      </c>
      <c r="K14" s="413">
        <f t="shared" si="3"/>
        <v>0</v>
      </c>
      <c r="L14" s="413">
        <f t="shared" si="4"/>
        <v>0</v>
      </c>
      <c r="M14" s="413">
        <f t="shared" si="5"/>
        <v>0</v>
      </c>
      <c r="N14" s="413">
        <f t="shared" si="6"/>
        <v>0</v>
      </c>
      <c r="O14" s="413">
        <f t="shared" si="7"/>
        <v>0</v>
      </c>
      <c r="P14" s="413">
        <f t="shared" si="8"/>
        <v>0</v>
      </c>
      <c r="Q14" s="413">
        <f t="shared" si="9"/>
        <v>0</v>
      </c>
      <c r="R14" s="401"/>
      <c r="S14" s="401"/>
      <c r="T14" s="401"/>
      <c r="U14" s="414"/>
      <c r="V14" s="401"/>
      <c r="W14" s="401"/>
      <c r="X14" s="401"/>
      <c r="Y14" s="401"/>
      <c r="Z14" s="401"/>
      <c r="AA14" s="401"/>
      <c r="AB14" s="401"/>
      <c r="AC14" s="401"/>
      <c r="AD14" s="401"/>
      <c r="AE14" s="401"/>
      <c r="AF14" s="401"/>
      <c r="AG14" s="415"/>
      <c r="AH14" s="415"/>
      <c r="AI14" s="415"/>
      <c r="AJ14" s="415"/>
      <c r="AK14" s="415"/>
      <c r="AL14" s="415"/>
      <c r="AM14" s="416">
        <f t="shared" si="10"/>
        <v>0</v>
      </c>
      <c r="AN14" s="417">
        <f t="shared" si="11"/>
        <v>0</v>
      </c>
      <c r="AO14" s="321"/>
    </row>
    <row r="15" spans="1:41" s="5" customFormat="1">
      <c r="A15" s="441">
        <f>'1-συμβολαια'!A15</f>
        <v>0</v>
      </c>
      <c r="B15" s="400" t="str">
        <f>'1-συμβολαια'!C15</f>
        <v>τόκοι δανείου Α.2' [προυπολογιζόμενοι VS πληρωμένοι]</v>
      </c>
      <c r="C15" s="394">
        <f>'1-συμβολαια'!D15</f>
        <v>111.11</v>
      </c>
      <c r="D15" s="412">
        <f>'3-φύλλα2α'!D15</f>
        <v>2</v>
      </c>
      <c r="E15" s="412">
        <f>'3-φύλλα2α'!E15</f>
        <v>0</v>
      </c>
      <c r="F15" s="323"/>
      <c r="G15" s="323"/>
      <c r="H15" s="383">
        <f t="shared" si="0"/>
        <v>0</v>
      </c>
      <c r="I15" s="413">
        <f t="shared" si="1"/>
        <v>0</v>
      </c>
      <c r="J15" s="413">
        <f t="shared" si="2"/>
        <v>0</v>
      </c>
      <c r="K15" s="413">
        <f t="shared" si="3"/>
        <v>0</v>
      </c>
      <c r="L15" s="413">
        <f t="shared" si="4"/>
        <v>0</v>
      </c>
      <c r="M15" s="413">
        <f t="shared" si="5"/>
        <v>0</v>
      </c>
      <c r="N15" s="413">
        <f t="shared" si="6"/>
        <v>0</v>
      </c>
      <c r="O15" s="413">
        <f t="shared" si="7"/>
        <v>0</v>
      </c>
      <c r="P15" s="413">
        <f t="shared" si="8"/>
        <v>0</v>
      </c>
      <c r="Q15" s="413">
        <f t="shared" si="9"/>
        <v>0</v>
      </c>
      <c r="R15" s="401"/>
      <c r="S15" s="401"/>
      <c r="T15" s="401"/>
      <c r="U15" s="414"/>
      <c r="V15" s="401"/>
      <c r="W15" s="401"/>
      <c r="X15" s="401"/>
      <c r="Y15" s="401"/>
      <c r="Z15" s="401"/>
      <c r="AA15" s="401"/>
      <c r="AB15" s="401"/>
      <c r="AC15" s="401"/>
      <c r="AD15" s="401"/>
      <c r="AE15" s="401"/>
      <c r="AF15" s="401"/>
      <c r="AG15" s="415"/>
      <c r="AH15" s="415"/>
      <c r="AI15" s="415"/>
      <c r="AJ15" s="415"/>
      <c r="AK15" s="415"/>
      <c r="AL15" s="415"/>
      <c r="AM15" s="416">
        <f t="shared" si="10"/>
        <v>0</v>
      </c>
      <c r="AN15" s="417">
        <f t="shared" si="11"/>
        <v>0</v>
      </c>
      <c r="AO15" s="321"/>
    </row>
    <row r="16" spans="1:41">
      <c r="A16" s="495" t="s">
        <v>47</v>
      </c>
      <c r="B16" s="496"/>
      <c r="C16" s="496"/>
      <c r="D16" s="496"/>
      <c r="E16" s="496"/>
      <c r="F16" s="496"/>
      <c r="G16" s="557"/>
      <c r="H16" s="44">
        <f t="shared" ref="H16:W16" si="12">SUM(H3:H15)</f>
        <v>25.84</v>
      </c>
      <c r="I16" s="44">
        <f t="shared" si="12"/>
        <v>9.69</v>
      </c>
      <c r="J16" s="44">
        <f t="shared" si="12"/>
        <v>1.292</v>
      </c>
      <c r="K16" s="44">
        <f t="shared" si="12"/>
        <v>1.292</v>
      </c>
      <c r="L16" s="44">
        <f t="shared" si="12"/>
        <v>0.25840000000000002</v>
      </c>
      <c r="M16" s="44">
        <f t="shared" si="12"/>
        <v>22.997599999999998</v>
      </c>
      <c r="N16" s="44">
        <f t="shared" si="12"/>
        <v>8.6240999999999985</v>
      </c>
      <c r="O16" s="44">
        <f t="shared" si="12"/>
        <v>2.8424</v>
      </c>
      <c r="P16" s="44">
        <f t="shared" si="12"/>
        <v>1.0659000000000001</v>
      </c>
      <c r="Q16" s="44">
        <f t="shared" si="12"/>
        <v>1.7765</v>
      </c>
      <c r="R16" s="44">
        <f t="shared" si="12"/>
        <v>0</v>
      </c>
      <c r="S16" s="44">
        <f t="shared" si="12"/>
        <v>0</v>
      </c>
      <c r="T16" s="44">
        <f t="shared" si="12"/>
        <v>12.940000000000001</v>
      </c>
      <c r="U16" s="44">
        <f t="shared" si="12"/>
        <v>5.9399999999999995</v>
      </c>
      <c r="V16" s="44">
        <f t="shared" si="12"/>
        <v>0</v>
      </c>
      <c r="W16" s="44">
        <f t="shared" si="12"/>
        <v>0</v>
      </c>
      <c r="X16" s="44"/>
      <c r="Y16" s="44"/>
      <c r="Z16" s="44"/>
      <c r="AA16" s="44">
        <f t="shared" ref="AA16:AF16" si="13">SUM(AA3:AA15)</f>
        <v>0</v>
      </c>
      <c r="AB16" s="44">
        <f t="shared" si="13"/>
        <v>0</v>
      </c>
      <c r="AC16" s="44">
        <f t="shared" si="13"/>
        <v>0</v>
      </c>
      <c r="AD16" s="44">
        <f t="shared" si="13"/>
        <v>0</v>
      </c>
      <c r="AE16" s="44">
        <f t="shared" si="13"/>
        <v>0</v>
      </c>
      <c r="AF16" s="44">
        <f t="shared" si="13"/>
        <v>0</v>
      </c>
      <c r="AG16" s="316"/>
      <c r="AH16" s="44">
        <f>SUM(AH3:AH15)</f>
        <v>0</v>
      </c>
      <c r="AI16" s="44">
        <f>SUM(AI3:AI15)</f>
        <v>0</v>
      </c>
      <c r="AJ16" s="44"/>
      <c r="AK16" s="44"/>
      <c r="AL16" s="44">
        <f>SUM(AL3:AL15)</f>
        <v>0</v>
      </c>
      <c r="AM16" s="44">
        <f>SUM(AM3:AM15)</f>
        <v>5.9399999999999995</v>
      </c>
      <c r="AN16" s="44">
        <f>SUM(AN3:AN15)</f>
        <v>12.940000000000001</v>
      </c>
    </row>
    <row r="18" spans="2:41">
      <c r="R18" s="192" t="s">
        <v>464</v>
      </c>
      <c r="S18" s="203"/>
      <c r="T18" s="203"/>
      <c r="U18" s="203"/>
      <c r="V18" s="203"/>
      <c r="W18" s="203"/>
      <c r="X18" s="204"/>
      <c r="Y18" s="204"/>
      <c r="Z18" s="204"/>
      <c r="AA18" s="204"/>
      <c r="AB18" s="204"/>
      <c r="AC18" s="204"/>
      <c r="AD18" s="204"/>
      <c r="AE18" s="95"/>
      <c r="AF18" s="95"/>
      <c r="AG18" s="95"/>
      <c r="AH18" s="95"/>
      <c r="AI18" s="95"/>
      <c r="AJ18" s="95"/>
      <c r="AK18" s="95"/>
      <c r="AL18" s="95"/>
      <c r="AM18" s="95"/>
      <c r="AN18" s="95"/>
    </row>
    <row r="19" spans="2:41" ht="15.75">
      <c r="B19" s="363" t="s">
        <v>491</v>
      </c>
      <c r="C19" s="364"/>
      <c r="D19" s="364"/>
      <c r="E19" s="364"/>
      <c r="R19" s="204"/>
      <c r="S19" s="205" t="s">
        <v>527</v>
      </c>
      <c r="T19" s="204"/>
      <c r="U19" s="204"/>
      <c r="V19" s="204"/>
      <c r="W19" s="204"/>
      <c r="X19" s="204"/>
      <c r="Y19" s="204"/>
      <c r="Z19" s="204"/>
      <c r="AA19" s="204"/>
      <c r="AB19" s="204"/>
      <c r="AC19" s="204"/>
      <c r="AD19" s="204"/>
      <c r="AE19" s="95"/>
      <c r="AF19" s="95"/>
      <c r="AG19" s="95"/>
      <c r="AH19" s="95"/>
      <c r="AI19" s="95"/>
      <c r="AJ19" s="95"/>
      <c r="AK19" s="95"/>
      <c r="AL19" s="95"/>
      <c r="AM19" s="95"/>
      <c r="AN19" s="95"/>
    </row>
    <row r="20" spans="2:41">
      <c r="H20" s="2">
        <f>H3/F3</f>
        <v>3.23</v>
      </c>
      <c r="R20" s="204"/>
      <c r="S20" s="204"/>
      <c r="T20" s="202" t="s">
        <v>230</v>
      </c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95"/>
      <c r="AF20" s="95"/>
      <c r="AG20" s="95"/>
      <c r="AH20" s="95"/>
      <c r="AI20" s="95"/>
      <c r="AJ20" s="95"/>
      <c r="AK20" s="95"/>
      <c r="AL20" s="95"/>
      <c r="AM20" s="95"/>
      <c r="AN20" s="95"/>
    </row>
    <row r="21" spans="2:41">
      <c r="H21" s="2">
        <f>H5/F5</f>
        <v>3.23</v>
      </c>
      <c r="R21" s="204"/>
      <c r="S21" s="204"/>
      <c r="T21" s="204"/>
      <c r="U21" s="205" t="s">
        <v>231</v>
      </c>
      <c r="V21" s="204"/>
      <c r="W21" s="204"/>
      <c r="X21" s="204"/>
      <c r="Y21" s="204"/>
      <c r="Z21" s="204"/>
      <c r="AA21" s="204"/>
      <c r="AB21" s="204"/>
      <c r="AC21" s="204"/>
      <c r="AD21" s="204"/>
      <c r="AE21" s="95"/>
      <c r="AF21" s="95"/>
      <c r="AG21" s="95"/>
      <c r="AH21" s="95"/>
      <c r="AI21" s="95"/>
      <c r="AJ21" s="95"/>
      <c r="AK21" s="95"/>
      <c r="AL21" s="95"/>
      <c r="AM21" s="95"/>
      <c r="AN21" s="95"/>
    </row>
    <row r="22" spans="2:41">
      <c r="H22" s="2">
        <f>H11/F11</f>
        <v>6.46</v>
      </c>
      <c r="R22" s="204"/>
      <c r="S22" s="204"/>
      <c r="T22" s="204"/>
      <c r="U22" s="204"/>
      <c r="V22" s="202" t="s">
        <v>528</v>
      </c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95"/>
      <c r="AN22" s="95"/>
    </row>
    <row r="23" spans="2:41">
      <c r="R23" s="204"/>
      <c r="S23" s="204"/>
      <c r="T23" s="204"/>
      <c r="U23" s="204"/>
      <c r="V23" s="204"/>
      <c r="W23" s="205" t="s">
        <v>232</v>
      </c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95"/>
      <c r="AN23" s="95"/>
    </row>
    <row r="24" spans="2:41">
      <c r="R24" s="204"/>
      <c r="S24" s="204"/>
      <c r="T24" s="204"/>
      <c r="U24" s="204"/>
      <c r="V24" s="204"/>
      <c r="W24" s="204"/>
      <c r="X24" s="202" t="s">
        <v>233</v>
      </c>
      <c r="Y24" s="202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95"/>
      <c r="AN24" s="95"/>
    </row>
    <row r="25" spans="2:41">
      <c r="R25" s="204"/>
      <c r="S25" s="204"/>
      <c r="T25" s="204"/>
      <c r="U25" s="204"/>
      <c r="V25" s="204"/>
      <c r="W25" s="204"/>
      <c r="X25" s="204"/>
      <c r="Y25" s="205" t="s">
        <v>261</v>
      </c>
      <c r="Z25" s="204"/>
      <c r="AA25" s="204"/>
      <c r="AB25" s="204"/>
      <c r="AC25" s="204"/>
      <c r="AD25" s="204"/>
      <c r="AE25" s="204"/>
      <c r="AF25" s="204"/>
      <c r="AG25" s="204"/>
      <c r="AH25" s="204"/>
      <c r="AI25" s="204"/>
      <c r="AJ25" s="204"/>
      <c r="AK25" s="204"/>
      <c r="AL25" s="204"/>
      <c r="AM25" s="95"/>
      <c r="AN25" s="95"/>
    </row>
    <row r="26" spans="2:41">
      <c r="B26" s="161"/>
      <c r="R26" s="204"/>
      <c r="S26" s="204"/>
      <c r="T26" s="204"/>
      <c r="U26" s="204"/>
      <c r="V26" s="204"/>
      <c r="W26" s="204"/>
      <c r="X26" s="204"/>
      <c r="Y26" s="204"/>
      <c r="Z26" s="202" t="s">
        <v>234</v>
      </c>
      <c r="AA26" s="205"/>
      <c r="AB26" s="204"/>
      <c r="AC26" s="204"/>
      <c r="AD26" s="204"/>
      <c r="AE26" s="204"/>
      <c r="AF26" s="204"/>
      <c r="AG26" s="204"/>
      <c r="AH26" s="204"/>
      <c r="AI26" s="204"/>
      <c r="AJ26" s="204"/>
      <c r="AK26" s="204"/>
      <c r="AL26" s="204"/>
      <c r="AM26" s="95"/>
      <c r="AN26" s="95"/>
      <c r="AO26" s="201"/>
    </row>
    <row r="27" spans="2:41">
      <c r="B27" s="162"/>
      <c r="R27" s="204"/>
      <c r="S27" s="204"/>
      <c r="T27" s="204"/>
      <c r="U27" s="204"/>
      <c r="V27" s="204"/>
      <c r="W27" s="204"/>
      <c r="X27" s="204"/>
      <c r="Y27" s="204"/>
      <c r="Z27" s="205"/>
      <c r="AA27" s="205" t="s">
        <v>262</v>
      </c>
      <c r="AB27" s="204"/>
      <c r="AC27" s="204"/>
      <c r="AD27" s="204"/>
      <c r="AE27" s="204"/>
      <c r="AF27" s="204"/>
      <c r="AG27" s="204"/>
      <c r="AH27" s="204"/>
      <c r="AI27" s="204"/>
      <c r="AJ27" s="204"/>
      <c r="AK27" s="204"/>
      <c r="AL27" s="204"/>
      <c r="AM27" s="95"/>
      <c r="AN27" s="95"/>
      <c r="AO27" s="201"/>
    </row>
    <row r="28" spans="2:41"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2" t="s">
        <v>235</v>
      </c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95"/>
      <c r="AN28" s="205"/>
    </row>
    <row r="29" spans="2:41">
      <c r="R29" s="204"/>
      <c r="S29" s="204"/>
      <c r="T29" s="204"/>
      <c r="U29" s="204"/>
      <c r="V29" s="204"/>
      <c r="W29" s="204"/>
      <c r="X29" s="204"/>
      <c r="Y29" s="204"/>
      <c r="Z29" s="204"/>
      <c r="AA29" s="204"/>
      <c r="AB29" s="204"/>
      <c r="AC29" s="205" t="s">
        <v>236</v>
      </c>
      <c r="AD29" s="204"/>
      <c r="AE29" s="204"/>
      <c r="AF29" s="204"/>
      <c r="AG29" s="204"/>
      <c r="AH29" s="204"/>
      <c r="AI29" s="204"/>
      <c r="AJ29" s="204"/>
      <c r="AK29" s="204"/>
      <c r="AL29" s="204"/>
      <c r="AM29" s="95"/>
      <c r="AN29" s="95"/>
    </row>
    <row r="30" spans="2:41">
      <c r="R30" s="204"/>
      <c r="S30" s="204"/>
      <c r="T30" s="204"/>
      <c r="U30" s="204"/>
      <c r="V30" s="204"/>
      <c r="W30" s="204"/>
      <c r="X30" s="204"/>
      <c r="Y30" s="204"/>
      <c r="Z30" s="204"/>
      <c r="AA30" s="204"/>
      <c r="AB30" s="204"/>
      <c r="AC30" s="204"/>
      <c r="AD30" s="202" t="s">
        <v>279</v>
      </c>
      <c r="AE30" s="206"/>
      <c r="AF30" s="206"/>
      <c r="AG30" s="206"/>
      <c r="AH30" s="206"/>
      <c r="AI30" s="206"/>
      <c r="AJ30" s="206"/>
      <c r="AK30" s="206"/>
      <c r="AL30" s="206"/>
      <c r="AM30" s="205"/>
    </row>
    <row r="31" spans="2:41">
      <c r="R31" s="95"/>
      <c r="S31" s="95"/>
      <c r="T31" s="95"/>
      <c r="U31" s="95"/>
      <c r="V31" s="204"/>
      <c r="W31" s="204"/>
      <c r="X31" s="204"/>
      <c r="Y31" s="204"/>
      <c r="Z31" s="204"/>
      <c r="AA31" s="204"/>
      <c r="AB31" s="204"/>
      <c r="AC31" s="204"/>
      <c r="AD31" s="204"/>
      <c r="AE31" s="202" t="s">
        <v>280</v>
      </c>
      <c r="AF31" s="205"/>
      <c r="AG31" s="205"/>
      <c r="AH31" s="205"/>
      <c r="AI31" s="205"/>
      <c r="AJ31" s="205"/>
      <c r="AK31" s="205"/>
      <c r="AL31" s="205"/>
      <c r="AM31" s="95"/>
    </row>
    <row r="32" spans="2:41">
      <c r="R32" s="2"/>
      <c r="S32" s="2"/>
      <c r="T32" s="2"/>
      <c r="U32" s="2"/>
      <c r="AF32" s="205" t="s">
        <v>281</v>
      </c>
      <c r="AG32" s="206"/>
      <c r="AH32" s="206"/>
      <c r="AI32" s="206"/>
      <c r="AJ32" s="206"/>
      <c r="AK32" s="206"/>
    </row>
    <row r="33" spans="32:38">
      <c r="AF33" s="204"/>
      <c r="AG33" s="317" t="s">
        <v>282</v>
      </c>
      <c r="AH33" s="317"/>
      <c r="AI33" s="317"/>
      <c r="AJ33" s="317"/>
      <c r="AK33" s="317"/>
      <c r="AL33" s="317"/>
    </row>
    <row r="34" spans="32:38">
      <c r="AG34" s="204"/>
      <c r="AH34" s="202" t="s">
        <v>470</v>
      </c>
      <c r="AI34" s="204"/>
      <c r="AJ34" s="204"/>
      <c r="AK34" s="204"/>
      <c r="AL34" s="205"/>
    </row>
    <row r="35" spans="32:38">
      <c r="AI35" s="205" t="s">
        <v>467</v>
      </c>
      <c r="AJ35" s="205"/>
      <c r="AK35" s="205"/>
    </row>
    <row r="36" spans="32:38">
      <c r="AJ36" s="202" t="s">
        <v>468</v>
      </c>
      <c r="AK36" s="204"/>
    </row>
    <row r="37" spans="32:38">
      <c r="AK37" s="205" t="s">
        <v>469</v>
      </c>
    </row>
  </sheetData>
  <mergeCells count="10">
    <mergeCell ref="A16:G16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25"/>
  <sheetViews>
    <sheetView workbookViewId="0">
      <pane ySplit="2" topLeftCell="A3" activePane="bottomLeft" state="frozen"/>
      <selection pane="bottomLeft" activeCell="A11" sqref="A11:A15"/>
    </sheetView>
  </sheetViews>
  <sheetFormatPr defaultRowHeight="11.25"/>
  <cols>
    <col min="1" max="1" width="7.5703125" style="8" bestFit="1" customWidth="1"/>
    <col min="2" max="2" width="45.5703125" style="99" bestFit="1" customWidth="1"/>
    <col min="3" max="3" width="11.7109375" style="3" customWidth="1"/>
    <col min="4" max="4" width="17.85546875" style="3" bestFit="1" customWidth="1"/>
    <col min="5" max="5" width="10.28515625" style="3" customWidth="1"/>
    <col min="6" max="6" width="9.7109375" style="2" bestFit="1" customWidth="1"/>
    <col min="7" max="11" width="9.5703125" style="2" customWidth="1"/>
    <col min="12" max="13" width="11.140625" style="2" bestFit="1" customWidth="1"/>
    <col min="14" max="14" width="7.7109375" style="2" customWidth="1"/>
    <col min="15" max="15" width="12.5703125" style="2" customWidth="1"/>
    <col min="16" max="16" width="11.1406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30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30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3.5703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30" bestFit="1" customWidth="1"/>
    <col min="61" max="62" width="8.85546875" style="3" bestFit="1" customWidth="1"/>
    <col min="63" max="16384" width="9.140625" style="3"/>
  </cols>
  <sheetData>
    <row r="1" spans="1:62" s="72" customFormat="1" ht="15.75" customHeight="1">
      <c r="A1" s="572" t="s">
        <v>31</v>
      </c>
      <c r="B1" s="573"/>
      <c r="C1" s="573"/>
      <c r="D1" s="574"/>
      <c r="E1" s="585" t="s">
        <v>493</v>
      </c>
      <c r="F1" s="586"/>
      <c r="G1" s="586"/>
      <c r="H1" s="586"/>
      <c r="I1" s="586"/>
      <c r="J1" s="586"/>
      <c r="K1" s="586"/>
      <c r="L1" s="586"/>
      <c r="M1" s="586"/>
      <c r="N1" s="586"/>
      <c r="O1" s="586"/>
      <c r="P1" s="586"/>
      <c r="Q1" s="586"/>
      <c r="R1" s="586"/>
      <c r="S1" s="587" t="s">
        <v>69</v>
      </c>
      <c r="T1" s="594" t="s">
        <v>163</v>
      </c>
      <c r="U1" s="572" t="s">
        <v>13</v>
      </c>
      <c r="V1" s="573"/>
      <c r="W1" s="573"/>
      <c r="X1" s="573"/>
      <c r="Y1" s="573"/>
      <c r="Z1" s="573"/>
      <c r="AA1" s="573"/>
      <c r="AB1" s="573"/>
      <c r="AC1" s="573"/>
      <c r="AD1" s="574"/>
      <c r="AE1" s="584" t="s">
        <v>14</v>
      </c>
      <c r="AF1" s="584"/>
      <c r="AG1" s="584"/>
      <c r="AH1" s="584"/>
      <c r="AI1" s="584"/>
      <c r="AJ1" s="584"/>
      <c r="AK1" s="584"/>
      <c r="AL1" s="584"/>
      <c r="AM1" s="584"/>
      <c r="AN1" s="572" t="s">
        <v>15</v>
      </c>
      <c r="AO1" s="573"/>
      <c r="AP1" s="573"/>
      <c r="AQ1" s="573"/>
      <c r="AR1" s="573"/>
      <c r="AS1" s="573"/>
      <c r="AT1" s="573"/>
      <c r="AU1" s="573"/>
      <c r="AV1" s="573"/>
      <c r="AW1" s="574"/>
      <c r="AX1" s="575" t="s">
        <v>16</v>
      </c>
      <c r="AY1" s="575"/>
      <c r="AZ1" s="575"/>
      <c r="BA1" s="575"/>
      <c r="BB1" s="575"/>
      <c r="BC1" s="575"/>
      <c r="BD1" s="575"/>
      <c r="BE1" s="575"/>
      <c r="BF1" s="576" t="s">
        <v>17</v>
      </c>
      <c r="BG1" s="577"/>
      <c r="BH1" s="577"/>
      <c r="BI1" s="577"/>
      <c r="BJ1" s="578"/>
    </row>
    <row r="2" spans="1:62" s="4" customFormat="1" ht="34.5" thickBot="1">
      <c r="A2" s="87" t="s">
        <v>19</v>
      </c>
      <c r="B2" s="97" t="s">
        <v>0</v>
      </c>
      <c r="C2" s="73" t="s">
        <v>11</v>
      </c>
      <c r="D2" s="74" t="s">
        <v>12</v>
      </c>
      <c r="E2" s="61" t="s">
        <v>70</v>
      </c>
      <c r="F2" s="47" t="s">
        <v>71</v>
      </c>
      <c r="G2" s="47" t="s">
        <v>255</v>
      </c>
      <c r="H2" s="47" t="s">
        <v>72</v>
      </c>
      <c r="I2" s="591" t="s">
        <v>29</v>
      </c>
      <c r="J2" s="592"/>
      <c r="K2" s="593"/>
      <c r="L2" s="47" t="s">
        <v>155</v>
      </c>
      <c r="M2" s="47" t="s">
        <v>156</v>
      </c>
      <c r="N2" s="47" t="s">
        <v>91</v>
      </c>
      <c r="O2" s="47" t="s">
        <v>510</v>
      </c>
      <c r="P2" s="47" t="s">
        <v>162</v>
      </c>
      <c r="Q2" s="103" t="s">
        <v>97</v>
      </c>
      <c r="R2" s="142" t="s">
        <v>96</v>
      </c>
      <c r="S2" s="588"/>
      <c r="T2" s="595"/>
      <c r="U2" s="61" t="s">
        <v>32</v>
      </c>
      <c r="V2" s="61" t="s">
        <v>19</v>
      </c>
      <c r="W2" s="47" t="s">
        <v>20</v>
      </c>
      <c r="X2" s="10" t="s">
        <v>21</v>
      </c>
      <c r="Y2" s="10" t="s">
        <v>22</v>
      </c>
      <c r="Z2" s="47" t="s">
        <v>23</v>
      </c>
      <c r="AA2" s="47" t="s">
        <v>24</v>
      </c>
      <c r="AB2" s="47" t="s">
        <v>25</v>
      </c>
      <c r="AC2" s="579" t="s">
        <v>29</v>
      </c>
      <c r="AD2" s="580"/>
      <c r="AE2" s="61" t="s">
        <v>28</v>
      </c>
      <c r="AF2" s="61" t="s">
        <v>19</v>
      </c>
      <c r="AG2" s="47" t="s">
        <v>20</v>
      </c>
      <c r="AH2" s="10" t="s">
        <v>27</v>
      </c>
      <c r="AI2" s="10" t="s">
        <v>19</v>
      </c>
      <c r="AJ2" s="78" t="s">
        <v>73</v>
      </c>
      <c r="AK2" s="78" t="s">
        <v>74</v>
      </c>
      <c r="AL2" s="589" t="s">
        <v>29</v>
      </c>
      <c r="AM2" s="590"/>
      <c r="AN2" s="61" t="s">
        <v>18</v>
      </c>
      <c r="AO2" s="61" t="s">
        <v>19</v>
      </c>
      <c r="AP2" s="47" t="s">
        <v>20</v>
      </c>
      <c r="AQ2" s="10" t="s">
        <v>21</v>
      </c>
      <c r="AR2" s="10" t="s">
        <v>22</v>
      </c>
      <c r="AS2" s="47" t="s">
        <v>23</v>
      </c>
      <c r="AT2" s="47" t="s">
        <v>24</v>
      </c>
      <c r="AU2" s="47" t="s">
        <v>25</v>
      </c>
      <c r="AV2" s="579" t="s">
        <v>29</v>
      </c>
      <c r="AW2" s="580"/>
      <c r="AX2" s="61" t="s">
        <v>18</v>
      </c>
      <c r="AY2" s="47" t="s">
        <v>19</v>
      </c>
      <c r="AZ2" s="47" t="s">
        <v>20</v>
      </c>
      <c r="BA2" s="47" t="s">
        <v>26</v>
      </c>
      <c r="BB2" s="10" t="s">
        <v>27</v>
      </c>
      <c r="BC2" s="10" t="s">
        <v>19</v>
      </c>
      <c r="BD2" s="47" t="s">
        <v>28</v>
      </c>
      <c r="BE2" s="48" t="s">
        <v>29</v>
      </c>
      <c r="BF2" s="62" t="s">
        <v>30</v>
      </c>
      <c r="BG2" s="62" t="s">
        <v>19</v>
      </c>
      <c r="BH2" s="63" t="s">
        <v>18</v>
      </c>
      <c r="BI2" s="579" t="s">
        <v>29</v>
      </c>
      <c r="BJ2" s="580"/>
    </row>
    <row r="3" spans="1:62" s="5" customFormat="1">
      <c r="A3" s="392">
        <f>'1-συμβολαια'!A3</f>
        <v>2774</v>
      </c>
      <c r="B3" s="393" t="str">
        <f>'1-συμβολαια'!C3</f>
        <v>κατασχέσεως ΑΡΣΗ για δάνειο Β.2'  [1.635.748δρχ = 4.800,44€]</v>
      </c>
      <c r="C3" s="318" t="str">
        <f>'4-πολλυπρ'!D3</f>
        <v>τραπεζα …??? [= ???</v>
      </c>
      <c r="D3" s="318" t="str">
        <f>'4-πολλυπρ'!I3</f>
        <v>219-67</v>
      </c>
      <c r="E3" s="318">
        <v>1</v>
      </c>
      <c r="F3" s="394">
        <f t="shared" ref="F3:F15" si="0">E3*3.23</f>
        <v>3.23</v>
      </c>
      <c r="G3" s="394">
        <v>3.23</v>
      </c>
      <c r="H3" s="394">
        <f t="shared" ref="H3:H13" si="1">F3+G3</f>
        <v>6.46</v>
      </c>
      <c r="I3" s="324" t="s">
        <v>507</v>
      </c>
      <c r="J3" s="422" t="s">
        <v>161</v>
      </c>
      <c r="K3" s="422" t="s">
        <v>256</v>
      </c>
      <c r="L3" s="394">
        <v>5.87</v>
      </c>
      <c r="M3" s="394">
        <v>5.87</v>
      </c>
      <c r="N3" s="394">
        <v>1.98</v>
      </c>
      <c r="O3" s="394"/>
      <c r="P3" s="394">
        <f t="shared" ref="P3:P15" si="2">L3+M3</f>
        <v>11.74</v>
      </c>
      <c r="Q3" s="318"/>
      <c r="R3" s="318"/>
      <c r="S3" s="318"/>
      <c r="T3" s="318"/>
      <c r="U3" s="396"/>
      <c r="V3" s="81"/>
      <c r="W3" s="397" t="s">
        <v>409</v>
      </c>
      <c r="X3" s="81"/>
      <c r="Y3" s="397" t="s">
        <v>9</v>
      </c>
      <c r="Z3" s="398"/>
      <c r="AA3" s="81"/>
      <c r="AB3" s="81"/>
      <c r="AC3" s="81"/>
      <c r="AD3" s="81"/>
      <c r="AE3" s="396"/>
      <c r="AF3" s="81"/>
      <c r="AG3" s="81"/>
      <c r="AH3" s="81"/>
      <c r="AI3" s="81"/>
      <c r="AJ3" s="323"/>
      <c r="AK3" s="323"/>
      <c r="AL3" s="323"/>
      <c r="AM3" s="81"/>
      <c r="AN3" s="81"/>
      <c r="AO3" s="81"/>
      <c r="AP3" s="397" t="s">
        <v>409</v>
      </c>
      <c r="AQ3" s="81"/>
      <c r="AR3" s="397" t="s">
        <v>9</v>
      </c>
      <c r="AS3" s="81"/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396"/>
      <c r="BI3" s="81"/>
      <c r="BJ3" s="81"/>
    </row>
    <row r="4" spans="1:62" s="5" customFormat="1">
      <c r="A4" s="33"/>
      <c r="B4" s="98"/>
      <c r="C4" s="16"/>
      <c r="D4" s="16"/>
      <c r="E4" s="16"/>
      <c r="F4" s="42"/>
      <c r="G4" s="42"/>
      <c r="H4" s="42"/>
      <c r="I4" s="271"/>
      <c r="J4" s="170"/>
      <c r="K4" s="170"/>
      <c r="L4" s="42"/>
      <c r="M4" s="42"/>
      <c r="N4" s="42"/>
      <c r="O4" s="42"/>
      <c r="P4" s="42"/>
      <c r="Q4" s="16"/>
      <c r="R4" s="16"/>
      <c r="S4" s="16"/>
      <c r="T4" s="16"/>
      <c r="U4" s="31"/>
      <c r="V4" s="26"/>
      <c r="W4" s="35"/>
      <c r="X4" s="26"/>
      <c r="Y4" s="35"/>
      <c r="Z4" s="38"/>
      <c r="AA4" s="26"/>
      <c r="AB4" s="26"/>
      <c r="AC4" s="26"/>
      <c r="AD4" s="26"/>
      <c r="AE4" s="31"/>
      <c r="AF4" s="26"/>
      <c r="AG4" s="26"/>
      <c r="AH4" s="26"/>
      <c r="AI4" s="26"/>
      <c r="AJ4" s="13"/>
      <c r="AK4" s="13"/>
      <c r="AL4" s="13"/>
      <c r="AM4" s="26"/>
      <c r="AN4" s="26"/>
      <c r="AO4" s="26"/>
      <c r="AP4" s="35"/>
      <c r="AQ4" s="26"/>
      <c r="AR4" s="35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31"/>
      <c r="BI4" s="26"/>
      <c r="BJ4" s="26"/>
    </row>
    <row r="5" spans="1:62" s="5" customFormat="1">
      <c r="A5" s="486" t="str">
        <f>'1-συμβολαια'!A5</f>
        <v>2ο</v>
      </c>
      <c r="B5" s="393" t="str">
        <f>'1-συμβολαια'!C5</f>
        <v>δανείου  Β' ΕΞΟΦΛΗΣΗ [= 2.500.000δρχ</v>
      </c>
      <c r="C5" s="318" t="str">
        <f>'4-πολλυπρ'!D5</f>
        <v>τραπεζα …??? [= ???</v>
      </c>
      <c r="D5" s="318" t="str">
        <f>'4-πολλυπρ'!I5</f>
        <v>219-67</v>
      </c>
      <c r="E5" s="318"/>
      <c r="F5" s="394">
        <f t="shared" si="0"/>
        <v>0</v>
      </c>
      <c r="G5" s="394"/>
      <c r="H5" s="394"/>
      <c r="I5" s="324"/>
      <c r="J5" s="422"/>
      <c r="K5" s="422"/>
      <c r="L5" s="394"/>
      <c r="M5" s="394"/>
      <c r="N5" s="394"/>
      <c r="O5" s="394"/>
      <c r="P5" s="394">
        <f t="shared" si="2"/>
        <v>0</v>
      </c>
      <c r="Q5" s="318"/>
      <c r="R5" s="318"/>
      <c r="S5" s="318"/>
      <c r="T5" s="318"/>
      <c r="U5" s="396"/>
      <c r="V5" s="81"/>
      <c r="W5" s="397" t="s">
        <v>409</v>
      </c>
      <c r="X5" s="81"/>
      <c r="Y5" s="397" t="s">
        <v>9</v>
      </c>
      <c r="Z5" s="398"/>
      <c r="AA5" s="81"/>
      <c r="AB5" s="81"/>
      <c r="AC5" s="81"/>
      <c r="AD5" s="81"/>
      <c r="AE5" s="396"/>
      <c r="AF5" s="81"/>
      <c r="AG5" s="81"/>
      <c r="AH5" s="81"/>
      <c r="AI5" s="81"/>
      <c r="AJ5" s="323"/>
      <c r="AK5" s="323"/>
      <c r="AL5" s="323"/>
      <c r="AM5" s="81"/>
      <c r="AN5" s="81"/>
      <c r="AO5" s="81"/>
      <c r="AP5" s="397" t="s">
        <v>409</v>
      </c>
      <c r="AQ5" s="81"/>
      <c r="AR5" s="397" t="s">
        <v>9</v>
      </c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396"/>
      <c r="BI5" s="81"/>
      <c r="BJ5" s="81"/>
    </row>
    <row r="6" spans="1:62" s="5" customFormat="1">
      <c r="A6" s="486">
        <f>'1-συμβολαια'!A6</f>
        <v>0</v>
      </c>
      <c r="B6" s="393" t="str">
        <f>'1-συμβολαια'!C6</f>
        <v>δανείου  Β.2' ΕΞΟΦΛΗΣΗ ΥΠΟΛΟΙΠΟΥ = 1.635.748δρχ</v>
      </c>
      <c r="C6" s="318" t="str">
        <f>'4-πολλυπρ'!D6</f>
        <v>τραπεζα …??? [= ???</v>
      </c>
      <c r="D6" s="318" t="str">
        <f>'4-πολλυπρ'!I6</f>
        <v>219-67</v>
      </c>
      <c r="E6" s="318"/>
      <c r="F6" s="394">
        <f t="shared" si="0"/>
        <v>0</v>
      </c>
      <c r="G6" s="394"/>
      <c r="H6" s="394"/>
      <c r="I6" s="324"/>
      <c r="J6" s="422"/>
      <c r="K6" s="422"/>
      <c r="L6" s="394"/>
      <c r="M6" s="394"/>
      <c r="N6" s="394"/>
      <c r="O6" s="394"/>
      <c r="P6" s="394">
        <f t="shared" si="2"/>
        <v>0</v>
      </c>
      <c r="Q6" s="318"/>
      <c r="R6" s="318"/>
      <c r="S6" s="318"/>
      <c r="T6" s="318"/>
      <c r="U6" s="396"/>
      <c r="V6" s="81"/>
      <c r="W6" s="397" t="s">
        <v>409</v>
      </c>
      <c r="X6" s="81"/>
      <c r="Y6" s="397" t="s">
        <v>9</v>
      </c>
      <c r="Z6" s="398"/>
      <c r="AA6" s="81"/>
      <c r="AB6" s="81"/>
      <c r="AC6" s="81"/>
      <c r="AD6" s="81"/>
      <c r="AE6" s="396"/>
      <c r="AF6" s="81"/>
      <c r="AG6" s="81"/>
      <c r="AH6" s="81"/>
      <c r="AI6" s="81"/>
      <c r="AJ6" s="323"/>
      <c r="AK6" s="323"/>
      <c r="AL6" s="323"/>
      <c r="AM6" s="81"/>
      <c r="AN6" s="81"/>
      <c r="AO6" s="81"/>
      <c r="AP6" s="397" t="s">
        <v>409</v>
      </c>
      <c r="AQ6" s="81"/>
      <c r="AR6" s="397" t="s">
        <v>9</v>
      </c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396"/>
      <c r="BI6" s="81"/>
      <c r="BJ6" s="81"/>
    </row>
    <row r="7" spans="1:62" s="5" customFormat="1">
      <c r="A7" s="486">
        <f>'1-συμβολαια'!A7</f>
        <v>0</v>
      </c>
      <c r="B7" s="393" t="str">
        <f>'1-συμβολαια'!C7</f>
        <v>υποθήκη δανείου Β' …. ΕΞΑΛΕΙΨΗ</v>
      </c>
      <c r="C7" s="318" t="str">
        <f>'4-πολλυπρ'!D7</f>
        <v>τραπεζα …??? [= ???</v>
      </c>
      <c r="D7" s="318" t="str">
        <f>'4-πολλυπρ'!I7</f>
        <v>219-67</v>
      </c>
      <c r="E7" s="318">
        <v>2</v>
      </c>
      <c r="F7" s="394">
        <f t="shared" si="0"/>
        <v>6.46</v>
      </c>
      <c r="G7" s="394">
        <v>3.23</v>
      </c>
      <c r="H7" s="394">
        <f t="shared" si="1"/>
        <v>9.69</v>
      </c>
      <c r="I7" s="324" t="s">
        <v>507</v>
      </c>
      <c r="J7" s="422" t="s">
        <v>161</v>
      </c>
      <c r="K7" s="422" t="s">
        <v>256</v>
      </c>
      <c r="L7" s="394">
        <v>5.87</v>
      </c>
      <c r="M7" s="394">
        <v>5.87</v>
      </c>
      <c r="N7" s="394">
        <v>1.98</v>
      </c>
      <c r="O7" s="394"/>
      <c r="P7" s="394">
        <f t="shared" si="2"/>
        <v>11.74</v>
      </c>
      <c r="Q7" s="318"/>
      <c r="R7" s="318"/>
      <c r="S7" s="318"/>
      <c r="T7" s="318"/>
      <c r="U7" s="396"/>
      <c r="V7" s="81"/>
      <c r="W7" s="397" t="s">
        <v>409</v>
      </c>
      <c r="X7" s="81"/>
      <c r="Y7" s="397" t="s">
        <v>9</v>
      </c>
      <c r="Z7" s="398"/>
      <c r="AA7" s="81"/>
      <c r="AB7" s="81"/>
      <c r="AC7" s="81"/>
      <c r="AD7" s="81"/>
      <c r="AE7" s="396"/>
      <c r="AF7" s="81"/>
      <c r="AG7" s="81"/>
      <c r="AH7" s="81"/>
      <c r="AI7" s="81"/>
      <c r="AJ7" s="323"/>
      <c r="AK7" s="323"/>
      <c r="AL7" s="323"/>
      <c r="AM7" s="81"/>
      <c r="AN7" s="81"/>
      <c r="AO7" s="81"/>
      <c r="AP7" s="397" t="s">
        <v>409</v>
      </c>
      <c r="AQ7" s="81"/>
      <c r="AR7" s="397" t="s">
        <v>9</v>
      </c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396"/>
      <c r="BI7" s="81"/>
      <c r="BJ7" s="81"/>
    </row>
    <row r="8" spans="1:62" s="5" customFormat="1">
      <c r="A8" s="486">
        <f>'1-συμβολαια'!A8</f>
        <v>0</v>
      </c>
      <c r="B8" s="393" t="str">
        <f>'1-συμβολαια'!C8</f>
        <v>τόκοι δανείου Β' [προυπολογιζόμενοι VS πληρωμένοι]</v>
      </c>
      <c r="C8" s="318" t="str">
        <f>'4-πολλυπρ'!D8</f>
        <v>τραπεζα …??? [= ???</v>
      </c>
      <c r="D8" s="318" t="str">
        <f>'4-πολλυπρ'!I8</f>
        <v>219-67</v>
      </c>
      <c r="E8" s="318"/>
      <c r="F8" s="394">
        <f t="shared" si="0"/>
        <v>0</v>
      </c>
      <c r="G8" s="394"/>
      <c r="H8" s="394"/>
      <c r="I8" s="324"/>
      <c r="J8" s="422"/>
      <c r="K8" s="422"/>
      <c r="L8" s="394"/>
      <c r="M8" s="394"/>
      <c r="N8" s="394"/>
      <c r="O8" s="394"/>
      <c r="P8" s="394">
        <f t="shared" si="2"/>
        <v>0</v>
      </c>
      <c r="Q8" s="318"/>
      <c r="R8" s="318"/>
      <c r="S8" s="318"/>
      <c r="T8" s="318"/>
      <c r="U8" s="396"/>
      <c r="V8" s="81"/>
      <c r="W8" s="397" t="s">
        <v>409</v>
      </c>
      <c r="X8" s="81"/>
      <c r="Y8" s="397" t="s">
        <v>9</v>
      </c>
      <c r="Z8" s="398"/>
      <c r="AA8" s="81"/>
      <c r="AB8" s="81"/>
      <c r="AC8" s="81"/>
      <c r="AD8" s="81"/>
      <c r="AE8" s="396"/>
      <c r="AF8" s="81"/>
      <c r="AG8" s="81"/>
      <c r="AH8" s="81"/>
      <c r="AI8" s="81"/>
      <c r="AJ8" s="323"/>
      <c r="AK8" s="323"/>
      <c r="AL8" s="323"/>
      <c r="AM8" s="81"/>
      <c r="AN8" s="81"/>
      <c r="AO8" s="81"/>
      <c r="AP8" s="397" t="s">
        <v>409</v>
      </c>
      <c r="AQ8" s="81"/>
      <c r="AR8" s="397" t="s">
        <v>9</v>
      </c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396"/>
      <c r="BI8" s="81"/>
      <c r="BJ8" s="81"/>
    </row>
    <row r="9" spans="1:62" s="5" customFormat="1">
      <c r="A9" s="486">
        <f>'1-συμβολαια'!A9</f>
        <v>0</v>
      </c>
      <c r="B9" s="393" t="str">
        <f>'1-συμβολαια'!C9</f>
        <v>τόκοι δανείου Β.2' [προυπολογιζόμενοι VS πληρωμένοι]</v>
      </c>
      <c r="C9" s="318" t="str">
        <f>'4-πολλυπρ'!D9</f>
        <v>τραπεζα …??? [= ???</v>
      </c>
      <c r="D9" s="318" t="str">
        <f>'4-πολλυπρ'!I9</f>
        <v>219-67</v>
      </c>
      <c r="E9" s="318"/>
      <c r="F9" s="394">
        <f t="shared" si="0"/>
        <v>0</v>
      </c>
      <c r="G9" s="394"/>
      <c r="H9" s="394"/>
      <c r="I9" s="324"/>
      <c r="J9" s="422"/>
      <c r="K9" s="422"/>
      <c r="L9" s="394"/>
      <c r="M9" s="394"/>
      <c r="N9" s="394"/>
      <c r="O9" s="394"/>
      <c r="P9" s="394">
        <f t="shared" si="2"/>
        <v>0</v>
      </c>
      <c r="Q9" s="318"/>
      <c r="R9" s="318"/>
      <c r="S9" s="318"/>
      <c r="T9" s="318"/>
      <c r="U9" s="396"/>
      <c r="V9" s="81"/>
      <c r="W9" s="397" t="s">
        <v>409</v>
      </c>
      <c r="X9" s="81"/>
      <c r="Y9" s="397" t="s">
        <v>9</v>
      </c>
      <c r="Z9" s="398"/>
      <c r="AA9" s="81"/>
      <c r="AB9" s="81"/>
      <c r="AC9" s="81"/>
      <c r="AD9" s="81"/>
      <c r="AE9" s="396"/>
      <c r="AF9" s="81"/>
      <c r="AG9" s="81"/>
      <c r="AH9" s="81"/>
      <c r="AI9" s="81"/>
      <c r="AJ9" s="323"/>
      <c r="AK9" s="323"/>
      <c r="AL9" s="323"/>
      <c r="AM9" s="81"/>
      <c r="AN9" s="81"/>
      <c r="AO9" s="81"/>
      <c r="AP9" s="397" t="s">
        <v>409</v>
      </c>
      <c r="AQ9" s="81"/>
      <c r="AR9" s="397" t="s">
        <v>9</v>
      </c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396"/>
      <c r="BI9" s="81"/>
      <c r="BJ9" s="81"/>
    </row>
    <row r="10" spans="1:62" s="5" customFormat="1">
      <c r="A10" s="33"/>
      <c r="B10" s="98"/>
      <c r="C10" s="16"/>
      <c r="D10" s="16"/>
      <c r="E10" s="16"/>
      <c r="F10" s="42"/>
      <c r="G10" s="42"/>
      <c r="H10" s="42"/>
      <c r="I10" s="271"/>
      <c r="J10" s="170"/>
      <c r="K10" s="170"/>
      <c r="L10" s="42"/>
      <c r="M10" s="42"/>
      <c r="N10" s="42"/>
      <c r="O10" s="42"/>
      <c r="P10" s="42"/>
      <c r="Q10" s="16"/>
      <c r="R10" s="16"/>
      <c r="S10" s="16"/>
      <c r="T10" s="16"/>
      <c r="U10" s="31"/>
      <c r="V10" s="26"/>
      <c r="W10" s="35"/>
      <c r="X10" s="26"/>
      <c r="Y10" s="35"/>
      <c r="Z10" s="38"/>
      <c r="AA10" s="26"/>
      <c r="AB10" s="26"/>
      <c r="AC10" s="26"/>
      <c r="AD10" s="26"/>
      <c r="AE10" s="31"/>
      <c r="AF10" s="26"/>
      <c r="AG10" s="26"/>
      <c r="AH10" s="26"/>
      <c r="AI10" s="26"/>
      <c r="AJ10" s="13"/>
      <c r="AK10" s="13"/>
      <c r="AL10" s="13"/>
      <c r="AM10" s="26"/>
      <c r="AN10" s="26"/>
      <c r="AO10" s="26"/>
      <c r="AP10" s="35"/>
      <c r="AQ10" s="26"/>
      <c r="AR10" s="35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31"/>
      <c r="BI10" s="26"/>
      <c r="BJ10" s="26"/>
    </row>
    <row r="11" spans="1:62" s="5" customFormat="1">
      <c r="A11" s="486" t="str">
        <f>'1-συμβολαια'!A11</f>
        <v>3ο</v>
      </c>
      <c r="B11" s="393" t="str">
        <f>'1-συμβολαια'!C11</f>
        <v>δανείου  Α' ΕΞΟΦΛΗΣΗ [= 6.000.000δρχ</v>
      </c>
      <c r="C11" s="318" t="str">
        <f>'4-πολλυπρ'!D11</f>
        <v>τραπεζα …??? [= ???</v>
      </c>
      <c r="D11" s="318" t="str">
        <f>'4-πολλυπρ'!I11</f>
        <v>219-67</v>
      </c>
      <c r="E11" s="318"/>
      <c r="F11" s="394">
        <f t="shared" si="0"/>
        <v>0</v>
      </c>
      <c r="G11" s="394"/>
      <c r="H11" s="394"/>
      <c r="I11" s="324"/>
      <c r="J11" s="422"/>
      <c r="K11" s="422"/>
      <c r="L11" s="394"/>
      <c r="M11" s="394"/>
      <c r="N11" s="394"/>
      <c r="O11" s="394"/>
      <c r="P11" s="394">
        <f t="shared" si="2"/>
        <v>0</v>
      </c>
      <c r="Q11" s="318"/>
      <c r="R11" s="318"/>
      <c r="S11" s="318"/>
      <c r="T11" s="318"/>
      <c r="U11" s="396"/>
      <c r="V11" s="81"/>
      <c r="W11" s="397" t="s">
        <v>409</v>
      </c>
      <c r="X11" s="81"/>
      <c r="Y11" s="397" t="s">
        <v>9</v>
      </c>
      <c r="Z11" s="398"/>
      <c r="AA11" s="81"/>
      <c r="AB11" s="81"/>
      <c r="AC11" s="81"/>
      <c r="AD11" s="81"/>
      <c r="AE11" s="396"/>
      <c r="AF11" s="81"/>
      <c r="AG11" s="81"/>
      <c r="AH11" s="81"/>
      <c r="AI11" s="81"/>
      <c r="AJ11" s="323"/>
      <c r="AK11" s="323"/>
      <c r="AL11" s="323"/>
      <c r="AM11" s="81"/>
      <c r="AN11" s="81"/>
      <c r="AO11" s="81"/>
      <c r="AP11" s="397" t="s">
        <v>409</v>
      </c>
      <c r="AQ11" s="81"/>
      <c r="AR11" s="397" t="s">
        <v>9</v>
      </c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396"/>
      <c r="BI11" s="81"/>
      <c r="BJ11" s="81"/>
    </row>
    <row r="12" spans="1:62" s="5" customFormat="1">
      <c r="A12" s="486">
        <f>'1-συμβολαια'!A12</f>
        <v>0</v>
      </c>
      <c r="B12" s="393" t="str">
        <f>'1-συμβολαια'!C12</f>
        <v xml:space="preserve">δανείου Α.2' ΕΞΟΦΛΗΣΗ ΥΠΟΛΟΙΠΟΥ = 3.119.471δρχ </v>
      </c>
      <c r="C12" s="318" t="str">
        <f>'4-πολλυπρ'!D12</f>
        <v>τραπεζα …??? [= ???</v>
      </c>
      <c r="D12" s="318" t="str">
        <f>'4-πολλυπρ'!I12</f>
        <v>219-67</v>
      </c>
      <c r="E12" s="318"/>
      <c r="F12" s="394">
        <f t="shared" si="0"/>
        <v>0</v>
      </c>
      <c r="G12" s="394"/>
      <c r="H12" s="394"/>
      <c r="I12" s="324"/>
      <c r="J12" s="422"/>
      <c r="K12" s="422"/>
      <c r="L12" s="394"/>
      <c r="M12" s="394"/>
      <c r="N12" s="394"/>
      <c r="O12" s="394"/>
      <c r="P12" s="394">
        <f t="shared" si="2"/>
        <v>0</v>
      </c>
      <c r="Q12" s="318"/>
      <c r="R12" s="318"/>
      <c r="S12" s="318"/>
      <c r="T12" s="318"/>
      <c r="U12" s="396"/>
      <c r="V12" s="81"/>
      <c r="W12" s="397" t="s">
        <v>409</v>
      </c>
      <c r="X12" s="81"/>
      <c r="Y12" s="397" t="s">
        <v>9</v>
      </c>
      <c r="Z12" s="398"/>
      <c r="AA12" s="81"/>
      <c r="AB12" s="81"/>
      <c r="AC12" s="81"/>
      <c r="AD12" s="81"/>
      <c r="AE12" s="396"/>
      <c r="AF12" s="81"/>
      <c r="AG12" s="81"/>
      <c r="AH12" s="81"/>
      <c r="AI12" s="81"/>
      <c r="AJ12" s="323"/>
      <c r="AK12" s="323"/>
      <c r="AL12" s="323"/>
      <c r="AM12" s="81"/>
      <c r="AN12" s="81"/>
      <c r="AO12" s="81"/>
      <c r="AP12" s="397" t="s">
        <v>409</v>
      </c>
      <c r="AQ12" s="81"/>
      <c r="AR12" s="397" t="s">
        <v>9</v>
      </c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396"/>
      <c r="BI12" s="81"/>
      <c r="BJ12" s="81"/>
    </row>
    <row r="13" spans="1:62" s="5" customFormat="1">
      <c r="A13" s="486">
        <f>'1-συμβολαια'!A13</f>
        <v>0</v>
      </c>
      <c r="B13" s="393" t="str">
        <f>'1-συμβολαια'!C13</f>
        <v>υποθήκη δανείου Α' …. ΕΞΑΛΕΙΨΗ</v>
      </c>
      <c r="C13" s="318" t="str">
        <f>'4-πολλυπρ'!D13</f>
        <v>τραπεζα …??? [= ???</v>
      </c>
      <c r="D13" s="318" t="str">
        <f>'4-πολλυπρ'!I13</f>
        <v>219-67</v>
      </c>
      <c r="E13" s="318">
        <v>2</v>
      </c>
      <c r="F13" s="394">
        <f t="shared" si="0"/>
        <v>6.46</v>
      </c>
      <c r="G13" s="394">
        <v>3.23</v>
      </c>
      <c r="H13" s="394">
        <f t="shared" si="1"/>
        <v>9.69</v>
      </c>
      <c r="I13" s="324" t="s">
        <v>507</v>
      </c>
      <c r="J13" s="422" t="s">
        <v>161</v>
      </c>
      <c r="K13" s="422" t="s">
        <v>256</v>
      </c>
      <c r="L13" s="394">
        <v>5.87</v>
      </c>
      <c r="M13" s="394">
        <v>5.87</v>
      </c>
      <c r="N13" s="394">
        <v>1.98</v>
      </c>
      <c r="O13" s="394"/>
      <c r="P13" s="394">
        <f t="shared" si="2"/>
        <v>11.74</v>
      </c>
      <c r="Q13" s="318"/>
      <c r="R13" s="318"/>
      <c r="S13" s="318"/>
      <c r="T13" s="318"/>
      <c r="U13" s="396"/>
      <c r="V13" s="81"/>
      <c r="W13" s="397" t="s">
        <v>409</v>
      </c>
      <c r="X13" s="81"/>
      <c r="Y13" s="397" t="s">
        <v>9</v>
      </c>
      <c r="Z13" s="398"/>
      <c r="AA13" s="81"/>
      <c r="AB13" s="81"/>
      <c r="AC13" s="81"/>
      <c r="AD13" s="81"/>
      <c r="AE13" s="396"/>
      <c r="AF13" s="81"/>
      <c r="AG13" s="81"/>
      <c r="AH13" s="81"/>
      <c r="AI13" s="81"/>
      <c r="AJ13" s="323"/>
      <c r="AK13" s="323"/>
      <c r="AL13" s="323"/>
      <c r="AM13" s="81"/>
      <c r="AN13" s="81"/>
      <c r="AO13" s="81"/>
      <c r="AP13" s="397" t="s">
        <v>409</v>
      </c>
      <c r="AQ13" s="81"/>
      <c r="AR13" s="397" t="s">
        <v>9</v>
      </c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396"/>
      <c r="BI13" s="81"/>
      <c r="BJ13" s="81"/>
    </row>
    <row r="14" spans="1:62" s="5" customFormat="1">
      <c r="A14" s="486">
        <f>'1-συμβολαια'!A14</f>
        <v>0</v>
      </c>
      <c r="B14" s="393" t="str">
        <f>'1-συμβολαια'!C14</f>
        <v>τόκοι δανείου Α' [προυπολογιζόμενοι VS πληρωμένοι]</v>
      </c>
      <c r="C14" s="318" t="str">
        <f>'4-πολλυπρ'!D14</f>
        <v>τραπεζα …??? [= ???</v>
      </c>
      <c r="D14" s="318" t="str">
        <f>'4-πολλυπρ'!I14</f>
        <v>219-67</v>
      </c>
      <c r="E14" s="318"/>
      <c r="F14" s="394">
        <f t="shared" si="0"/>
        <v>0</v>
      </c>
      <c r="G14" s="394"/>
      <c r="H14" s="394"/>
      <c r="I14" s="324"/>
      <c r="J14" s="422"/>
      <c r="K14" s="422"/>
      <c r="L14" s="394"/>
      <c r="M14" s="394"/>
      <c r="N14" s="394"/>
      <c r="O14" s="394"/>
      <c r="P14" s="394">
        <f t="shared" si="2"/>
        <v>0</v>
      </c>
      <c r="Q14" s="318"/>
      <c r="R14" s="318"/>
      <c r="S14" s="318"/>
      <c r="T14" s="318"/>
      <c r="U14" s="396"/>
      <c r="V14" s="81"/>
      <c r="W14" s="397" t="s">
        <v>409</v>
      </c>
      <c r="X14" s="81"/>
      <c r="Y14" s="397" t="s">
        <v>9</v>
      </c>
      <c r="Z14" s="398"/>
      <c r="AA14" s="81"/>
      <c r="AB14" s="81"/>
      <c r="AC14" s="81"/>
      <c r="AD14" s="81"/>
      <c r="AE14" s="396"/>
      <c r="AF14" s="81"/>
      <c r="AG14" s="81"/>
      <c r="AH14" s="81"/>
      <c r="AI14" s="81"/>
      <c r="AJ14" s="323"/>
      <c r="AK14" s="323"/>
      <c r="AL14" s="323"/>
      <c r="AM14" s="81"/>
      <c r="AN14" s="81"/>
      <c r="AO14" s="81"/>
      <c r="AP14" s="397" t="s">
        <v>409</v>
      </c>
      <c r="AQ14" s="81"/>
      <c r="AR14" s="397" t="s">
        <v>9</v>
      </c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396"/>
      <c r="BI14" s="81"/>
      <c r="BJ14" s="81"/>
    </row>
    <row r="15" spans="1:62" s="5" customFormat="1">
      <c r="A15" s="486">
        <f>'1-συμβολαια'!A15</f>
        <v>0</v>
      </c>
      <c r="B15" s="393" t="str">
        <f>'1-συμβολαια'!C15</f>
        <v>τόκοι δανείου Α.2' [προυπολογιζόμενοι VS πληρωμένοι]</v>
      </c>
      <c r="C15" s="318" t="str">
        <f>'4-πολλυπρ'!D15</f>
        <v>τραπεζα …??? [= ???</v>
      </c>
      <c r="D15" s="318" t="str">
        <f>'4-πολλυπρ'!I15</f>
        <v>219-67</v>
      </c>
      <c r="E15" s="318"/>
      <c r="F15" s="394">
        <f t="shared" si="0"/>
        <v>0</v>
      </c>
      <c r="G15" s="394"/>
      <c r="H15" s="394"/>
      <c r="I15" s="324"/>
      <c r="J15" s="422"/>
      <c r="K15" s="422"/>
      <c r="L15" s="394"/>
      <c r="M15" s="394"/>
      <c r="N15" s="394"/>
      <c r="O15" s="394"/>
      <c r="P15" s="394">
        <f t="shared" si="2"/>
        <v>0</v>
      </c>
      <c r="Q15" s="318"/>
      <c r="R15" s="318"/>
      <c r="S15" s="318"/>
      <c r="T15" s="318"/>
      <c r="U15" s="396"/>
      <c r="V15" s="81"/>
      <c r="W15" s="397" t="s">
        <v>409</v>
      </c>
      <c r="X15" s="81"/>
      <c r="Y15" s="397" t="s">
        <v>9</v>
      </c>
      <c r="Z15" s="398"/>
      <c r="AA15" s="81"/>
      <c r="AB15" s="81"/>
      <c r="AC15" s="81"/>
      <c r="AD15" s="81"/>
      <c r="AE15" s="396"/>
      <c r="AF15" s="81"/>
      <c r="AG15" s="81"/>
      <c r="AH15" s="81"/>
      <c r="AI15" s="81"/>
      <c r="AJ15" s="323"/>
      <c r="AK15" s="323"/>
      <c r="AL15" s="323"/>
      <c r="AM15" s="81"/>
      <c r="AN15" s="81"/>
      <c r="AO15" s="81"/>
      <c r="AP15" s="397" t="s">
        <v>409</v>
      </c>
      <c r="AQ15" s="81"/>
      <c r="AR15" s="397" t="s">
        <v>9</v>
      </c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396"/>
      <c r="BI15" s="81"/>
      <c r="BJ15" s="81"/>
    </row>
    <row r="16" spans="1:62">
      <c r="A16" s="581" t="s">
        <v>35</v>
      </c>
      <c r="B16" s="582"/>
      <c r="C16" s="582"/>
      <c r="D16" s="583"/>
      <c r="E16" s="75">
        <f>SUM(E3:E15)</f>
        <v>5</v>
      </c>
      <c r="F16" s="75">
        <f>SUM(F3:F15)</f>
        <v>16.149999999999999</v>
      </c>
      <c r="G16" s="75">
        <f>SUM(G3:G15)</f>
        <v>9.69</v>
      </c>
      <c r="H16" s="75">
        <f>SUM(H3:H15)</f>
        <v>25.839999999999996</v>
      </c>
      <c r="I16" s="75"/>
      <c r="J16" s="75"/>
      <c r="K16" s="75"/>
      <c r="L16" s="75">
        <f t="shared" ref="L16:S16" si="3">SUM(L3:L15)</f>
        <v>17.61</v>
      </c>
      <c r="M16" s="75">
        <f t="shared" si="3"/>
        <v>17.61</v>
      </c>
      <c r="N16" s="75">
        <f t="shared" si="3"/>
        <v>5.9399999999999995</v>
      </c>
      <c r="O16" s="75">
        <f t="shared" si="3"/>
        <v>0</v>
      </c>
      <c r="P16" s="75">
        <f t="shared" si="3"/>
        <v>35.22</v>
      </c>
      <c r="Q16" s="75">
        <f t="shared" si="3"/>
        <v>0</v>
      </c>
      <c r="R16" s="75">
        <f t="shared" si="3"/>
        <v>0</v>
      </c>
      <c r="S16" s="75">
        <f t="shared" si="3"/>
        <v>0</v>
      </c>
      <c r="T16" s="75"/>
      <c r="U16" s="164"/>
      <c r="V16" s="75">
        <f>SUM(V3:V15)</f>
        <v>0</v>
      </c>
      <c r="W16" s="75"/>
      <c r="X16" s="75">
        <f>SUM(X3:X15)</f>
        <v>0</v>
      </c>
      <c r="Y16" s="75"/>
      <c r="Z16" s="75">
        <f>SUM(Z3:Z15)</f>
        <v>0</v>
      </c>
      <c r="AA16" s="75">
        <f>SUM(AA3:AA15)</f>
        <v>0</v>
      </c>
      <c r="AB16" s="75">
        <f>SUM(AB3:AB15)</f>
        <v>0</v>
      </c>
      <c r="AC16" s="75">
        <f>SUM(AC3:AC15)</f>
        <v>0</v>
      </c>
      <c r="AD16" s="75">
        <f>SUM(AD3:AD15)</f>
        <v>0</v>
      </c>
      <c r="AE16" s="164"/>
      <c r="AF16" s="75"/>
      <c r="AG16" s="75"/>
      <c r="AH16" s="75"/>
      <c r="AI16" s="75"/>
      <c r="AJ16" s="79">
        <f>SUM(AJ3:AJ15)</f>
        <v>0</v>
      </c>
      <c r="AK16" s="79">
        <f>SUM(AK3:AK15)</f>
        <v>0</v>
      </c>
      <c r="AL16" s="79"/>
      <c r="AM16" s="75">
        <f>SUM(AM3:AM15)</f>
        <v>0</v>
      </c>
      <c r="AN16" s="75">
        <f>SUM(AN3:AN15)</f>
        <v>0</v>
      </c>
      <c r="AO16" s="75">
        <f>SUM(AO3:AO15)</f>
        <v>0</v>
      </c>
      <c r="AP16" s="75"/>
      <c r="AQ16" s="75">
        <f t="shared" ref="AQ16:BJ16" si="4">SUM(AQ3:AQ15)</f>
        <v>0</v>
      </c>
      <c r="AR16" s="75">
        <f t="shared" si="4"/>
        <v>0</v>
      </c>
      <c r="AS16" s="75">
        <f t="shared" si="4"/>
        <v>0</v>
      </c>
      <c r="AT16" s="75">
        <f t="shared" si="4"/>
        <v>0</v>
      </c>
      <c r="AU16" s="75">
        <f t="shared" si="4"/>
        <v>0</v>
      </c>
      <c r="AV16" s="75">
        <f t="shared" si="4"/>
        <v>0</v>
      </c>
      <c r="AW16" s="75">
        <f t="shared" si="4"/>
        <v>0</v>
      </c>
      <c r="AX16" s="75">
        <f t="shared" si="4"/>
        <v>0</v>
      </c>
      <c r="AY16" s="75">
        <f t="shared" si="4"/>
        <v>0</v>
      </c>
      <c r="AZ16" s="75">
        <f t="shared" si="4"/>
        <v>0</v>
      </c>
      <c r="BA16" s="75">
        <f t="shared" si="4"/>
        <v>0</v>
      </c>
      <c r="BB16" s="75">
        <f t="shared" si="4"/>
        <v>0</v>
      </c>
      <c r="BC16" s="75">
        <f t="shared" si="4"/>
        <v>0</v>
      </c>
      <c r="BD16" s="75">
        <f t="shared" si="4"/>
        <v>0</v>
      </c>
      <c r="BE16" s="75">
        <f t="shared" si="4"/>
        <v>0</v>
      </c>
      <c r="BF16" s="75">
        <f t="shared" si="4"/>
        <v>0</v>
      </c>
      <c r="BG16" s="75">
        <f t="shared" si="4"/>
        <v>0</v>
      </c>
      <c r="BH16" s="75">
        <f t="shared" si="4"/>
        <v>0</v>
      </c>
      <c r="BI16" s="75">
        <f t="shared" si="4"/>
        <v>0</v>
      </c>
      <c r="BJ16" s="75">
        <f t="shared" si="4"/>
        <v>0</v>
      </c>
    </row>
    <row r="17" spans="5:36">
      <c r="L17" s="166" t="s">
        <v>495</v>
      </c>
    </row>
    <row r="18" spans="5:36">
      <c r="G18" s="166"/>
      <c r="H18" s="366" t="s">
        <v>99</v>
      </c>
      <c r="I18" s="166"/>
      <c r="J18" s="166"/>
      <c r="K18" s="166"/>
      <c r="L18" s="166"/>
      <c r="M18" s="166" t="s">
        <v>495</v>
      </c>
      <c r="N18" s="144"/>
      <c r="O18" s="144"/>
      <c r="T18" s="218" t="s">
        <v>163</v>
      </c>
      <c r="AA18" s="2"/>
      <c r="AC18" s="144" t="s">
        <v>100</v>
      </c>
      <c r="AJ18" s="262" t="s">
        <v>101</v>
      </c>
    </row>
    <row r="19" spans="5:36">
      <c r="F19" s="3"/>
      <c r="G19" s="3"/>
      <c r="H19" s="3"/>
      <c r="I19" s="191" t="s">
        <v>157</v>
      </c>
      <c r="J19" s="146"/>
      <c r="K19" s="146"/>
      <c r="M19" s="166"/>
      <c r="N19" s="3"/>
      <c r="O19" s="3"/>
      <c r="P19" s="3"/>
      <c r="Q19" s="191" t="s">
        <v>164</v>
      </c>
      <c r="T19" s="9"/>
    </row>
    <row r="20" spans="5:36">
      <c r="E20" s="145"/>
      <c r="F20" s="3"/>
      <c r="G20" s="3"/>
      <c r="H20" s="3"/>
      <c r="I20" s="146" t="s">
        <v>158</v>
      </c>
      <c r="J20" s="146"/>
      <c r="K20" s="146"/>
      <c r="M20" s="3"/>
      <c r="N20" s="3"/>
      <c r="O20" s="3"/>
      <c r="P20" s="3"/>
      <c r="R20" s="146" t="s">
        <v>165</v>
      </c>
      <c r="T20" s="9"/>
    </row>
    <row r="21" spans="5:36">
      <c r="I21" s="146"/>
      <c r="J21" s="191" t="s">
        <v>159</v>
      </c>
      <c r="K21" s="146"/>
      <c r="N21" s="186" t="s">
        <v>494</v>
      </c>
      <c r="O21" s="4"/>
      <c r="T21" s="9"/>
    </row>
    <row r="22" spans="5:36">
      <c r="J22" s="146" t="s">
        <v>160</v>
      </c>
      <c r="K22" s="146"/>
      <c r="O22" s="2" t="s">
        <v>510</v>
      </c>
      <c r="T22" s="9"/>
    </row>
    <row r="23" spans="5:36">
      <c r="K23" s="191" t="s">
        <v>263</v>
      </c>
      <c r="T23" s="9"/>
    </row>
    <row r="24" spans="5:36">
      <c r="K24" s="146" t="s">
        <v>264</v>
      </c>
      <c r="T24" s="9"/>
    </row>
    <row r="25" spans="5:36">
      <c r="K25" s="146"/>
      <c r="T25" s="9"/>
    </row>
  </sheetData>
  <mergeCells count="15">
    <mergeCell ref="A16:D16"/>
    <mergeCell ref="A1:D1"/>
    <mergeCell ref="AE1:AM1"/>
    <mergeCell ref="E1:R1"/>
    <mergeCell ref="S1:S2"/>
    <mergeCell ref="AC2:AD2"/>
    <mergeCell ref="AL2:AM2"/>
    <mergeCell ref="I2:K2"/>
    <mergeCell ref="T1:T2"/>
    <mergeCell ref="AN1:AW1"/>
    <mergeCell ref="AX1:BE1"/>
    <mergeCell ref="BF1:BJ1"/>
    <mergeCell ref="U1:AD1"/>
    <mergeCell ref="BI2:BJ2"/>
    <mergeCell ref="AV2:AW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pane ySplit="2" topLeftCell="A3" activePane="bottomLeft" state="frozen"/>
      <selection pane="bottomLeft" activeCell="B37" sqref="B37"/>
    </sheetView>
  </sheetViews>
  <sheetFormatPr defaultRowHeight="11.25"/>
  <cols>
    <col min="1" max="1" width="10.5703125" style="8" bestFit="1" customWidth="1"/>
    <col min="2" max="2" width="81.85546875" style="99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62.7109375" style="90" customWidth="1"/>
    <col min="18" max="18" width="7.42578125" style="90" customWidth="1"/>
    <col min="19" max="19" width="11.42578125" style="90" bestFit="1" customWidth="1"/>
    <col min="20" max="20" width="13" style="90" customWidth="1"/>
    <col min="21" max="16384" width="9.140625" style="3"/>
  </cols>
  <sheetData>
    <row r="1" spans="1:20" s="4" customFormat="1" ht="15.75" customHeight="1">
      <c r="A1" s="601" t="s">
        <v>31</v>
      </c>
      <c r="B1" s="602"/>
      <c r="C1" s="602"/>
      <c r="D1" s="603"/>
      <c r="E1" s="604" t="s">
        <v>168</v>
      </c>
      <c r="F1" s="605"/>
      <c r="G1" s="605"/>
      <c r="H1" s="605"/>
      <c r="I1" s="596" t="s">
        <v>162</v>
      </c>
      <c r="J1" s="596"/>
      <c r="K1" s="596"/>
      <c r="L1" s="596"/>
      <c r="M1" s="596"/>
      <c r="N1" s="596"/>
      <c r="O1" s="596"/>
      <c r="P1" s="596"/>
      <c r="Q1" s="597" t="s">
        <v>29</v>
      </c>
      <c r="R1" s="598"/>
      <c r="S1" s="598"/>
      <c r="T1" s="598"/>
    </row>
    <row r="2" spans="1:20" s="4" customFormat="1" ht="23.25" thickBot="1">
      <c r="A2" s="10" t="s">
        <v>19</v>
      </c>
      <c r="B2" s="182" t="s">
        <v>0</v>
      </c>
      <c r="C2" s="61" t="s">
        <v>11</v>
      </c>
      <c r="D2" s="183" t="s">
        <v>12</v>
      </c>
      <c r="E2" s="47" t="s">
        <v>496</v>
      </c>
      <c r="F2" s="606" t="s">
        <v>29</v>
      </c>
      <c r="G2" s="607"/>
      <c r="H2" s="608"/>
      <c r="I2" s="47" t="s">
        <v>88</v>
      </c>
      <c r="J2" s="61" t="s">
        <v>89</v>
      </c>
      <c r="K2" s="61" t="s">
        <v>91</v>
      </c>
      <c r="L2" s="47" t="s">
        <v>237</v>
      </c>
      <c r="M2" s="47" t="s">
        <v>238</v>
      </c>
      <c r="N2" s="47" t="s">
        <v>239</v>
      </c>
      <c r="O2" s="47"/>
      <c r="P2" s="61" t="s">
        <v>47</v>
      </c>
      <c r="Q2" s="599"/>
      <c r="R2" s="600"/>
      <c r="S2" s="600"/>
      <c r="T2" s="600"/>
    </row>
    <row r="3" spans="1:20">
      <c r="A3" s="33">
        <f>'1-συμβολαια'!A3</f>
        <v>2774</v>
      </c>
      <c r="B3" s="98" t="str">
        <f>'1-συμβολαια'!C3</f>
        <v>κατασχέσεως ΑΡΣΗ για δάνειο Β.2'  [1.635.748δρχ = 4.800,44€]</v>
      </c>
      <c r="C3" s="16" t="str">
        <f>'4-πολλυπρ'!D3</f>
        <v>τραπεζα …??? [= ???</v>
      </c>
      <c r="D3" s="16" t="str">
        <f>'4-πολλυπρ'!I3</f>
        <v>219-67</v>
      </c>
      <c r="E3" s="42"/>
      <c r="F3" s="170"/>
      <c r="G3" s="170"/>
      <c r="H3" s="42"/>
      <c r="I3" s="42"/>
      <c r="J3" s="42"/>
      <c r="K3" s="367"/>
      <c r="L3" s="42"/>
      <c r="M3" s="42"/>
      <c r="N3" s="42"/>
      <c r="O3" s="42"/>
      <c r="P3" s="42">
        <f t="shared" ref="P3:P15" si="0">I3+J3+L3+M3+N3+O3</f>
        <v>0</v>
      </c>
      <c r="Q3" s="157"/>
      <c r="R3" s="157"/>
      <c r="S3" s="184"/>
      <c r="T3" s="89"/>
    </row>
    <row r="4" spans="1:20">
      <c r="A4" s="33"/>
      <c r="B4" s="98"/>
      <c r="C4" s="16"/>
      <c r="D4" s="16"/>
      <c r="E4" s="42"/>
      <c r="F4" s="170"/>
      <c r="G4" s="170"/>
      <c r="H4" s="42"/>
      <c r="I4" s="42"/>
      <c r="J4" s="42"/>
      <c r="K4" s="367"/>
      <c r="L4" s="42"/>
      <c r="M4" s="42"/>
      <c r="N4" s="42"/>
      <c r="O4" s="42"/>
      <c r="P4" s="42"/>
      <c r="Q4" s="157"/>
      <c r="R4" s="157"/>
      <c r="S4" s="184"/>
      <c r="T4" s="89"/>
    </row>
    <row r="5" spans="1:20">
      <c r="A5" s="33" t="str">
        <f>'1-συμβολαια'!A5</f>
        <v>2ο</v>
      </c>
      <c r="B5" s="98" t="str">
        <f>'1-συμβολαια'!C5</f>
        <v>δανείου  Β' ΕΞΟΦΛΗΣΗ [= 2.500.000δρχ</v>
      </c>
      <c r="C5" s="16" t="str">
        <f>'4-πολλυπρ'!D5</f>
        <v>τραπεζα …??? [= ???</v>
      </c>
      <c r="D5" s="16" t="str">
        <f>'4-πολλυπρ'!I5</f>
        <v>219-67</v>
      </c>
      <c r="E5" s="42"/>
      <c r="F5" s="170"/>
      <c r="G5" s="170"/>
      <c r="H5" s="42"/>
      <c r="I5" s="42"/>
      <c r="J5" s="42"/>
      <c r="K5" s="367"/>
      <c r="L5" s="42"/>
      <c r="M5" s="42"/>
      <c r="N5" s="42"/>
      <c r="O5" s="42"/>
      <c r="P5" s="42">
        <f t="shared" si="0"/>
        <v>0</v>
      </c>
      <c r="Q5" s="157"/>
      <c r="R5" s="157"/>
      <c r="S5" s="184"/>
      <c r="T5" s="89"/>
    </row>
    <row r="6" spans="1:20">
      <c r="A6" s="33">
        <f>'1-συμβολαια'!A6</f>
        <v>0</v>
      </c>
      <c r="B6" s="98" t="str">
        <f>'1-συμβολαια'!C6</f>
        <v>δανείου  Β.2' ΕΞΟΦΛΗΣΗ ΥΠΟΛΟΙΠΟΥ = 1.635.748δρχ</v>
      </c>
      <c r="C6" s="16" t="str">
        <f>'4-πολλυπρ'!D6</f>
        <v>τραπεζα …??? [= ???</v>
      </c>
      <c r="D6" s="16" t="str">
        <f>'4-πολλυπρ'!I6</f>
        <v>219-67</v>
      </c>
      <c r="E6" s="42"/>
      <c r="F6" s="170"/>
      <c r="G6" s="170"/>
      <c r="H6" s="42"/>
      <c r="I6" s="42"/>
      <c r="J6" s="42"/>
      <c r="K6" s="367"/>
      <c r="L6" s="42"/>
      <c r="M6" s="42"/>
      <c r="N6" s="42"/>
      <c r="O6" s="42"/>
      <c r="P6" s="42">
        <f t="shared" si="0"/>
        <v>0</v>
      </c>
      <c r="Q6" s="157"/>
      <c r="R6" s="157"/>
      <c r="S6" s="184"/>
      <c r="T6" s="89"/>
    </row>
    <row r="7" spans="1:20">
      <c r="A7" s="33">
        <f>'1-συμβολαια'!A7</f>
        <v>0</v>
      </c>
      <c r="B7" s="98" t="str">
        <f>'1-συμβολαια'!C7</f>
        <v>υποθήκη δανείου Β' …. ΕΞΑΛΕΙΨΗ</v>
      </c>
      <c r="C7" s="16" t="str">
        <f>'4-πολλυπρ'!D7</f>
        <v>τραπεζα …??? [= ???</v>
      </c>
      <c r="D7" s="16" t="str">
        <f>'4-πολλυπρ'!I7</f>
        <v>219-67</v>
      </c>
      <c r="E7" s="42"/>
      <c r="F7" s="170"/>
      <c r="G7" s="170"/>
      <c r="H7" s="42"/>
      <c r="I7" s="42"/>
      <c r="J7" s="42"/>
      <c r="K7" s="367"/>
      <c r="L7" s="42"/>
      <c r="M7" s="42"/>
      <c r="N7" s="42"/>
      <c r="O7" s="42"/>
      <c r="P7" s="42">
        <f t="shared" si="0"/>
        <v>0</v>
      </c>
      <c r="Q7" s="157"/>
      <c r="R7" s="157"/>
      <c r="S7" s="184"/>
      <c r="T7" s="89"/>
    </row>
    <row r="8" spans="1:20">
      <c r="A8" s="33">
        <f>'1-συμβολαια'!A8</f>
        <v>0</v>
      </c>
      <c r="B8" s="98" t="str">
        <f>'1-συμβολαια'!C8</f>
        <v>τόκοι δανείου Β' [προυπολογιζόμενοι VS πληρωμένοι]</v>
      </c>
      <c r="C8" s="16" t="str">
        <f>'4-πολλυπρ'!D8</f>
        <v>τραπεζα …??? [= ???</v>
      </c>
      <c r="D8" s="16" t="str">
        <f>'4-πολλυπρ'!I8</f>
        <v>219-67</v>
      </c>
      <c r="E8" s="42"/>
      <c r="F8" s="170"/>
      <c r="G8" s="170"/>
      <c r="H8" s="42"/>
      <c r="I8" s="42"/>
      <c r="J8" s="42"/>
      <c r="K8" s="367"/>
      <c r="L8" s="42"/>
      <c r="M8" s="42"/>
      <c r="N8" s="42"/>
      <c r="O8" s="42"/>
      <c r="P8" s="42">
        <f t="shared" si="0"/>
        <v>0</v>
      </c>
      <c r="Q8" s="157"/>
      <c r="R8" s="157"/>
      <c r="S8" s="184"/>
      <c r="T8" s="89"/>
    </row>
    <row r="9" spans="1:20">
      <c r="A9" s="33">
        <f>'1-συμβολαια'!A9</f>
        <v>0</v>
      </c>
      <c r="B9" s="98" t="str">
        <f>'1-συμβολαια'!C9</f>
        <v>τόκοι δανείου Β.2' [προυπολογιζόμενοι VS πληρωμένοι]</v>
      </c>
      <c r="C9" s="16" t="str">
        <f>'4-πολλυπρ'!D9</f>
        <v>τραπεζα …??? [= ???</v>
      </c>
      <c r="D9" s="16" t="str">
        <f>'4-πολλυπρ'!I9</f>
        <v>219-67</v>
      </c>
      <c r="E9" s="42"/>
      <c r="F9" s="170"/>
      <c r="G9" s="170"/>
      <c r="H9" s="42"/>
      <c r="I9" s="42"/>
      <c r="J9" s="42"/>
      <c r="K9" s="367"/>
      <c r="L9" s="42"/>
      <c r="M9" s="42"/>
      <c r="N9" s="42"/>
      <c r="O9" s="42"/>
      <c r="P9" s="42">
        <f t="shared" si="0"/>
        <v>0</v>
      </c>
      <c r="Q9" s="157"/>
      <c r="R9" s="157"/>
      <c r="S9" s="184"/>
      <c r="T9" s="89"/>
    </row>
    <row r="10" spans="1:20">
      <c r="A10" s="33"/>
      <c r="B10" s="98"/>
      <c r="C10" s="16"/>
      <c r="D10" s="16"/>
      <c r="E10" s="42"/>
      <c r="F10" s="170"/>
      <c r="G10" s="170"/>
      <c r="H10" s="42"/>
      <c r="I10" s="42"/>
      <c r="J10" s="42"/>
      <c r="K10" s="367"/>
      <c r="L10" s="42"/>
      <c r="M10" s="42"/>
      <c r="N10" s="42"/>
      <c r="O10" s="42"/>
      <c r="P10" s="42"/>
      <c r="Q10" s="157"/>
      <c r="R10" s="157"/>
      <c r="S10" s="184"/>
      <c r="T10" s="89"/>
    </row>
    <row r="11" spans="1:20">
      <c r="A11" s="33" t="str">
        <f>'1-συμβολαια'!A11</f>
        <v>3ο</v>
      </c>
      <c r="B11" s="98" t="str">
        <f>'1-συμβολαια'!C11</f>
        <v>δανείου  Α' ΕΞΟΦΛΗΣΗ [= 6.000.000δρχ</v>
      </c>
      <c r="C11" s="16" t="str">
        <f>'4-πολλυπρ'!D11</f>
        <v>τραπεζα …??? [= ???</v>
      </c>
      <c r="D11" s="16" t="str">
        <f>'4-πολλυπρ'!I11</f>
        <v>219-67</v>
      </c>
      <c r="E11" s="42"/>
      <c r="F11" s="170"/>
      <c r="G11" s="170"/>
      <c r="H11" s="42"/>
      <c r="I11" s="42"/>
      <c r="J11" s="42"/>
      <c r="K11" s="367"/>
      <c r="L11" s="42"/>
      <c r="M11" s="42"/>
      <c r="N11" s="42"/>
      <c r="O11" s="42"/>
      <c r="P11" s="42">
        <f t="shared" si="0"/>
        <v>0</v>
      </c>
      <c r="Q11" s="157"/>
      <c r="R11" s="157"/>
      <c r="S11" s="184"/>
      <c r="T11" s="89"/>
    </row>
    <row r="12" spans="1:20">
      <c r="A12" s="33">
        <f>'1-συμβολαια'!A12</f>
        <v>0</v>
      </c>
      <c r="B12" s="98" t="str">
        <f>'1-συμβολαια'!C12</f>
        <v xml:space="preserve">δανείου Α.2' ΕΞΟΦΛΗΣΗ ΥΠΟΛΟΙΠΟΥ = 3.119.471δρχ </v>
      </c>
      <c r="C12" s="16" t="str">
        <f>'4-πολλυπρ'!D12</f>
        <v>τραπεζα …??? [= ???</v>
      </c>
      <c r="D12" s="16" t="str">
        <f>'4-πολλυπρ'!I12</f>
        <v>219-67</v>
      </c>
      <c r="E12" s="42"/>
      <c r="F12" s="170"/>
      <c r="G12" s="170"/>
      <c r="H12" s="42"/>
      <c r="I12" s="42"/>
      <c r="J12" s="42"/>
      <c r="K12" s="367"/>
      <c r="L12" s="42"/>
      <c r="M12" s="42"/>
      <c r="N12" s="42"/>
      <c r="O12" s="42"/>
      <c r="P12" s="42">
        <f t="shared" si="0"/>
        <v>0</v>
      </c>
      <c r="Q12" s="157"/>
      <c r="R12" s="157"/>
      <c r="S12" s="184"/>
      <c r="T12" s="89"/>
    </row>
    <row r="13" spans="1:20">
      <c r="A13" s="33">
        <f>'1-συμβολαια'!A13</f>
        <v>0</v>
      </c>
      <c r="B13" s="98" t="str">
        <f>'1-συμβολαια'!C13</f>
        <v>υποθήκη δανείου Α' …. ΕΞΑΛΕΙΨΗ</v>
      </c>
      <c r="C13" s="16" t="str">
        <f>'4-πολλυπρ'!D13</f>
        <v>τραπεζα …??? [= ???</v>
      </c>
      <c r="D13" s="16" t="str">
        <f>'4-πολλυπρ'!I13</f>
        <v>219-67</v>
      </c>
      <c r="E13" s="42"/>
      <c r="F13" s="170"/>
      <c r="G13" s="170"/>
      <c r="H13" s="42"/>
      <c r="I13" s="42"/>
      <c r="J13" s="42"/>
      <c r="K13" s="367"/>
      <c r="L13" s="42"/>
      <c r="M13" s="42"/>
      <c r="N13" s="42"/>
      <c r="O13" s="42"/>
      <c r="P13" s="42">
        <f t="shared" si="0"/>
        <v>0</v>
      </c>
      <c r="Q13" s="157"/>
      <c r="R13" s="157"/>
      <c r="S13" s="184"/>
      <c r="T13" s="89"/>
    </row>
    <row r="14" spans="1:20">
      <c r="A14" s="33">
        <f>'1-συμβολαια'!A14</f>
        <v>0</v>
      </c>
      <c r="B14" s="98" t="str">
        <f>'1-συμβολαια'!C14</f>
        <v>τόκοι δανείου Α' [προυπολογιζόμενοι VS πληρωμένοι]</v>
      </c>
      <c r="C14" s="16" t="str">
        <f>'4-πολλυπρ'!D14</f>
        <v>τραπεζα …??? [= ???</v>
      </c>
      <c r="D14" s="16" t="str">
        <f>'4-πολλυπρ'!I14</f>
        <v>219-67</v>
      </c>
      <c r="E14" s="42"/>
      <c r="F14" s="170"/>
      <c r="G14" s="170"/>
      <c r="H14" s="42"/>
      <c r="I14" s="42"/>
      <c r="J14" s="42"/>
      <c r="K14" s="367"/>
      <c r="L14" s="42"/>
      <c r="M14" s="42"/>
      <c r="N14" s="42"/>
      <c r="O14" s="42"/>
      <c r="P14" s="42">
        <f t="shared" si="0"/>
        <v>0</v>
      </c>
      <c r="Q14" s="157"/>
      <c r="R14" s="157"/>
      <c r="S14" s="184"/>
      <c r="T14" s="89"/>
    </row>
    <row r="15" spans="1:20">
      <c r="A15" s="33">
        <f>'1-συμβολαια'!A15</f>
        <v>0</v>
      </c>
      <c r="B15" s="98" t="str">
        <f>'1-συμβολαια'!C15</f>
        <v>τόκοι δανείου Α.2' [προυπολογιζόμενοι VS πληρωμένοι]</v>
      </c>
      <c r="C15" s="16" t="str">
        <f>'4-πολλυπρ'!D15</f>
        <v>τραπεζα …??? [= ???</v>
      </c>
      <c r="D15" s="16" t="str">
        <f>'4-πολλυπρ'!I15</f>
        <v>219-67</v>
      </c>
      <c r="E15" s="42"/>
      <c r="F15" s="170"/>
      <c r="G15" s="170"/>
      <c r="H15" s="42"/>
      <c r="I15" s="42"/>
      <c r="J15" s="42"/>
      <c r="K15" s="367"/>
      <c r="L15" s="42"/>
      <c r="M15" s="42"/>
      <c r="N15" s="42"/>
      <c r="O15" s="42"/>
      <c r="P15" s="42">
        <f t="shared" si="0"/>
        <v>0</v>
      </c>
      <c r="Q15" s="157"/>
      <c r="R15" s="157"/>
      <c r="S15" s="184"/>
      <c r="T15" s="89"/>
    </row>
    <row r="16" spans="1:20">
      <c r="A16" s="581" t="s">
        <v>35</v>
      </c>
      <c r="B16" s="582"/>
      <c r="C16" s="582"/>
      <c r="D16" s="583"/>
      <c r="E16" s="75">
        <f>SUM(E3:E15)</f>
        <v>0</v>
      </c>
      <c r="F16" s="75"/>
      <c r="G16" s="75"/>
      <c r="H16" s="75"/>
      <c r="I16" s="75">
        <f t="shared" ref="I16:Q16" si="1">SUM(I3:I15)</f>
        <v>0</v>
      </c>
      <c r="J16" s="75">
        <f t="shared" si="1"/>
        <v>0</v>
      </c>
      <c r="K16" s="75">
        <f t="shared" si="1"/>
        <v>0</v>
      </c>
      <c r="L16" s="75">
        <f t="shared" si="1"/>
        <v>0</v>
      </c>
      <c r="M16" s="75">
        <f t="shared" si="1"/>
        <v>0</v>
      </c>
      <c r="N16" s="75">
        <f t="shared" si="1"/>
        <v>0</v>
      </c>
      <c r="O16" s="75">
        <f t="shared" si="1"/>
        <v>0</v>
      </c>
      <c r="P16" s="75">
        <f t="shared" si="1"/>
        <v>0</v>
      </c>
      <c r="Q16" s="91">
        <f t="shared" si="1"/>
        <v>0</v>
      </c>
      <c r="R16" s="171"/>
      <c r="S16" s="3"/>
      <c r="T16" s="3"/>
    </row>
    <row r="18" spans="6:20" ht="15.75" customHeight="1">
      <c r="I18" s="166" t="s">
        <v>495</v>
      </c>
      <c r="L18" s="163" t="s">
        <v>497</v>
      </c>
      <c r="R18" s="185"/>
      <c r="S18" s="95"/>
      <c r="T18" s="185"/>
    </row>
    <row r="19" spans="6:20">
      <c r="F19" s="191" t="s">
        <v>166</v>
      </c>
      <c r="G19" s="146"/>
      <c r="H19" s="90"/>
      <c r="L19" s="208" t="s">
        <v>206</v>
      </c>
      <c r="R19" s="2"/>
    </row>
    <row r="20" spans="6:20">
      <c r="F20" s="90"/>
      <c r="G20" s="146" t="s">
        <v>167</v>
      </c>
      <c r="M20" s="207" t="s">
        <v>207</v>
      </c>
      <c r="Q20" s="2"/>
      <c r="R20" s="2"/>
    </row>
    <row r="21" spans="6:20">
      <c r="N21" s="186" t="s">
        <v>208</v>
      </c>
      <c r="Q21" s="2"/>
      <c r="R21" s="2"/>
    </row>
    <row r="22" spans="6:20">
      <c r="Q22" s="2"/>
      <c r="R22" s="2"/>
    </row>
  </sheetData>
  <mergeCells count="6">
    <mergeCell ref="I1:P1"/>
    <mergeCell ref="Q1:T2"/>
    <mergeCell ref="A1:D1"/>
    <mergeCell ref="A16:D1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workbookViewId="0">
      <pane ySplit="2" topLeftCell="A3" activePane="bottomLeft" state="frozen"/>
      <selection pane="bottomLeft" activeCell="A5" sqref="A5:A9"/>
    </sheetView>
  </sheetViews>
  <sheetFormatPr defaultRowHeight="11.25"/>
  <cols>
    <col min="1" max="1" width="4.42578125" style="3" bestFit="1" customWidth="1"/>
    <col min="2" max="2" width="56.28515625" style="3" bestFit="1" customWidth="1"/>
    <col min="3" max="3" width="11.140625" style="3" bestFit="1" customWidth="1"/>
    <col min="4" max="4" width="10.28515625" style="3" bestFit="1" customWidth="1"/>
    <col min="5" max="5" width="10" style="3" customWidth="1"/>
    <col min="6" max="10" width="9.140625" style="3"/>
    <col min="11" max="11" width="8.28515625" style="3" customWidth="1"/>
    <col min="12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12" t="s">
        <v>329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4" t="s">
        <v>47</v>
      </c>
      <c r="AF1" s="616" t="s">
        <v>9</v>
      </c>
      <c r="AG1" s="618" t="s">
        <v>525</v>
      </c>
      <c r="AH1" s="620" t="s">
        <v>339</v>
      </c>
      <c r="AI1" s="622" t="s">
        <v>84</v>
      </c>
      <c r="AJ1" s="623"/>
      <c r="AK1" s="623"/>
      <c r="AL1" s="624"/>
    </row>
    <row r="2" spans="1:38" ht="12" thickBot="1">
      <c r="A2" s="235"/>
      <c r="B2" s="236" t="s">
        <v>338</v>
      </c>
      <c r="C2" s="236" t="s">
        <v>85</v>
      </c>
      <c r="D2" s="237" t="s">
        <v>330</v>
      </c>
      <c r="E2" s="211" t="s">
        <v>31</v>
      </c>
      <c r="F2" s="211" t="s">
        <v>331</v>
      </c>
      <c r="G2" s="211" t="s">
        <v>332</v>
      </c>
      <c r="H2" s="211" t="s">
        <v>333</v>
      </c>
      <c r="I2" s="211" t="s">
        <v>334</v>
      </c>
      <c r="J2" s="211" t="s">
        <v>335</v>
      </c>
      <c r="K2" s="579" t="s">
        <v>29</v>
      </c>
      <c r="L2" s="580"/>
      <c r="M2" s="222" t="s">
        <v>336</v>
      </c>
      <c r="N2" s="222" t="s">
        <v>31</v>
      </c>
      <c r="O2" s="222" t="s">
        <v>331</v>
      </c>
      <c r="P2" s="222" t="s">
        <v>332</v>
      </c>
      <c r="Q2" s="222" t="s">
        <v>333</v>
      </c>
      <c r="R2" s="222" t="s">
        <v>334</v>
      </c>
      <c r="S2" s="222" t="s">
        <v>335</v>
      </c>
      <c r="T2" s="589" t="s">
        <v>29</v>
      </c>
      <c r="U2" s="590"/>
      <c r="V2" s="211" t="s">
        <v>337</v>
      </c>
      <c r="W2" s="211" t="s">
        <v>31</v>
      </c>
      <c r="X2" s="211" t="s">
        <v>331</v>
      </c>
      <c r="Y2" s="211" t="s">
        <v>332</v>
      </c>
      <c r="Z2" s="211" t="s">
        <v>333</v>
      </c>
      <c r="AA2" s="211" t="s">
        <v>334</v>
      </c>
      <c r="AB2" s="211" t="s">
        <v>335</v>
      </c>
      <c r="AC2" s="579" t="s">
        <v>29</v>
      </c>
      <c r="AD2" s="580"/>
      <c r="AE2" s="615"/>
      <c r="AF2" s="617"/>
      <c r="AG2" s="619"/>
      <c r="AH2" s="621"/>
      <c r="AI2" s="625"/>
      <c r="AJ2" s="626"/>
      <c r="AK2" s="626"/>
      <c r="AL2" s="627"/>
    </row>
    <row r="3" spans="1:38" s="5" customFormat="1">
      <c r="A3" s="81">
        <f>'1-συμβολαια'!A3</f>
        <v>2774</v>
      </c>
      <c r="B3" s="81" t="str">
        <f>'1-συμβολαια'!C3</f>
        <v>κατασχέσεως ΑΡΣΗ για δάνειο Β.2'  [1.635.748δρχ = 4.800,44€]</v>
      </c>
      <c r="C3" s="398">
        <f>'1-συμβολαια'!D3</f>
        <v>0</v>
      </c>
      <c r="D3" s="398">
        <f t="shared" ref="D3:D15" si="0">C3*1.3%</f>
        <v>0</v>
      </c>
      <c r="E3" s="81"/>
      <c r="F3" s="81"/>
      <c r="G3" s="81"/>
      <c r="H3" s="81"/>
      <c r="I3" s="81"/>
      <c r="J3" s="81"/>
      <c r="K3" s="81"/>
      <c r="L3" s="81"/>
      <c r="M3" s="398">
        <f t="shared" ref="M3" si="1">C3*0.65%</f>
        <v>0</v>
      </c>
      <c r="N3" s="81"/>
      <c r="O3" s="81"/>
      <c r="P3" s="81"/>
      <c r="Q3" s="81"/>
      <c r="R3" s="81"/>
      <c r="S3" s="81"/>
      <c r="T3" s="81"/>
      <c r="U3" s="81"/>
      <c r="V3" s="398">
        <f t="shared" ref="V3" si="2">C3*0.125%</f>
        <v>0</v>
      </c>
      <c r="W3" s="81"/>
      <c r="X3" s="81"/>
      <c r="Y3" s="81"/>
      <c r="Z3" s="81"/>
      <c r="AA3" s="81"/>
      <c r="AB3" s="81"/>
      <c r="AC3" s="81"/>
      <c r="AD3" s="81"/>
      <c r="AE3" s="385">
        <f t="shared" ref="AE3:AE15" si="3">D3+M3+V3</f>
        <v>0</v>
      </c>
      <c r="AF3" s="385">
        <f t="shared" ref="AF3:AF15" si="4">E3+N3+W3</f>
        <v>0</v>
      </c>
      <c r="AG3" s="385">
        <f t="shared" ref="AG3:AG15" si="5">AE3-AF3</f>
        <v>0</v>
      </c>
      <c r="AH3" s="81"/>
      <c r="AI3" s="81"/>
      <c r="AJ3" s="81"/>
      <c r="AK3" s="81"/>
      <c r="AL3" s="81"/>
    </row>
    <row r="4" spans="1:38" s="19" customFormat="1">
      <c r="A4" s="26"/>
      <c r="B4" s="26"/>
      <c r="C4" s="38"/>
      <c r="D4" s="38"/>
      <c r="E4" s="26"/>
      <c r="F4" s="26"/>
      <c r="G4" s="26"/>
      <c r="H4" s="26"/>
      <c r="I4" s="26"/>
      <c r="J4" s="26"/>
      <c r="K4" s="26"/>
      <c r="L4" s="26"/>
      <c r="M4" s="38"/>
      <c r="N4" s="26"/>
      <c r="O4" s="26"/>
      <c r="P4" s="26"/>
      <c r="Q4" s="26"/>
      <c r="R4" s="26"/>
      <c r="S4" s="26"/>
      <c r="T4" s="26"/>
      <c r="U4" s="26"/>
      <c r="V4" s="38"/>
      <c r="W4" s="26"/>
      <c r="X4" s="26"/>
      <c r="Y4" s="26"/>
      <c r="Z4" s="26"/>
      <c r="AA4" s="26"/>
      <c r="AB4" s="26"/>
      <c r="AC4" s="26"/>
      <c r="AD4" s="26"/>
      <c r="AE4" s="29"/>
      <c r="AF4" s="29"/>
      <c r="AG4" s="29"/>
      <c r="AH4" s="26"/>
      <c r="AI4" s="26"/>
      <c r="AJ4" s="26"/>
      <c r="AK4" s="26"/>
      <c r="AL4" s="26"/>
    </row>
    <row r="5" spans="1:38" s="5" customFormat="1">
      <c r="A5" s="485" t="str">
        <f>'1-συμβολαια'!A5</f>
        <v>2ο</v>
      </c>
      <c r="B5" s="81" t="str">
        <f>'1-συμβολαια'!C5</f>
        <v>δανείου  Β' ΕΞΟΦΛΗΣΗ [= 2.500.000δρχ</v>
      </c>
      <c r="C5" s="398">
        <f>'1-συμβολαια'!D5</f>
        <v>7336.76</v>
      </c>
      <c r="D5" s="398">
        <f t="shared" si="0"/>
        <v>95.377880000000005</v>
      </c>
      <c r="E5" s="81"/>
      <c r="F5" s="81"/>
      <c r="G5" s="81"/>
      <c r="H5" s="81"/>
      <c r="I5" s="81"/>
      <c r="J5" s="81"/>
      <c r="K5" s="81"/>
      <c r="L5" s="81"/>
      <c r="M5" s="398"/>
      <c r="N5" s="81"/>
      <c r="O5" s="81"/>
      <c r="P5" s="81"/>
      <c r="Q5" s="81"/>
      <c r="R5" s="81"/>
      <c r="S5" s="81"/>
      <c r="T5" s="81"/>
      <c r="U5" s="81"/>
      <c r="V5" s="398"/>
      <c r="W5" s="81"/>
      <c r="X5" s="81"/>
      <c r="Y5" s="81"/>
      <c r="Z5" s="81"/>
      <c r="AA5" s="81"/>
      <c r="AB5" s="81"/>
      <c r="AC5" s="81"/>
      <c r="AD5" s="81"/>
      <c r="AE5" s="385">
        <f t="shared" si="3"/>
        <v>95.377880000000005</v>
      </c>
      <c r="AF5" s="385">
        <f t="shared" si="4"/>
        <v>0</v>
      </c>
      <c r="AG5" s="385">
        <f t="shared" si="5"/>
        <v>95.377880000000005</v>
      </c>
      <c r="AH5" s="81"/>
      <c r="AI5" s="81"/>
      <c r="AJ5" s="81"/>
      <c r="AK5" s="81"/>
      <c r="AL5" s="81"/>
    </row>
    <row r="6" spans="1:38" s="5" customFormat="1">
      <c r="A6" s="485"/>
      <c r="B6" s="81" t="str">
        <f>'1-συμβολαια'!C6</f>
        <v>δανείου  Β.2' ΕΞΟΦΛΗΣΗ ΥΠΟΛΟΙΠΟΥ = 1.635.748δρχ</v>
      </c>
      <c r="C6" s="398">
        <f>'1-συμβολαια'!D6</f>
        <v>4800.4399999999996</v>
      </c>
      <c r="D6" s="398">
        <f t="shared" si="0"/>
        <v>62.405720000000002</v>
      </c>
      <c r="E6" s="81"/>
      <c r="F6" s="81"/>
      <c r="G6" s="81"/>
      <c r="H6" s="81"/>
      <c r="I6" s="81"/>
      <c r="J6" s="81"/>
      <c r="K6" s="81"/>
      <c r="L6" s="81"/>
      <c r="M6" s="398"/>
      <c r="N6" s="81"/>
      <c r="O6" s="81"/>
      <c r="P6" s="81"/>
      <c r="Q6" s="81"/>
      <c r="R6" s="81"/>
      <c r="S6" s="81"/>
      <c r="T6" s="81"/>
      <c r="U6" s="81"/>
      <c r="V6" s="398"/>
      <c r="W6" s="81"/>
      <c r="X6" s="81"/>
      <c r="Y6" s="81"/>
      <c r="Z6" s="81"/>
      <c r="AA6" s="81"/>
      <c r="AB6" s="81"/>
      <c r="AC6" s="81"/>
      <c r="AD6" s="81"/>
      <c r="AE6" s="385">
        <f t="shared" si="3"/>
        <v>62.405720000000002</v>
      </c>
      <c r="AF6" s="385">
        <f t="shared" si="4"/>
        <v>0</v>
      </c>
      <c r="AG6" s="385">
        <f t="shared" si="5"/>
        <v>62.405720000000002</v>
      </c>
      <c r="AH6" s="81"/>
      <c r="AI6" s="81"/>
      <c r="AJ6" s="81"/>
      <c r="AK6" s="81"/>
      <c r="AL6" s="81"/>
    </row>
    <row r="7" spans="1:38" s="5" customFormat="1">
      <c r="A7" s="485"/>
      <c r="B7" s="81" t="str">
        <f>'1-συμβολαια'!C7</f>
        <v>υποθήκη δανείου Β' …. ΕΞΑΛΕΙΨΗ</v>
      </c>
      <c r="C7" s="398">
        <f>'1-συμβολαια'!D7</f>
        <v>8151.95</v>
      </c>
      <c r="D7" s="398">
        <f t="shared" si="0"/>
        <v>105.97535000000001</v>
      </c>
      <c r="E7" s="81"/>
      <c r="F7" s="81"/>
      <c r="G7" s="81"/>
      <c r="H7" s="81"/>
      <c r="I7" s="81"/>
      <c r="J7" s="81"/>
      <c r="K7" s="81"/>
      <c r="L7" s="81"/>
      <c r="M7" s="398"/>
      <c r="N7" s="81"/>
      <c r="O7" s="81"/>
      <c r="P7" s="81"/>
      <c r="Q7" s="81"/>
      <c r="R7" s="81"/>
      <c r="S7" s="81"/>
      <c r="T7" s="81"/>
      <c r="U7" s="81"/>
      <c r="V7" s="398"/>
      <c r="W7" s="81"/>
      <c r="X7" s="81"/>
      <c r="Y7" s="81"/>
      <c r="Z7" s="81"/>
      <c r="AA7" s="81"/>
      <c r="AB7" s="81"/>
      <c r="AC7" s="81"/>
      <c r="AD7" s="81"/>
      <c r="AE7" s="385">
        <f t="shared" si="3"/>
        <v>105.97535000000001</v>
      </c>
      <c r="AF7" s="385">
        <f t="shared" si="4"/>
        <v>0</v>
      </c>
      <c r="AG7" s="385">
        <f t="shared" si="5"/>
        <v>105.97535000000001</v>
      </c>
      <c r="AH7" s="81"/>
      <c r="AI7" s="81"/>
      <c r="AJ7" s="81"/>
      <c r="AK7" s="81"/>
      <c r="AL7" s="81"/>
    </row>
    <row r="8" spans="1:38" s="5" customFormat="1">
      <c r="A8" s="485"/>
      <c r="B8" s="81" t="str">
        <f>'1-συμβολαια'!C8</f>
        <v>τόκοι δανείου Β' [προυπολογιζόμενοι VS πληρωμένοι]</v>
      </c>
      <c r="C8" s="398">
        <f>'1-συμβολαια'!D8</f>
        <v>23882.636363636364</v>
      </c>
      <c r="D8" s="398">
        <f t="shared" si="0"/>
        <v>310.47427272727276</v>
      </c>
      <c r="E8" s="81"/>
      <c r="F8" s="81"/>
      <c r="G8" s="81"/>
      <c r="H8" s="81"/>
      <c r="I8" s="81"/>
      <c r="J8" s="81"/>
      <c r="K8" s="81"/>
      <c r="L8" s="81"/>
      <c r="M8" s="398"/>
      <c r="N8" s="81"/>
      <c r="O8" s="81"/>
      <c r="P8" s="81"/>
      <c r="Q8" s="81"/>
      <c r="R8" s="81"/>
      <c r="S8" s="81"/>
      <c r="T8" s="81"/>
      <c r="U8" s="81"/>
      <c r="V8" s="398"/>
      <c r="W8" s="81"/>
      <c r="X8" s="81"/>
      <c r="Y8" s="81"/>
      <c r="Z8" s="81"/>
      <c r="AA8" s="81"/>
      <c r="AB8" s="81"/>
      <c r="AC8" s="81"/>
      <c r="AD8" s="81"/>
      <c r="AE8" s="385">
        <f t="shared" si="3"/>
        <v>310.47427272727276</v>
      </c>
      <c r="AF8" s="385">
        <f t="shared" si="4"/>
        <v>0</v>
      </c>
      <c r="AG8" s="385">
        <f t="shared" si="5"/>
        <v>310.47427272727276</v>
      </c>
      <c r="AH8" s="81"/>
      <c r="AI8" s="81"/>
      <c r="AJ8" s="81"/>
      <c r="AK8" s="81"/>
      <c r="AL8" s="81"/>
    </row>
    <row r="9" spans="1:38" s="5" customFormat="1">
      <c r="A9" s="485"/>
      <c r="B9" s="81" t="str">
        <f>'1-συμβολαια'!C9</f>
        <v>τόκοι δανείου Β.2' [προυπολογιζόμενοι VS πληρωμένοι]</v>
      </c>
      <c r="C9" s="398">
        <f>'1-συμβολαια'!D9</f>
        <v>111.11</v>
      </c>
      <c r="D9" s="398">
        <f t="shared" si="0"/>
        <v>1.4444300000000001</v>
      </c>
      <c r="E9" s="81"/>
      <c r="F9" s="81"/>
      <c r="G9" s="81"/>
      <c r="H9" s="81"/>
      <c r="I9" s="81"/>
      <c r="J9" s="81"/>
      <c r="K9" s="81"/>
      <c r="L9" s="81"/>
      <c r="M9" s="398"/>
      <c r="N9" s="81"/>
      <c r="O9" s="81"/>
      <c r="P9" s="81"/>
      <c r="Q9" s="81"/>
      <c r="R9" s="81"/>
      <c r="S9" s="81"/>
      <c r="T9" s="81"/>
      <c r="U9" s="81"/>
      <c r="V9" s="398"/>
      <c r="W9" s="81"/>
      <c r="X9" s="81"/>
      <c r="Y9" s="81"/>
      <c r="Z9" s="81"/>
      <c r="AA9" s="81"/>
      <c r="AB9" s="81"/>
      <c r="AC9" s="81"/>
      <c r="AD9" s="81"/>
      <c r="AE9" s="385">
        <f t="shared" si="3"/>
        <v>1.4444300000000001</v>
      </c>
      <c r="AF9" s="385">
        <f t="shared" si="4"/>
        <v>0</v>
      </c>
      <c r="AG9" s="385">
        <f t="shared" si="5"/>
        <v>1.4444300000000001</v>
      </c>
      <c r="AH9" s="81"/>
      <c r="AI9" s="81"/>
      <c r="AJ9" s="81"/>
      <c r="AK9" s="81"/>
      <c r="AL9" s="81"/>
    </row>
    <row r="10" spans="1:38" s="19" customFormat="1">
      <c r="A10" s="26"/>
      <c r="B10" s="26"/>
      <c r="C10" s="38"/>
      <c r="D10" s="38"/>
      <c r="E10" s="26"/>
      <c r="F10" s="26"/>
      <c r="G10" s="26"/>
      <c r="H10" s="26"/>
      <c r="I10" s="26"/>
      <c r="J10" s="26"/>
      <c r="K10" s="26"/>
      <c r="L10" s="26"/>
      <c r="M10" s="38"/>
      <c r="N10" s="26"/>
      <c r="O10" s="26"/>
      <c r="P10" s="26"/>
      <c r="Q10" s="26"/>
      <c r="R10" s="26"/>
      <c r="S10" s="26"/>
      <c r="T10" s="26"/>
      <c r="U10" s="26"/>
      <c r="V10" s="38"/>
      <c r="W10" s="26"/>
      <c r="X10" s="26"/>
      <c r="Y10" s="26"/>
      <c r="Z10" s="26"/>
      <c r="AA10" s="26"/>
      <c r="AB10" s="26"/>
      <c r="AC10" s="26"/>
      <c r="AD10" s="26"/>
      <c r="AE10" s="29"/>
      <c r="AF10" s="29"/>
      <c r="AG10" s="29"/>
      <c r="AH10" s="26"/>
      <c r="AI10" s="26"/>
      <c r="AJ10" s="26"/>
      <c r="AK10" s="26"/>
      <c r="AL10" s="26"/>
    </row>
    <row r="11" spans="1:38" s="5" customFormat="1">
      <c r="A11" s="485" t="str">
        <f>'1-συμβολαια'!A11</f>
        <v>3ο</v>
      </c>
      <c r="B11" s="81" t="str">
        <f>'1-συμβολαια'!C11</f>
        <v>δανείου  Α' ΕΞΟΦΛΗΣΗ [= 6.000.000δρχ</v>
      </c>
      <c r="C11" s="398">
        <f>'1-συμβολαια'!D11</f>
        <v>17608.22</v>
      </c>
      <c r="D11" s="398">
        <f t="shared" si="0"/>
        <v>228.90686000000002</v>
      </c>
      <c r="E11" s="81"/>
      <c r="F11" s="81"/>
      <c r="G11" s="81"/>
      <c r="H11" s="81"/>
      <c r="I11" s="81"/>
      <c r="J11" s="81"/>
      <c r="K11" s="81"/>
      <c r="L11" s="81"/>
      <c r="M11" s="398"/>
      <c r="N11" s="81"/>
      <c r="O11" s="81"/>
      <c r="P11" s="81"/>
      <c r="Q11" s="81"/>
      <c r="R11" s="81"/>
      <c r="S11" s="81"/>
      <c r="T11" s="81"/>
      <c r="U11" s="81"/>
      <c r="V11" s="398"/>
      <c r="W11" s="81"/>
      <c r="X11" s="81"/>
      <c r="Y11" s="81"/>
      <c r="Z11" s="81"/>
      <c r="AA11" s="81"/>
      <c r="AB11" s="81"/>
      <c r="AC11" s="81"/>
      <c r="AD11" s="81"/>
      <c r="AE11" s="385">
        <f t="shared" si="3"/>
        <v>228.90686000000002</v>
      </c>
      <c r="AF11" s="385">
        <f t="shared" si="4"/>
        <v>0</v>
      </c>
      <c r="AG11" s="385">
        <f t="shared" si="5"/>
        <v>228.90686000000002</v>
      </c>
      <c r="AH11" s="81"/>
      <c r="AI11" s="81"/>
      <c r="AJ11" s="81"/>
      <c r="AK11" s="81"/>
      <c r="AL11" s="81"/>
    </row>
    <row r="12" spans="1:38" s="5" customFormat="1">
      <c r="A12" s="485"/>
      <c r="B12" s="81" t="str">
        <f>'1-συμβολαια'!C12</f>
        <v xml:space="preserve">δανείου Α.2' ΕΞΟΦΛΗΣΗ ΥΠΟΛΟΙΠΟΥ = 3.119.471δρχ </v>
      </c>
      <c r="C12" s="398">
        <f>'1-συμβολαια'!D12</f>
        <v>9154.7199999999993</v>
      </c>
      <c r="D12" s="398">
        <f t="shared" si="0"/>
        <v>119.01136</v>
      </c>
      <c r="E12" s="81"/>
      <c r="F12" s="81"/>
      <c r="G12" s="81"/>
      <c r="H12" s="81"/>
      <c r="I12" s="81"/>
      <c r="J12" s="81"/>
      <c r="K12" s="81"/>
      <c r="L12" s="81"/>
      <c r="M12" s="398"/>
      <c r="N12" s="81"/>
      <c r="O12" s="81"/>
      <c r="P12" s="81"/>
      <c r="Q12" s="81"/>
      <c r="R12" s="81"/>
      <c r="S12" s="81"/>
      <c r="T12" s="81"/>
      <c r="U12" s="81"/>
      <c r="V12" s="398"/>
      <c r="W12" s="81"/>
      <c r="X12" s="81"/>
      <c r="Y12" s="81"/>
      <c r="Z12" s="81"/>
      <c r="AA12" s="81"/>
      <c r="AB12" s="81"/>
      <c r="AC12" s="81"/>
      <c r="AD12" s="81"/>
      <c r="AE12" s="385">
        <f t="shared" si="3"/>
        <v>119.01136</v>
      </c>
      <c r="AF12" s="385">
        <f t="shared" si="4"/>
        <v>0</v>
      </c>
      <c r="AG12" s="385">
        <f t="shared" si="5"/>
        <v>119.01136</v>
      </c>
      <c r="AH12" s="81"/>
      <c r="AI12" s="81"/>
      <c r="AJ12" s="81"/>
      <c r="AK12" s="81"/>
      <c r="AL12" s="81"/>
    </row>
    <row r="13" spans="1:38" s="5" customFormat="1">
      <c r="A13" s="485"/>
      <c r="B13" s="81" t="str">
        <f>'1-συμβολαια'!C13</f>
        <v>υποθήκη δανείου Α' …. ΕΞΑΛΕΙΨΗ</v>
      </c>
      <c r="C13" s="398">
        <f>'1-συμβολαια'!D13</f>
        <v>19564.68</v>
      </c>
      <c r="D13" s="398">
        <f t="shared" si="0"/>
        <v>254.34084000000001</v>
      </c>
      <c r="E13" s="81"/>
      <c r="F13" s="81"/>
      <c r="G13" s="81"/>
      <c r="H13" s="81"/>
      <c r="I13" s="81"/>
      <c r="J13" s="81"/>
      <c r="K13" s="81"/>
      <c r="L13" s="81"/>
      <c r="M13" s="398"/>
      <c r="N13" s="81"/>
      <c r="O13" s="81"/>
      <c r="P13" s="81"/>
      <c r="Q13" s="81"/>
      <c r="R13" s="81"/>
      <c r="S13" s="81"/>
      <c r="T13" s="81"/>
      <c r="U13" s="81"/>
      <c r="V13" s="398"/>
      <c r="W13" s="81"/>
      <c r="X13" s="81"/>
      <c r="Y13" s="81"/>
      <c r="Z13" s="81"/>
      <c r="AA13" s="81"/>
      <c r="AB13" s="81"/>
      <c r="AC13" s="81"/>
      <c r="AD13" s="81"/>
      <c r="AE13" s="385">
        <f t="shared" si="3"/>
        <v>254.34084000000001</v>
      </c>
      <c r="AF13" s="385">
        <f t="shared" si="4"/>
        <v>0</v>
      </c>
      <c r="AG13" s="385">
        <f t="shared" si="5"/>
        <v>254.34084000000001</v>
      </c>
      <c r="AH13" s="81"/>
      <c r="AI13" s="81"/>
      <c r="AJ13" s="81"/>
      <c r="AK13" s="81"/>
      <c r="AL13" s="81"/>
    </row>
    <row r="14" spans="1:38" s="5" customFormat="1">
      <c r="A14" s="485"/>
      <c r="B14" s="81" t="str">
        <f>'1-συμβολαια'!C14</f>
        <v>τόκοι δανείου Α' [προυπολογιζόμενοι VS πληρωμένοι]</v>
      </c>
      <c r="C14" s="398">
        <f>'1-συμβολαια'!D14</f>
        <v>57318.327272727271</v>
      </c>
      <c r="D14" s="398">
        <f t="shared" si="0"/>
        <v>745.13825454545463</v>
      </c>
      <c r="E14" s="81"/>
      <c r="F14" s="81"/>
      <c r="G14" s="81"/>
      <c r="H14" s="81"/>
      <c r="I14" s="81"/>
      <c r="J14" s="81"/>
      <c r="K14" s="81"/>
      <c r="L14" s="81"/>
      <c r="M14" s="398"/>
      <c r="N14" s="81"/>
      <c r="O14" s="81"/>
      <c r="P14" s="81"/>
      <c r="Q14" s="81"/>
      <c r="R14" s="81"/>
      <c r="S14" s="81"/>
      <c r="T14" s="81"/>
      <c r="U14" s="81"/>
      <c r="V14" s="398"/>
      <c r="W14" s="81"/>
      <c r="X14" s="81"/>
      <c r="Y14" s="81"/>
      <c r="Z14" s="81"/>
      <c r="AA14" s="81"/>
      <c r="AB14" s="81"/>
      <c r="AC14" s="81"/>
      <c r="AD14" s="81"/>
      <c r="AE14" s="385">
        <f t="shared" si="3"/>
        <v>745.13825454545463</v>
      </c>
      <c r="AF14" s="385">
        <f t="shared" si="4"/>
        <v>0</v>
      </c>
      <c r="AG14" s="385">
        <f t="shared" si="5"/>
        <v>745.13825454545463</v>
      </c>
      <c r="AH14" s="81"/>
      <c r="AI14" s="81"/>
      <c r="AJ14" s="81"/>
      <c r="AK14" s="81"/>
      <c r="AL14" s="81"/>
    </row>
    <row r="15" spans="1:38" s="5" customFormat="1">
      <c r="A15" s="485"/>
      <c r="B15" s="81" t="str">
        <f>'1-συμβολαια'!C15</f>
        <v>τόκοι δανείου Α.2' [προυπολογιζόμενοι VS πληρωμένοι]</v>
      </c>
      <c r="C15" s="398">
        <f>'1-συμβολαια'!D15</f>
        <v>111.11</v>
      </c>
      <c r="D15" s="398">
        <f t="shared" si="0"/>
        <v>1.4444300000000001</v>
      </c>
      <c r="E15" s="81"/>
      <c r="F15" s="81"/>
      <c r="G15" s="81"/>
      <c r="H15" s="81"/>
      <c r="I15" s="81"/>
      <c r="J15" s="81"/>
      <c r="K15" s="81"/>
      <c r="L15" s="81"/>
      <c r="M15" s="398"/>
      <c r="N15" s="81"/>
      <c r="O15" s="81"/>
      <c r="P15" s="81"/>
      <c r="Q15" s="81"/>
      <c r="R15" s="81"/>
      <c r="S15" s="81"/>
      <c r="T15" s="81"/>
      <c r="U15" s="81"/>
      <c r="V15" s="398"/>
      <c r="W15" s="81"/>
      <c r="X15" s="81"/>
      <c r="Y15" s="81"/>
      <c r="Z15" s="81"/>
      <c r="AA15" s="81"/>
      <c r="AB15" s="81"/>
      <c r="AC15" s="81"/>
      <c r="AD15" s="81"/>
      <c r="AE15" s="385">
        <f t="shared" si="3"/>
        <v>1.4444300000000001</v>
      </c>
      <c r="AF15" s="385">
        <f t="shared" si="4"/>
        <v>0</v>
      </c>
      <c r="AG15" s="385">
        <f t="shared" si="5"/>
        <v>1.4444300000000001</v>
      </c>
      <c r="AH15" s="81"/>
      <c r="AI15" s="81"/>
      <c r="AJ15" s="81"/>
      <c r="AK15" s="81"/>
      <c r="AL15" s="81"/>
    </row>
    <row r="16" spans="1:38">
      <c r="A16" s="609" t="str">
        <f>'1-συμβολαια'!A16</f>
        <v>σύνολο</v>
      </c>
      <c r="B16" s="610"/>
      <c r="C16" s="611"/>
      <c r="D16" s="361">
        <f>SUM(D3:D15)</f>
        <v>1924.5193972727275</v>
      </c>
      <c r="E16" s="234"/>
      <c r="F16" s="234"/>
      <c r="G16" s="234"/>
      <c r="H16" s="234"/>
      <c r="I16" s="234"/>
      <c r="J16" s="234"/>
      <c r="K16" s="234"/>
      <c r="L16" s="234"/>
      <c r="M16" s="361">
        <f>SUM(M3:M15)</f>
        <v>0</v>
      </c>
      <c r="N16" s="234"/>
      <c r="O16" s="234"/>
      <c r="P16" s="234"/>
      <c r="Q16" s="234"/>
      <c r="R16" s="234"/>
      <c r="S16" s="234"/>
      <c r="T16" s="234"/>
      <c r="U16" s="234"/>
      <c r="V16" s="361">
        <f>SUM(V3:V15)</f>
        <v>0</v>
      </c>
      <c r="W16" s="234"/>
      <c r="X16" s="234"/>
      <c r="Y16" s="234"/>
      <c r="Z16" s="234"/>
      <c r="AA16" s="234"/>
      <c r="AB16" s="234"/>
      <c r="AC16" s="234"/>
      <c r="AD16" s="234"/>
      <c r="AE16" s="361">
        <f>SUM(AE3:AE15)</f>
        <v>1924.5193972727275</v>
      </c>
      <c r="AF16" s="361">
        <f>SUM(AF3:AF15)</f>
        <v>0</v>
      </c>
      <c r="AG16" s="361">
        <f>SUM(AG3:AG15)</f>
        <v>1924.5193972727275</v>
      </c>
      <c r="AH16" s="234">
        <f>SUM(AH3:AH15)</f>
        <v>0</v>
      </c>
      <c r="AI16" s="234"/>
      <c r="AJ16" s="234"/>
      <c r="AK16" s="234"/>
      <c r="AL16" s="234"/>
    </row>
    <row r="18" spans="5:31">
      <c r="E18" s="2"/>
      <c r="F18" s="2"/>
      <c r="G18" s="2"/>
      <c r="H18" s="201" t="s">
        <v>340</v>
      </c>
      <c r="I18" s="2"/>
      <c r="J18" s="2"/>
      <c r="K18" s="2"/>
      <c r="L18" s="2"/>
      <c r="M18" s="2"/>
      <c r="N18" s="2"/>
      <c r="O18" s="2"/>
      <c r="P18" s="2"/>
      <c r="Q18" s="201" t="s">
        <v>340</v>
      </c>
      <c r="R18" s="2"/>
      <c r="S18" s="2"/>
      <c r="T18" s="2"/>
      <c r="U18" s="2"/>
      <c r="V18" s="2"/>
      <c r="W18" s="2"/>
      <c r="X18" s="2"/>
      <c r="Y18" s="2"/>
      <c r="Z18" s="201" t="s">
        <v>340</v>
      </c>
      <c r="AA18" s="2"/>
      <c r="AB18" s="2"/>
      <c r="AC18" s="2"/>
      <c r="AD18" s="2"/>
      <c r="AE18" s="2"/>
    </row>
    <row r="19" spans="5:31">
      <c r="E19" s="2"/>
      <c r="F19" s="238" t="s">
        <v>341</v>
      </c>
      <c r="G19" s="238"/>
      <c r="H19" s="238"/>
      <c r="I19" s="238"/>
      <c r="J19" s="238"/>
      <c r="K19" s="238"/>
      <c r="L19" s="238"/>
      <c r="M19" s="238"/>
      <c r="N19" s="238"/>
      <c r="O19" s="238" t="s">
        <v>341</v>
      </c>
      <c r="P19" s="2"/>
      <c r="Q19" s="2"/>
      <c r="R19" s="2"/>
      <c r="S19" s="2"/>
      <c r="T19" s="2"/>
      <c r="U19" s="2"/>
      <c r="V19" s="2"/>
      <c r="W19" s="2"/>
      <c r="X19" s="238" t="s">
        <v>341</v>
      </c>
      <c r="Y19" s="2"/>
      <c r="Z19" s="2"/>
      <c r="AA19" s="2"/>
      <c r="AB19" s="2"/>
      <c r="AC19" s="2"/>
      <c r="AD19" s="2"/>
      <c r="AE19" s="2"/>
    </row>
    <row r="20" spans="5:31">
      <c r="E20" s="2"/>
      <c r="F20" s="2"/>
      <c r="G20" s="2"/>
      <c r="H20" s="2"/>
      <c r="I20" s="4"/>
      <c r="J20" s="205" t="s">
        <v>342</v>
      </c>
      <c r="K20" s="201"/>
      <c r="L20" s="2"/>
      <c r="M20" s="2"/>
      <c r="N20" s="2"/>
      <c r="O20" s="2"/>
      <c r="P20" s="2"/>
      <c r="Q20" s="4"/>
      <c r="R20" s="205" t="s">
        <v>343</v>
      </c>
      <c r="S20" s="205"/>
      <c r="T20" s="205"/>
      <c r="U20" s="205"/>
      <c r="V20" s="4"/>
      <c r="W20" s="4"/>
      <c r="X20" s="4"/>
      <c r="Y20" s="4"/>
      <c r="Z20" s="4"/>
      <c r="AA20" s="205" t="s">
        <v>343</v>
      </c>
      <c r="AB20" s="205"/>
      <c r="AC20" s="205"/>
      <c r="AD20" s="201"/>
      <c r="AE20" s="2"/>
    </row>
    <row r="21" spans="5:31">
      <c r="E21" s="2"/>
      <c r="F21" s="2"/>
      <c r="G21" s="2"/>
      <c r="H21" s="2"/>
      <c r="I21" s="205" t="s">
        <v>343</v>
      </c>
      <c r="J21" s="4"/>
      <c r="K21" s="2"/>
      <c r="L21" s="2"/>
      <c r="M21" s="2"/>
      <c r="N21" s="2"/>
      <c r="O21" s="2"/>
      <c r="P21" s="2"/>
      <c r="Q21" s="4"/>
      <c r="R21" s="4"/>
      <c r="S21" s="205" t="s">
        <v>342</v>
      </c>
      <c r="T21" s="205"/>
      <c r="U21" s="4"/>
      <c r="V21" s="4"/>
      <c r="W21" s="4"/>
      <c r="X21" s="4"/>
      <c r="Y21" s="4"/>
      <c r="Z21" s="4"/>
      <c r="AA21" s="4"/>
      <c r="AB21" s="205" t="s">
        <v>342</v>
      </c>
      <c r="AC21" s="205"/>
      <c r="AD21" s="2"/>
      <c r="AE21" s="2"/>
    </row>
    <row r="22" spans="5:31">
      <c r="E22" s="2"/>
      <c r="F22" s="2"/>
      <c r="G22" s="2"/>
      <c r="H22" s="2"/>
      <c r="I22" s="4"/>
      <c r="J22" s="4"/>
      <c r="K22" s="2"/>
      <c r="L22" s="2"/>
      <c r="M22" s="2"/>
      <c r="N22" s="2"/>
      <c r="O22" s="2"/>
      <c r="P22" s="2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2"/>
      <c r="AE22" s="2"/>
    </row>
    <row r="23" spans="5:31">
      <c r="E23" s="239" t="s">
        <v>344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40" t="s">
        <v>345</v>
      </c>
      <c r="R23" s="2"/>
      <c r="S23" s="2"/>
      <c r="T23" s="2"/>
      <c r="U23" s="2"/>
      <c r="V23" s="2"/>
      <c r="W23" s="2"/>
      <c r="X23" s="2"/>
      <c r="Y23" s="2"/>
      <c r="Z23" s="241" t="s">
        <v>346</v>
      </c>
      <c r="AA23" s="2"/>
      <c r="AB23" s="2"/>
      <c r="AC23" s="2"/>
      <c r="AD23" s="2"/>
      <c r="AE23" s="2"/>
    </row>
    <row r="24" spans="5:31">
      <c r="E24" s="242" t="s">
        <v>347</v>
      </c>
      <c r="F24" s="2"/>
      <c r="G24" s="2"/>
      <c r="H24" s="2"/>
      <c r="I24" s="2"/>
      <c r="J24" s="2"/>
      <c r="K24" s="2"/>
      <c r="L24" s="2"/>
      <c r="M24" s="8"/>
      <c r="N24" s="2"/>
      <c r="O24" s="201"/>
      <c r="P24" s="201"/>
      <c r="Q24" s="201"/>
      <c r="R24" s="201"/>
      <c r="S24" s="243" t="s">
        <v>348</v>
      </c>
      <c r="T24" s="201"/>
      <c r="U24" s="201"/>
      <c r="V24" s="201"/>
      <c r="W24" s="2"/>
      <c r="X24" s="2"/>
      <c r="Y24" s="2"/>
      <c r="Z24" s="2"/>
      <c r="AA24" s="244" t="s">
        <v>349</v>
      </c>
      <c r="AB24" s="2"/>
      <c r="AC24" s="2"/>
      <c r="AD24" s="2"/>
      <c r="AE24" s="2"/>
    </row>
    <row r="25" spans="5:31">
      <c r="E25" s="2"/>
      <c r="F25" s="242" t="s">
        <v>350</v>
      </c>
      <c r="G25" s="2"/>
      <c r="H25" s="2"/>
      <c r="I25" s="2"/>
      <c r="J25" s="2"/>
      <c r="K25" s="2"/>
      <c r="L25" s="2"/>
      <c r="M25" s="8"/>
      <c r="N25" s="2"/>
      <c r="O25" s="2"/>
      <c r="P25" s="2"/>
      <c r="Q25" s="2"/>
      <c r="R25" s="2"/>
      <c r="S25" s="245" t="s">
        <v>351</v>
      </c>
      <c r="T25" s="2"/>
      <c r="U25" s="2"/>
      <c r="V25" s="2"/>
      <c r="W25" s="2"/>
      <c r="X25" s="2"/>
      <c r="Y25" s="2"/>
      <c r="Z25" s="2"/>
      <c r="AA25" s="2"/>
      <c r="AB25" s="245" t="s">
        <v>351</v>
      </c>
      <c r="AC25" s="2"/>
      <c r="AD25" s="2"/>
      <c r="AE25" s="2"/>
    </row>
    <row r="26" spans="5:31">
      <c r="E26" s="2"/>
      <c r="F26" s="2"/>
      <c r="G26" s="2"/>
      <c r="H26" s="2"/>
      <c r="I26" s="2"/>
      <c r="J26" s="2"/>
      <c r="K26" s="2"/>
      <c r="L26" s="2"/>
      <c r="M26" s="8"/>
      <c r="N26" s="2"/>
      <c r="O26" s="2"/>
      <c r="P26" s="201"/>
      <c r="Q26" s="201"/>
      <c r="R26" s="201"/>
      <c r="S26" s="201"/>
      <c r="T26" s="201"/>
      <c r="U26" s="201"/>
      <c r="V26" s="201"/>
      <c r="W26" s="201"/>
      <c r="X26" s="201"/>
      <c r="Y26" s="2"/>
      <c r="Z26" s="2"/>
      <c r="AA26" s="2"/>
      <c r="AB26" s="243" t="s">
        <v>348</v>
      </c>
      <c r="AC26" s="2"/>
      <c r="AD26" s="2"/>
      <c r="AE26" s="2"/>
    </row>
    <row r="27" spans="5:31">
      <c r="E27" s="2"/>
      <c r="F27" s="2"/>
      <c r="G27" s="2"/>
      <c r="H27" s="2"/>
      <c r="I27" s="2"/>
      <c r="J27" s="2"/>
      <c r="K27" s="2"/>
      <c r="L27" s="2"/>
      <c r="M27" s="8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</row>
  </sheetData>
  <mergeCells count="10">
    <mergeCell ref="AH1:AH2"/>
    <mergeCell ref="AI1:AL2"/>
    <mergeCell ref="K2:L2"/>
    <mergeCell ref="T2:U2"/>
    <mergeCell ref="AC2:AD2"/>
    <mergeCell ref="A16:C16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2025-11-09T07:13:07Z</dcterms:modified>
</cp:coreProperties>
</file>