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43" i="5"/>
  <c r="O43"/>
  <c r="N43"/>
  <c r="L43"/>
  <c r="K43"/>
  <c r="J43"/>
  <c r="AD88"/>
  <c r="AD85"/>
  <c r="AD78"/>
  <c r="AD72"/>
  <c r="AD66"/>
  <c r="AD60"/>
  <c r="AD54"/>
  <c r="AB54"/>
  <c r="AB60"/>
  <c r="AB66"/>
  <c r="AB72"/>
  <c r="AB78"/>
  <c r="AB85"/>
  <c r="AB88"/>
  <c r="AF88"/>
  <c r="AF87"/>
  <c r="AF86"/>
  <c r="AF85"/>
  <c r="AF84"/>
  <c r="AF83"/>
  <c r="AF82"/>
  <c r="AF81"/>
  <c r="AF80"/>
  <c r="AF79"/>
  <c r="AF78"/>
  <c r="AF77"/>
  <c r="AF76"/>
  <c r="AF75"/>
  <c r="AF74"/>
  <c r="AF73"/>
  <c r="AF72"/>
  <c r="AF71"/>
  <c r="AF70"/>
  <c r="AF69"/>
  <c r="AF68"/>
  <c r="AF67"/>
  <c r="AF66"/>
  <c r="AF65"/>
  <c r="AF64"/>
  <c r="AF63"/>
  <c r="AF62"/>
  <c r="AF61"/>
  <c r="AF60"/>
  <c r="AF59"/>
  <c r="AF58"/>
  <c r="AF57"/>
  <c r="AF56"/>
  <c r="AF55"/>
  <c r="AF54"/>
  <c r="AF53"/>
  <c r="AF52"/>
  <c r="AF51"/>
  <c r="AF50"/>
  <c r="AF49"/>
  <c r="AA89"/>
  <c r="Y89"/>
  <c r="AF89" l="1"/>
  <c r="V43" l="1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AF42"/>
  <c r="AC42"/>
  <c r="T42" s="1"/>
  <c r="E42"/>
  <c r="D42"/>
  <c r="C42"/>
  <c r="A42"/>
  <c r="AF41"/>
  <c r="AC41"/>
  <c r="T41" s="1"/>
  <c r="E41"/>
  <c r="D41"/>
  <c r="C41"/>
  <c r="B41"/>
  <c r="A41"/>
  <c r="AF40"/>
  <c r="AC40"/>
  <c r="T40" s="1"/>
  <c r="E40"/>
  <c r="D40"/>
  <c r="C40"/>
  <c r="B40"/>
  <c r="A40"/>
  <c r="AF39"/>
  <c r="AC39"/>
  <c r="E39"/>
  <c r="D39"/>
  <c r="C39"/>
  <c r="A39"/>
  <c r="AF38"/>
  <c r="AC38"/>
  <c r="E38"/>
  <c r="D38"/>
  <c r="C38"/>
  <c r="A38"/>
  <c r="AF37"/>
  <c r="AC37"/>
  <c r="E37"/>
  <c r="D37"/>
  <c r="C37"/>
  <c r="A37"/>
  <c r="AF36"/>
  <c r="AC36"/>
  <c r="E36"/>
  <c r="D36"/>
  <c r="C36"/>
  <c r="B36"/>
  <c r="A36"/>
  <c r="AF35"/>
  <c r="AC35"/>
  <c r="E35"/>
  <c r="D35"/>
  <c r="C35"/>
  <c r="B35"/>
  <c r="A35"/>
  <c r="AF34"/>
  <c r="AC34"/>
  <c r="E34"/>
  <c r="D34"/>
  <c r="C34"/>
  <c r="B34"/>
  <c r="A34"/>
  <c r="AF33"/>
  <c r="AC33"/>
  <c r="E33"/>
  <c r="D33"/>
  <c r="C33"/>
  <c r="B33"/>
  <c r="A33"/>
  <c r="AF32"/>
  <c r="AC32"/>
  <c r="E32"/>
  <c r="D32"/>
  <c r="C32"/>
  <c r="A32"/>
  <c r="AF31"/>
  <c r="AC31"/>
  <c r="E31"/>
  <c r="D31"/>
  <c r="C31"/>
  <c r="A31"/>
  <c r="AF30"/>
  <c r="AC30"/>
  <c r="E30"/>
  <c r="D30"/>
  <c r="C30"/>
  <c r="A30"/>
  <c r="C42" i="28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R15" i="10"/>
  <c r="R16"/>
  <c r="R17"/>
  <c r="R18"/>
  <c r="R19"/>
  <c r="R20"/>
  <c r="R21"/>
  <c r="R22"/>
  <c r="R23"/>
  <c r="R24"/>
  <c r="R25"/>
  <c r="R26"/>
  <c r="R27"/>
  <c r="R28"/>
  <c r="P28" s="1"/>
  <c r="R29"/>
  <c r="P29" s="1"/>
  <c r="R30"/>
  <c r="R31"/>
  <c r="R32"/>
  <c r="P32" s="1"/>
  <c r="R33"/>
  <c r="P33" s="1"/>
  <c r="R34"/>
  <c r="R35"/>
  <c r="R36"/>
  <c r="P36" s="1"/>
  <c r="R37"/>
  <c r="P37" s="1"/>
  <c r="R38"/>
  <c r="R39"/>
  <c r="P39" s="1"/>
  <c r="R40"/>
  <c r="P40" s="1"/>
  <c r="R41"/>
  <c r="P41" s="1"/>
  <c r="R42"/>
  <c r="P42" s="1"/>
  <c r="L42"/>
  <c r="J42"/>
  <c r="H42"/>
  <c r="G42"/>
  <c r="E42"/>
  <c r="C42"/>
  <c r="A42"/>
  <c r="L41"/>
  <c r="J41"/>
  <c r="H41"/>
  <c r="G41"/>
  <c r="E41"/>
  <c r="C41"/>
  <c r="A41"/>
  <c r="L40"/>
  <c r="J40"/>
  <c r="H40"/>
  <c r="G40"/>
  <c r="E40"/>
  <c r="C40"/>
  <c r="A40"/>
  <c r="L39"/>
  <c r="J39"/>
  <c r="H39"/>
  <c r="G39"/>
  <c r="E39"/>
  <c r="C39"/>
  <c r="A39"/>
  <c r="P38"/>
  <c r="L38"/>
  <c r="J38"/>
  <c r="H38"/>
  <c r="G38"/>
  <c r="E38"/>
  <c r="C38"/>
  <c r="A38"/>
  <c r="L37"/>
  <c r="J37"/>
  <c r="H37"/>
  <c r="G37"/>
  <c r="E37"/>
  <c r="C37"/>
  <c r="A37"/>
  <c r="L36"/>
  <c r="J36"/>
  <c r="H36"/>
  <c r="G36"/>
  <c r="E36"/>
  <c r="C36"/>
  <c r="A36"/>
  <c r="P35"/>
  <c r="L35"/>
  <c r="J35"/>
  <c r="H35"/>
  <c r="G35"/>
  <c r="E35"/>
  <c r="C35"/>
  <c r="A35"/>
  <c r="P34"/>
  <c r="L34"/>
  <c r="J34"/>
  <c r="H34"/>
  <c r="G34"/>
  <c r="E34"/>
  <c r="C34"/>
  <c r="A34"/>
  <c r="L33"/>
  <c r="J33"/>
  <c r="H33"/>
  <c r="G33"/>
  <c r="E33"/>
  <c r="C33"/>
  <c r="A33"/>
  <c r="L32"/>
  <c r="J32"/>
  <c r="H32"/>
  <c r="G32"/>
  <c r="E32"/>
  <c r="C32"/>
  <c r="A32"/>
  <c r="P31"/>
  <c r="L31"/>
  <c r="J31"/>
  <c r="H31"/>
  <c r="G31"/>
  <c r="E31"/>
  <c r="C31"/>
  <c r="A31"/>
  <c r="P30"/>
  <c r="L30"/>
  <c r="J30"/>
  <c r="H30"/>
  <c r="G30"/>
  <c r="E30"/>
  <c r="C30"/>
  <c r="A30"/>
  <c r="L29"/>
  <c r="J29"/>
  <c r="H29"/>
  <c r="G29"/>
  <c r="E29"/>
  <c r="C29"/>
  <c r="A29"/>
  <c r="L28"/>
  <c r="J28"/>
  <c r="H28"/>
  <c r="G28"/>
  <c r="E28"/>
  <c r="C28"/>
  <c r="A28"/>
  <c r="A28" i="22"/>
  <c r="A29"/>
  <c r="A30"/>
  <c r="A31"/>
  <c r="A32"/>
  <c r="A33"/>
  <c r="A34"/>
  <c r="A35"/>
  <c r="A36"/>
  <c r="A37"/>
  <c r="A38"/>
  <c r="A39"/>
  <c r="A40"/>
  <c r="A41"/>
  <c r="A42"/>
  <c r="A28" i="8"/>
  <c r="A29"/>
  <c r="A30"/>
  <c r="A31"/>
  <c r="A32"/>
  <c r="A33"/>
  <c r="A34"/>
  <c r="A35"/>
  <c r="A36"/>
  <c r="A37"/>
  <c r="A38"/>
  <c r="A39"/>
  <c r="A40"/>
  <c r="A41"/>
  <c r="A42"/>
  <c r="C41" i="9"/>
  <c r="C4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N41"/>
  <c r="K41"/>
  <c r="K42"/>
  <c r="N42" s="1"/>
  <c r="J42"/>
  <c r="B41"/>
  <c r="B42"/>
  <c r="A41"/>
  <c r="A42"/>
  <c r="BR36" i="24"/>
  <c r="BR35"/>
  <c r="BR34"/>
  <c r="BR33"/>
  <c r="BR27"/>
  <c r="BR15"/>
  <c r="BR9"/>
  <c r="BR3"/>
  <c r="BQ43"/>
  <c r="BP36"/>
  <c r="BP27"/>
  <c r="BP21"/>
  <c r="BP15"/>
  <c r="BP9"/>
  <c r="BP3"/>
  <c r="BA41"/>
  <c r="BA40"/>
  <c r="BA36"/>
  <c r="BA33"/>
  <c r="BA27"/>
  <c r="BA15"/>
  <c r="BA9"/>
  <c r="AY41"/>
  <c r="AY40"/>
  <c r="AY36"/>
  <c r="AY33"/>
  <c r="AY27"/>
  <c r="AY15"/>
  <c r="AY9"/>
  <c r="BA3"/>
  <c r="AY3"/>
  <c r="AQ41"/>
  <c r="AQ40"/>
  <c r="AP33"/>
  <c r="AM41"/>
  <c r="AM40"/>
  <c r="AM36"/>
  <c r="AM33"/>
  <c r="AM15"/>
  <c r="AM9"/>
  <c r="AM3"/>
  <c r="AL41"/>
  <c r="AL40"/>
  <c r="AL36"/>
  <c r="AL33"/>
  <c r="AL27"/>
  <c r="AL15"/>
  <c r="AL9"/>
  <c r="AL3"/>
  <c r="AK36"/>
  <c r="AK27"/>
  <c r="AK15"/>
  <c r="AK9"/>
  <c r="AK3"/>
  <c r="AJ41"/>
  <c r="AJ40"/>
  <c r="AJ33"/>
  <c r="AJ36"/>
  <c r="AJ27"/>
  <c r="AJ15"/>
  <c r="AJ9"/>
  <c r="AJ3"/>
  <c r="AB3"/>
  <c r="AB36"/>
  <c r="AB42"/>
  <c r="AA42"/>
  <c r="Z42"/>
  <c r="AA36"/>
  <c r="AA3"/>
  <c r="Z36"/>
  <c r="Z3"/>
  <c r="Y36"/>
  <c r="Y3"/>
  <c r="V27"/>
  <c r="V21"/>
  <c r="V15"/>
  <c r="V9"/>
  <c r="V3"/>
  <c r="R27"/>
  <c r="R21"/>
  <c r="R15"/>
  <c r="R9"/>
  <c r="R3"/>
  <c r="P27"/>
  <c r="P21"/>
  <c r="P15"/>
  <c r="P9"/>
  <c r="P3"/>
  <c r="L27"/>
  <c r="L21"/>
  <c r="L15"/>
  <c r="L9"/>
  <c r="L3"/>
  <c r="K3"/>
  <c r="K9"/>
  <c r="K15"/>
  <c r="K21"/>
  <c r="K27"/>
  <c r="K36"/>
  <c r="K40"/>
  <c r="J36"/>
  <c r="J27"/>
  <c r="J21"/>
  <c r="J15"/>
  <c r="J9"/>
  <c r="J3"/>
  <c r="G43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H27"/>
  <c r="H28"/>
  <c r="H29"/>
  <c r="H30"/>
  <c r="H31"/>
  <c r="H32"/>
  <c r="H33"/>
  <c r="H34"/>
  <c r="H35"/>
  <c r="H36"/>
  <c r="H37"/>
  <c r="H38"/>
  <c r="H39"/>
  <c r="H40"/>
  <c r="H41"/>
  <c r="H42"/>
  <c r="F28"/>
  <c r="F29"/>
  <c r="F30"/>
  <c r="F31"/>
  <c r="F32"/>
  <c r="F33"/>
  <c r="F34"/>
  <c r="F35"/>
  <c r="F36"/>
  <c r="F37"/>
  <c r="F38"/>
  <c r="F39"/>
  <c r="F40"/>
  <c r="F41"/>
  <c r="F42"/>
  <c r="D28"/>
  <c r="D29"/>
  <c r="D30"/>
  <c r="D31"/>
  <c r="D32"/>
  <c r="D33"/>
  <c r="D34"/>
  <c r="D35"/>
  <c r="D36"/>
  <c r="D37"/>
  <c r="D38"/>
  <c r="D39"/>
  <c r="D40"/>
  <c r="D41"/>
  <c r="D42"/>
  <c r="C28"/>
  <c r="C29"/>
  <c r="C30"/>
  <c r="C31"/>
  <c r="C32"/>
  <c r="C33"/>
  <c r="C34"/>
  <c r="C35"/>
  <c r="C36"/>
  <c r="C37"/>
  <c r="C38"/>
  <c r="C39"/>
  <c r="C40"/>
  <c r="C41"/>
  <c r="C42"/>
  <c r="B28"/>
  <c r="B29"/>
  <c r="B30"/>
  <c r="B31"/>
  <c r="B32"/>
  <c r="B33"/>
  <c r="B34"/>
  <c r="B35"/>
  <c r="B36"/>
  <c r="B37"/>
  <c r="B38"/>
  <c r="B39"/>
  <c r="B40"/>
  <c r="B41"/>
  <c r="B42"/>
  <c r="A28"/>
  <c r="A29"/>
  <c r="A30"/>
  <c r="A31"/>
  <c r="A32"/>
  <c r="A33"/>
  <c r="A34"/>
  <c r="A35"/>
  <c r="A36"/>
  <c r="A37"/>
  <c r="A38"/>
  <c r="A39"/>
  <c r="A40"/>
  <c r="A41"/>
  <c r="A42"/>
  <c r="C28" i="23"/>
  <c r="C29"/>
  <c r="C30"/>
  <c r="C31"/>
  <c r="C32"/>
  <c r="C37"/>
  <c r="C38"/>
  <c r="C39"/>
  <c r="C42"/>
  <c r="B28"/>
  <c r="B29"/>
  <c r="B30"/>
  <c r="B31"/>
  <c r="B32"/>
  <c r="B33"/>
  <c r="B34"/>
  <c r="B35"/>
  <c r="B36"/>
  <c r="B37"/>
  <c r="B38"/>
  <c r="B39"/>
  <c r="B40"/>
  <c r="B41"/>
  <c r="B42"/>
  <c r="A28"/>
  <c r="A29"/>
  <c r="A30"/>
  <c r="A31"/>
  <c r="A32"/>
  <c r="A33"/>
  <c r="A34"/>
  <c r="A35"/>
  <c r="A36"/>
  <c r="A37"/>
  <c r="A38"/>
  <c r="A39"/>
  <c r="A40"/>
  <c r="A41"/>
  <c r="A42"/>
  <c r="A4" i="15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B33"/>
  <c r="B34"/>
  <c r="B35"/>
  <c r="B36"/>
  <c r="B37"/>
  <c r="B38"/>
  <c r="B39"/>
  <c r="B40"/>
  <c r="B41"/>
  <c r="B42"/>
  <c r="C34"/>
  <c r="C35"/>
  <c r="C36"/>
  <c r="C37"/>
  <c r="C38"/>
  <c r="C39"/>
  <c r="C40"/>
  <c r="C41"/>
  <c r="C42"/>
  <c r="X42" i="27"/>
  <c r="W42"/>
  <c r="V42"/>
  <c r="J42"/>
  <c r="I42"/>
  <c r="H42"/>
  <c r="G42"/>
  <c r="F42"/>
  <c r="E42"/>
  <c r="D42"/>
  <c r="C42"/>
  <c r="B42"/>
  <c r="A42"/>
  <c r="X41"/>
  <c r="W41"/>
  <c r="V41"/>
  <c r="J41"/>
  <c r="I41"/>
  <c r="H41"/>
  <c r="G41"/>
  <c r="F41"/>
  <c r="E41"/>
  <c r="D41"/>
  <c r="C41"/>
  <c r="B41"/>
  <c r="A41"/>
  <c r="X40"/>
  <c r="W40"/>
  <c r="V40"/>
  <c r="J40"/>
  <c r="I40"/>
  <c r="H40"/>
  <c r="G40"/>
  <c r="F40"/>
  <c r="E40"/>
  <c r="D40"/>
  <c r="C40"/>
  <c r="B40"/>
  <c r="A40"/>
  <c r="X39"/>
  <c r="W39"/>
  <c r="V39"/>
  <c r="J39"/>
  <c r="I39"/>
  <c r="H39"/>
  <c r="G39"/>
  <c r="F39"/>
  <c r="E39"/>
  <c r="D39"/>
  <c r="C39"/>
  <c r="B39"/>
  <c r="A39"/>
  <c r="X38"/>
  <c r="W38"/>
  <c r="V38"/>
  <c r="J38"/>
  <c r="I38"/>
  <c r="H38"/>
  <c r="G38"/>
  <c r="F38"/>
  <c r="E38"/>
  <c r="D38"/>
  <c r="C38"/>
  <c r="B38"/>
  <c r="A38"/>
  <c r="X37"/>
  <c r="W37"/>
  <c r="V37"/>
  <c r="J37"/>
  <c r="I37"/>
  <c r="H37"/>
  <c r="G37"/>
  <c r="F37"/>
  <c r="E37"/>
  <c r="D37"/>
  <c r="C37"/>
  <c r="B37"/>
  <c r="A37"/>
  <c r="X36"/>
  <c r="W36"/>
  <c r="V36"/>
  <c r="J36"/>
  <c r="I36"/>
  <c r="H36"/>
  <c r="G36"/>
  <c r="F36"/>
  <c r="E36"/>
  <c r="D36"/>
  <c r="C36"/>
  <c r="B36"/>
  <c r="A36"/>
  <c r="X35"/>
  <c r="W35"/>
  <c r="V35"/>
  <c r="J35"/>
  <c r="I35"/>
  <c r="H35"/>
  <c r="G35"/>
  <c r="F35"/>
  <c r="E35"/>
  <c r="D35"/>
  <c r="C35"/>
  <c r="B35"/>
  <c r="A35"/>
  <c r="X34"/>
  <c r="W34"/>
  <c r="V34"/>
  <c r="J34"/>
  <c r="I34"/>
  <c r="H34"/>
  <c r="G34"/>
  <c r="F34"/>
  <c r="E34"/>
  <c r="D34"/>
  <c r="C34"/>
  <c r="B34"/>
  <c r="A34"/>
  <c r="X33"/>
  <c r="W33"/>
  <c r="V33"/>
  <c r="J33"/>
  <c r="I33"/>
  <c r="H33"/>
  <c r="G33"/>
  <c r="F33"/>
  <c r="E33"/>
  <c r="D33"/>
  <c r="C33"/>
  <c r="B33"/>
  <c r="A33"/>
  <c r="X32"/>
  <c r="W32"/>
  <c r="V32"/>
  <c r="J32"/>
  <c r="I32"/>
  <c r="H32"/>
  <c r="G32"/>
  <c r="F32"/>
  <c r="E32"/>
  <c r="D32"/>
  <c r="C32"/>
  <c r="B32"/>
  <c r="A32"/>
  <c r="X31"/>
  <c r="W31"/>
  <c r="V31"/>
  <c r="J31"/>
  <c r="I31"/>
  <c r="H31"/>
  <c r="G31"/>
  <c r="F31"/>
  <c r="E31"/>
  <c r="D31"/>
  <c r="C31"/>
  <c r="B31"/>
  <c r="A31"/>
  <c r="X30"/>
  <c r="W30"/>
  <c r="V30"/>
  <c r="J30"/>
  <c r="I30"/>
  <c r="H30"/>
  <c r="G30"/>
  <c r="F30"/>
  <c r="E30"/>
  <c r="D30"/>
  <c r="C30"/>
  <c r="B30"/>
  <c r="A30"/>
  <c r="F43" i="4"/>
  <c r="G43"/>
  <c r="H43"/>
  <c r="I43"/>
  <c r="J43"/>
  <c r="K43"/>
  <c r="L43"/>
  <c r="M43"/>
  <c r="N43"/>
  <c r="O43"/>
  <c r="F41"/>
  <c r="H41" s="1"/>
  <c r="D29"/>
  <c r="D30"/>
  <c r="D31"/>
  <c r="D32"/>
  <c r="D33"/>
  <c r="D34"/>
  <c r="D35"/>
  <c r="D36"/>
  <c r="D37"/>
  <c r="D38"/>
  <c r="D39"/>
  <c r="D40"/>
  <c r="D41"/>
  <c r="D42"/>
  <c r="C29"/>
  <c r="C30"/>
  <c r="C31"/>
  <c r="C32"/>
  <c r="C33"/>
  <c r="C34"/>
  <c r="C35"/>
  <c r="C36"/>
  <c r="C37"/>
  <c r="C38"/>
  <c r="C39"/>
  <c r="C40"/>
  <c r="C41"/>
  <c r="C42"/>
  <c r="B27"/>
  <c r="B28"/>
  <c r="B29"/>
  <c r="B30"/>
  <c r="B31"/>
  <c r="B32"/>
  <c r="B33"/>
  <c r="B34"/>
  <c r="B35"/>
  <c r="B36"/>
  <c r="B37"/>
  <c r="B38"/>
  <c r="B39"/>
  <c r="B40"/>
  <c r="B41"/>
  <c r="B42"/>
  <c r="N36"/>
  <c r="F36"/>
  <c r="H36" s="1"/>
  <c r="P33"/>
  <c r="N33"/>
  <c r="F33"/>
  <c r="H33" s="1"/>
  <c r="A28"/>
  <c r="A29"/>
  <c r="A30"/>
  <c r="A31"/>
  <c r="A32"/>
  <c r="A33"/>
  <c r="A34"/>
  <c r="A35"/>
  <c r="A36"/>
  <c r="A37"/>
  <c r="A38"/>
  <c r="A39"/>
  <c r="A40"/>
  <c r="A41"/>
  <c r="A42"/>
  <c r="G43" i="12"/>
  <c r="N43" i="26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M43"/>
  <c r="B42"/>
  <c r="A42"/>
  <c r="T42" i="20"/>
  <c r="T41"/>
  <c r="T40"/>
  <c r="T39"/>
  <c r="V39" s="1"/>
  <c r="T38"/>
  <c r="T37"/>
  <c r="T36"/>
  <c r="T33"/>
  <c r="T27"/>
  <c r="T21"/>
  <c r="T15"/>
  <c r="T9"/>
  <c r="T8"/>
  <c r="T7"/>
  <c r="T6"/>
  <c r="T5"/>
  <c r="T4"/>
  <c r="T3"/>
  <c r="S42"/>
  <c r="S41"/>
  <c r="S40"/>
  <c r="S39"/>
  <c r="S38"/>
  <c r="S37"/>
  <c r="S36"/>
  <c r="S33"/>
  <c r="S27"/>
  <c r="S21"/>
  <c r="S15"/>
  <c r="S9"/>
  <c r="S8"/>
  <c r="S7"/>
  <c r="S6"/>
  <c r="S5"/>
  <c r="S4"/>
  <c r="S3"/>
  <c r="Q42"/>
  <c r="P42"/>
  <c r="Q41"/>
  <c r="P41"/>
  <c r="Q40"/>
  <c r="P40"/>
  <c r="P39"/>
  <c r="P38"/>
  <c r="V38" s="1"/>
  <c r="Q36"/>
  <c r="P36"/>
  <c r="Q33"/>
  <c r="P33"/>
  <c r="Q27"/>
  <c r="P27"/>
  <c r="Q21"/>
  <c r="P21"/>
  <c r="Q15"/>
  <c r="P15"/>
  <c r="Q9"/>
  <c r="P9"/>
  <c r="P7"/>
  <c r="P5"/>
  <c r="Q4"/>
  <c r="P4"/>
  <c r="O36"/>
  <c r="O33"/>
  <c r="O27"/>
  <c r="O21"/>
  <c r="O15"/>
  <c r="O9"/>
  <c r="O3"/>
  <c r="Q3"/>
  <c r="P3"/>
  <c r="R43"/>
  <c r="U43"/>
  <c r="O42"/>
  <c r="O41"/>
  <c r="O40"/>
  <c r="O38"/>
  <c r="O7"/>
  <c r="O5"/>
  <c r="O4"/>
  <c r="L39"/>
  <c r="L37"/>
  <c r="V30"/>
  <c r="L8"/>
  <c r="L6"/>
  <c r="L36"/>
  <c r="L3"/>
  <c r="L9"/>
  <c r="L15"/>
  <c r="L21"/>
  <c r="L27"/>
  <c r="V31"/>
  <c r="V32"/>
  <c r="V34"/>
  <c r="V35"/>
  <c r="D34"/>
  <c r="D35"/>
  <c r="D36"/>
  <c r="D37"/>
  <c r="D38"/>
  <c r="D39"/>
  <c r="D40"/>
  <c r="D41"/>
  <c r="D42"/>
  <c r="C34"/>
  <c r="C35"/>
  <c r="C36"/>
  <c r="C37"/>
  <c r="C38"/>
  <c r="C39"/>
  <c r="C40"/>
  <c r="C41"/>
  <c r="C42"/>
  <c r="B33"/>
  <c r="B34"/>
  <c r="B35"/>
  <c r="B36"/>
  <c r="B37"/>
  <c r="B38"/>
  <c r="B39"/>
  <c r="B40"/>
  <c r="B41"/>
  <c r="B42"/>
  <c r="A37"/>
  <c r="A38"/>
  <c r="A39"/>
  <c r="A40"/>
  <c r="A41"/>
  <c r="A42"/>
  <c r="E15" i="4"/>
  <c r="E9"/>
  <c r="E3"/>
  <c r="AH41" i="16"/>
  <c r="AH40"/>
  <c r="AH36"/>
  <c r="AH33"/>
  <c r="AH27"/>
  <c r="AH21"/>
  <c r="AH15"/>
  <c r="AH9"/>
  <c r="AH3"/>
  <c r="AE41"/>
  <c r="AE40"/>
  <c r="AE36"/>
  <c r="AE33"/>
  <c r="AD33"/>
  <c r="R41"/>
  <c r="R40"/>
  <c r="S33"/>
  <c r="R33"/>
  <c r="A42"/>
  <c r="G41" i="12"/>
  <c r="K40" i="25"/>
  <c r="C40"/>
  <c r="B40"/>
  <c r="A40"/>
  <c r="A41" i="13"/>
  <c r="A42"/>
  <c r="N41"/>
  <c r="P41" i="14" s="1"/>
  <c r="G41" i="1" s="1"/>
  <c r="J41" i="13"/>
  <c r="C41"/>
  <c r="G41" s="1"/>
  <c r="B41"/>
  <c r="F41" i="12"/>
  <c r="C41"/>
  <c r="C42"/>
  <c r="B41"/>
  <c r="B42"/>
  <c r="A41"/>
  <c r="A42"/>
  <c r="P42" i="14"/>
  <c r="B41"/>
  <c r="A41"/>
  <c r="A42"/>
  <c r="E42" i="16"/>
  <c r="D42"/>
  <c r="C41"/>
  <c r="C42"/>
  <c r="B41"/>
  <c r="B42"/>
  <c r="A41"/>
  <c r="C41" i="26"/>
  <c r="C42"/>
  <c r="B41"/>
  <c r="A41"/>
  <c r="N172" i="1"/>
  <c r="M172"/>
  <c r="N41"/>
  <c r="J41" i="9" s="1"/>
  <c r="N40" i="1"/>
  <c r="N36"/>
  <c r="N35"/>
  <c r="N34"/>
  <c r="N33"/>
  <c r="J41"/>
  <c r="J42"/>
  <c r="F41"/>
  <c r="F42"/>
  <c r="P41"/>
  <c r="N159"/>
  <c r="L172"/>
  <c r="J172"/>
  <c r="I172"/>
  <c r="H172"/>
  <c r="H173" s="1"/>
  <c r="L159"/>
  <c r="J159"/>
  <c r="I159"/>
  <c r="H159"/>
  <c r="H160" s="1"/>
  <c r="BR43" i="24" l="1"/>
  <c r="V42" i="20"/>
  <c r="V40"/>
  <c r="V37"/>
  <c r="V33"/>
  <c r="T43"/>
  <c r="S43"/>
  <c r="V28"/>
  <c r="Q43"/>
  <c r="P43"/>
  <c r="V36"/>
  <c r="O43"/>
  <c r="V41"/>
  <c r="V29"/>
  <c r="H41" i="13"/>
  <c r="I41"/>
  <c r="J38" i="1"/>
  <c r="J39"/>
  <c r="J40"/>
  <c r="C37" i="25"/>
  <c r="C38"/>
  <c r="C39"/>
  <c r="C41"/>
  <c r="B37"/>
  <c r="B38"/>
  <c r="B39"/>
  <c r="B41"/>
  <c r="A36"/>
  <c r="A37"/>
  <c r="A38"/>
  <c r="A39"/>
  <c r="A41"/>
  <c r="C40" i="9"/>
  <c r="B40"/>
  <c r="A40"/>
  <c r="C39"/>
  <c r="B39"/>
  <c r="A39"/>
  <c r="C38"/>
  <c r="B38"/>
  <c r="A38"/>
  <c r="N42" i="13"/>
  <c r="J42"/>
  <c r="C42"/>
  <c r="G42" s="1"/>
  <c r="B42"/>
  <c r="N40"/>
  <c r="J40"/>
  <c r="C40"/>
  <c r="G40" s="1"/>
  <c r="B40"/>
  <c r="A40"/>
  <c r="AN42" i="16"/>
  <c r="AM42"/>
  <c r="I42"/>
  <c r="H42"/>
  <c r="AN41"/>
  <c r="AM41"/>
  <c r="E41"/>
  <c r="I41" s="1"/>
  <c r="D41"/>
  <c r="H41" s="1"/>
  <c r="C145" s="1"/>
  <c r="AN40"/>
  <c r="AM40"/>
  <c r="E40"/>
  <c r="I40" s="1"/>
  <c r="D40"/>
  <c r="H40" s="1"/>
  <c r="C40"/>
  <c r="B40"/>
  <c r="A40"/>
  <c r="AN39"/>
  <c r="AM39"/>
  <c r="E39"/>
  <c r="I39" s="1"/>
  <c r="P39" s="1"/>
  <c r="N39" s="1"/>
  <c r="D39"/>
  <c r="H39" s="1"/>
  <c r="C39"/>
  <c r="B39"/>
  <c r="A39"/>
  <c r="AN38"/>
  <c r="AM38"/>
  <c r="E38"/>
  <c r="I38" s="1"/>
  <c r="D38"/>
  <c r="H38" s="1"/>
  <c r="C38"/>
  <c r="B38"/>
  <c r="A38"/>
  <c r="G36" i="12"/>
  <c r="F36"/>
  <c r="B38" i="14"/>
  <c r="B39"/>
  <c r="B40"/>
  <c r="B42"/>
  <c r="A38"/>
  <c r="A39"/>
  <c r="A40"/>
  <c r="B37"/>
  <c r="A37"/>
  <c r="O146" i="1"/>
  <c r="N146"/>
  <c r="M146"/>
  <c r="L146"/>
  <c r="J146"/>
  <c r="I146"/>
  <c r="H146"/>
  <c r="H147" s="1"/>
  <c r="G35" i="12"/>
  <c r="F35"/>
  <c r="P9" i="1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K33" i="25"/>
  <c r="P34" i="1" s="1"/>
  <c r="AE33" i="26"/>
  <c r="AE34"/>
  <c r="AE35"/>
  <c r="G34" i="12"/>
  <c r="F34"/>
  <c r="K41" i="13" l="1"/>
  <c r="L41"/>
  <c r="O41" s="1"/>
  <c r="M41" s="1"/>
  <c r="E41" i="1" s="1"/>
  <c r="J40" i="16"/>
  <c r="C141"/>
  <c r="P146" i="1"/>
  <c r="J38" i="9"/>
  <c r="J39"/>
  <c r="I42" i="13"/>
  <c r="H42"/>
  <c r="H40"/>
  <c r="I40"/>
  <c r="K39" i="16"/>
  <c r="L39"/>
  <c r="J39"/>
  <c r="P38"/>
  <c r="N38" s="1"/>
  <c r="P41"/>
  <c r="N41" s="1"/>
  <c r="P42"/>
  <c r="N42" s="1"/>
  <c r="L38"/>
  <c r="J38"/>
  <c r="K38"/>
  <c r="L42"/>
  <c r="J42"/>
  <c r="K42"/>
  <c r="L41"/>
  <c r="L40"/>
  <c r="P40"/>
  <c r="N40" s="1"/>
  <c r="K41"/>
  <c r="K40"/>
  <c r="J41"/>
  <c r="O42" l="1"/>
  <c r="M42" s="1"/>
  <c r="H42" i="1" s="1"/>
  <c r="O40" i="16"/>
  <c r="O38"/>
  <c r="M38" s="1"/>
  <c r="H38" i="1" s="1"/>
  <c r="O39" i="16"/>
  <c r="M39" s="1"/>
  <c r="H39" i="1" s="1"/>
  <c r="L40" i="13"/>
  <c r="K40"/>
  <c r="K42"/>
  <c r="L42"/>
  <c r="O41" i="16"/>
  <c r="O40" i="13" l="1"/>
  <c r="M40" s="1"/>
  <c r="E40" i="1" s="1"/>
  <c r="Q38" i="16"/>
  <c r="Q40"/>
  <c r="Q39"/>
  <c r="Q42"/>
  <c r="M40"/>
  <c r="H40" i="1" s="1"/>
  <c r="O42" i="13"/>
  <c r="M42" s="1"/>
  <c r="E42" i="1" s="1"/>
  <c r="Q41" i="16"/>
  <c r="M41"/>
  <c r="H41" i="1" s="1"/>
  <c r="K40" i="9" l="1"/>
  <c r="N40" s="1"/>
  <c r="L133" i="1" l="1"/>
  <c r="J133"/>
  <c r="I133"/>
  <c r="H133"/>
  <c r="H134" s="1"/>
  <c r="Q120" l="1"/>
  <c r="P120"/>
  <c r="O120"/>
  <c r="N120"/>
  <c r="M120"/>
  <c r="L120"/>
  <c r="J120"/>
  <c r="I120"/>
  <c r="H120"/>
  <c r="H121" s="1"/>
  <c r="J29"/>
  <c r="J30"/>
  <c r="J31"/>
  <c r="J32"/>
  <c r="J33"/>
  <c r="J34"/>
  <c r="J35"/>
  <c r="J36"/>
  <c r="J37"/>
  <c r="N39" i="13"/>
  <c r="J39"/>
  <c r="C39"/>
  <c r="G39" s="1"/>
  <c r="B39"/>
  <c r="A39"/>
  <c r="N38"/>
  <c r="J38"/>
  <c r="C38"/>
  <c r="G38" s="1"/>
  <c r="B38"/>
  <c r="A38"/>
  <c r="N37"/>
  <c r="J37"/>
  <c r="C37"/>
  <c r="G37" s="1"/>
  <c r="I37" s="1"/>
  <c r="B37"/>
  <c r="A37"/>
  <c r="F42" i="12"/>
  <c r="G42" i="1" s="1"/>
  <c r="G40" i="12"/>
  <c r="F40"/>
  <c r="P40" i="14" s="1"/>
  <c r="C40" i="12"/>
  <c r="B40"/>
  <c r="A40"/>
  <c r="F39"/>
  <c r="F39" i="1" s="1"/>
  <c r="C39" i="12"/>
  <c r="B39"/>
  <c r="A39"/>
  <c r="F38"/>
  <c r="F38" i="1" s="1"/>
  <c r="C38" i="12"/>
  <c r="B38"/>
  <c r="A38"/>
  <c r="F37"/>
  <c r="C37"/>
  <c r="B37"/>
  <c r="A37"/>
  <c r="C28" i="4"/>
  <c r="P42"/>
  <c r="I42" i="1"/>
  <c r="P41" i="4"/>
  <c r="P40"/>
  <c r="N40"/>
  <c r="F40"/>
  <c r="P39"/>
  <c r="P38"/>
  <c r="P37"/>
  <c r="P36"/>
  <c r="P35"/>
  <c r="P34"/>
  <c r="I33" i="1"/>
  <c r="P32" i="4"/>
  <c r="P31"/>
  <c r="P30"/>
  <c r="A36" i="20"/>
  <c r="A35"/>
  <c r="A34"/>
  <c r="D33"/>
  <c r="C33"/>
  <c r="A33"/>
  <c r="D32"/>
  <c r="C32"/>
  <c r="B32"/>
  <c r="A32"/>
  <c r="D31"/>
  <c r="C31"/>
  <c r="B31"/>
  <c r="A31"/>
  <c r="D30"/>
  <c r="C30"/>
  <c r="B30"/>
  <c r="A30"/>
  <c r="C40" i="26"/>
  <c r="M40" s="1"/>
  <c r="B40"/>
  <c r="A40"/>
  <c r="C39"/>
  <c r="M39" s="1"/>
  <c r="B39"/>
  <c r="A39"/>
  <c r="C38"/>
  <c r="M38" s="1"/>
  <c r="B38"/>
  <c r="A38"/>
  <c r="C37"/>
  <c r="M37" s="1"/>
  <c r="B37"/>
  <c r="A37"/>
  <c r="C36"/>
  <c r="B36"/>
  <c r="A36"/>
  <c r="C35"/>
  <c r="B35"/>
  <c r="A35"/>
  <c r="C34"/>
  <c r="B34"/>
  <c r="A34"/>
  <c r="C33"/>
  <c r="B33"/>
  <c r="A33"/>
  <c r="C32"/>
  <c r="M32" s="1"/>
  <c r="B32"/>
  <c r="A32"/>
  <c r="C31"/>
  <c r="M31" s="1"/>
  <c r="B31"/>
  <c r="A31"/>
  <c r="C30"/>
  <c r="M30" s="1"/>
  <c r="B30"/>
  <c r="A30"/>
  <c r="C33" i="15"/>
  <c r="C32"/>
  <c r="B32"/>
  <c r="C31"/>
  <c r="B31"/>
  <c r="C30"/>
  <c r="B30"/>
  <c r="BZ42" i="24"/>
  <c r="BT42"/>
  <c r="BH42"/>
  <c r="BD42"/>
  <c r="AX42"/>
  <c r="AH42"/>
  <c r="BZ41"/>
  <c r="BT41"/>
  <c r="BH41"/>
  <c r="BD41"/>
  <c r="AX41"/>
  <c r="AH41"/>
  <c r="BZ40"/>
  <c r="BT40"/>
  <c r="BH40"/>
  <c r="BD40"/>
  <c r="AX40"/>
  <c r="AH40"/>
  <c r="BZ39"/>
  <c r="BT39"/>
  <c r="BH39"/>
  <c r="BD39"/>
  <c r="AX39"/>
  <c r="AH39"/>
  <c r="BZ38"/>
  <c r="BT38"/>
  <c r="BH38"/>
  <c r="BD38"/>
  <c r="AX38"/>
  <c r="AH38"/>
  <c r="BZ37"/>
  <c r="BT37"/>
  <c r="BH37"/>
  <c r="BD37"/>
  <c r="AX37"/>
  <c r="AH37"/>
  <c r="BZ36"/>
  <c r="BT36"/>
  <c r="BH36"/>
  <c r="BD36"/>
  <c r="AX36"/>
  <c r="AH36"/>
  <c r="BZ35"/>
  <c r="BT35"/>
  <c r="BH35"/>
  <c r="BD35"/>
  <c r="AX35"/>
  <c r="AH35"/>
  <c r="BZ34"/>
  <c r="BT34"/>
  <c r="BH34"/>
  <c r="BD34"/>
  <c r="AX34"/>
  <c r="AH34"/>
  <c r="BZ33"/>
  <c r="BT33"/>
  <c r="BH33"/>
  <c r="BD33"/>
  <c r="AX33"/>
  <c r="AH33"/>
  <c r="BZ32"/>
  <c r="BT32"/>
  <c r="BH32"/>
  <c r="BD32"/>
  <c r="AX32"/>
  <c r="AH32"/>
  <c r="BZ31"/>
  <c r="BT31"/>
  <c r="BH31"/>
  <c r="BD31"/>
  <c r="AX31"/>
  <c r="AH31"/>
  <c r="BZ30"/>
  <c r="BT30"/>
  <c r="BH30"/>
  <c r="BD30"/>
  <c r="AX30"/>
  <c r="AH30"/>
  <c r="BZ29"/>
  <c r="BT29"/>
  <c r="BH29"/>
  <c r="BD29"/>
  <c r="AX29"/>
  <c r="AH29"/>
  <c r="BZ28"/>
  <c r="BT28"/>
  <c r="BH28"/>
  <c r="BD28"/>
  <c r="AX28"/>
  <c r="AH28"/>
  <c r="AN37" i="16"/>
  <c r="AM37"/>
  <c r="E37"/>
  <c r="I37" s="1"/>
  <c r="D37"/>
  <c r="H37" s="1"/>
  <c r="C37"/>
  <c r="B37"/>
  <c r="A37"/>
  <c r="AN36"/>
  <c r="AM36"/>
  <c r="E36"/>
  <c r="I36" s="1"/>
  <c r="D36"/>
  <c r="H36" s="1"/>
  <c r="C36"/>
  <c r="B36"/>
  <c r="A36"/>
  <c r="G21" i="12"/>
  <c r="F21"/>
  <c r="A35" i="25"/>
  <c r="B33"/>
  <c r="B34"/>
  <c r="B35"/>
  <c r="B36"/>
  <c r="C28"/>
  <c r="C29"/>
  <c r="C30"/>
  <c r="C31"/>
  <c r="C32"/>
  <c r="C33"/>
  <c r="C34"/>
  <c r="C35"/>
  <c r="C36"/>
  <c r="K34"/>
  <c r="P35" i="1" s="1"/>
  <c r="J35" i="9" s="1"/>
  <c r="K35" i="25"/>
  <c r="P36" i="1" s="1"/>
  <c r="K36" i="25"/>
  <c r="P37" i="1" s="1"/>
  <c r="J37" i="9" s="1"/>
  <c r="K37" i="25"/>
  <c r="P38" i="1" s="1"/>
  <c r="K38" i="25"/>
  <c r="P39" i="1" s="1"/>
  <c r="K39" i="25"/>
  <c r="P40" i="1" s="1"/>
  <c r="K41" i="25"/>
  <c r="P42" i="1" s="1"/>
  <c r="N21"/>
  <c r="Q106"/>
  <c r="P106"/>
  <c r="O106"/>
  <c r="N106"/>
  <c r="M106"/>
  <c r="L106"/>
  <c r="J106"/>
  <c r="I106"/>
  <c r="H106"/>
  <c r="H107" s="1"/>
  <c r="CA40" i="24" l="1"/>
  <c r="Q40" i="9" s="1"/>
  <c r="CA42" i="24"/>
  <c r="Q42" i="9" s="1"/>
  <c r="P43" i="4"/>
  <c r="CA36" i="24"/>
  <c r="Q36" i="9" s="1"/>
  <c r="CA38" i="24"/>
  <c r="Q38" i="9" s="1"/>
  <c r="I30" i="1"/>
  <c r="I32"/>
  <c r="I35"/>
  <c r="I37"/>
  <c r="I39"/>
  <c r="H40" i="4"/>
  <c r="I40" i="1" s="1"/>
  <c r="I31"/>
  <c r="I34"/>
  <c r="I36"/>
  <c r="I38"/>
  <c r="I41"/>
  <c r="L41" s="1"/>
  <c r="O41" s="1"/>
  <c r="M41" i="9" s="1"/>
  <c r="L42" i="1"/>
  <c r="P38" i="14"/>
  <c r="G38" i="1" s="1"/>
  <c r="P37" i="14"/>
  <c r="G37" i="1" s="1"/>
  <c r="P39" i="14"/>
  <c r="G39" i="1" s="1"/>
  <c r="J36" i="9"/>
  <c r="J40"/>
  <c r="G40" i="1"/>
  <c r="F40"/>
  <c r="M41" i="26"/>
  <c r="M42"/>
  <c r="J36" i="16"/>
  <c r="C135"/>
  <c r="F37" i="1"/>
  <c r="H37" i="13"/>
  <c r="L37" s="1"/>
  <c r="R120" i="1"/>
  <c r="I38" i="13"/>
  <c r="H38"/>
  <c r="K38" s="1"/>
  <c r="I39"/>
  <c r="H39"/>
  <c r="L39" s="1"/>
  <c r="R106" i="1"/>
  <c r="L38" i="13"/>
  <c r="CB36" i="24"/>
  <c r="P36" i="9" s="1"/>
  <c r="CB38" i="24"/>
  <c r="P38" i="9" s="1"/>
  <c r="CB40" i="24"/>
  <c r="P40" i="9" s="1"/>
  <c r="CB37" i="24"/>
  <c r="P37" i="9" s="1"/>
  <c r="CB41" i="24"/>
  <c r="P41" i="9" s="1"/>
  <c r="CA37" i="24"/>
  <c r="Q37" i="9" s="1"/>
  <c r="CB39" i="24"/>
  <c r="P39" i="9" s="1"/>
  <c r="CB42" i="24"/>
  <c r="P42" i="9" s="1"/>
  <c r="CA39" i="24"/>
  <c r="Q39" i="9" s="1"/>
  <c r="CA41" i="24"/>
  <c r="Q41" i="9" s="1"/>
  <c r="AG33" i="26"/>
  <c r="AG35"/>
  <c r="AE36"/>
  <c r="AG36" s="1"/>
  <c r="V30"/>
  <c r="V31"/>
  <c r="AE31" s="1"/>
  <c r="AG31" s="1"/>
  <c r="V32"/>
  <c r="AG34"/>
  <c r="V37"/>
  <c r="V38"/>
  <c r="V39"/>
  <c r="V40"/>
  <c r="V41"/>
  <c r="V42"/>
  <c r="L37" i="16"/>
  <c r="J37"/>
  <c r="K37"/>
  <c r="P36"/>
  <c r="N36" s="1"/>
  <c r="P37"/>
  <c r="N37" s="1"/>
  <c r="L36"/>
  <c r="K36"/>
  <c r="AB42" i="5" l="1"/>
  <c r="AD42" s="1"/>
  <c r="G42"/>
  <c r="H42" s="1"/>
  <c r="S38"/>
  <c r="R38"/>
  <c r="S39"/>
  <c r="R39"/>
  <c r="AB36"/>
  <c r="AD36" s="1"/>
  <c r="G36"/>
  <c r="H36" s="1"/>
  <c r="R41"/>
  <c r="S41"/>
  <c r="R37"/>
  <c r="S37"/>
  <c r="AB38"/>
  <c r="AD38" s="1"/>
  <c r="G38"/>
  <c r="H38" s="1"/>
  <c r="AB37"/>
  <c r="AD37" s="1"/>
  <c r="G37"/>
  <c r="H37" s="1"/>
  <c r="R40"/>
  <c r="S40"/>
  <c r="AB41"/>
  <c r="AD41" s="1"/>
  <c r="G41"/>
  <c r="H41" s="1"/>
  <c r="S42"/>
  <c r="R42"/>
  <c r="AB39"/>
  <c r="AD39" s="1"/>
  <c r="G39"/>
  <c r="H39" s="1"/>
  <c r="AB40"/>
  <c r="AD40" s="1"/>
  <c r="G40"/>
  <c r="H40" s="1"/>
  <c r="R36"/>
  <c r="S36"/>
  <c r="K37" i="13"/>
  <c r="AE39" i="26"/>
  <c r="AG39" s="1"/>
  <c r="AE38"/>
  <c r="AG38" s="1"/>
  <c r="AE42"/>
  <c r="AG42" s="1"/>
  <c r="AE32"/>
  <c r="AG32" s="1"/>
  <c r="AE40"/>
  <c r="AG40" s="1"/>
  <c r="O37" i="13"/>
  <c r="AE37" i="26"/>
  <c r="AG37" s="1"/>
  <c r="AE41"/>
  <c r="AG41" s="1"/>
  <c r="AE30"/>
  <c r="AG30" s="1"/>
  <c r="O38" i="13"/>
  <c r="K38" i="9" s="1"/>
  <c r="N38" s="1"/>
  <c r="K39" i="13"/>
  <c r="O39" s="1"/>
  <c r="K39" i="9" s="1"/>
  <c r="N39" s="1"/>
  <c r="O36" i="16"/>
  <c r="M36" s="1"/>
  <c r="H36" i="1" s="1"/>
  <c r="O37" i="16"/>
  <c r="X84" i="5" l="1"/>
  <c r="Z84" s="1"/>
  <c r="X83"/>
  <c r="Z83" s="1"/>
  <c r="X39"/>
  <c r="W39"/>
  <c r="X41"/>
  <c r="X37"/>
  <c r="W37"/>
  <c r="W36"/>
  <c r="X36"/>
  <c r="X86"/>
  <c r="Z86" s="1"/>
  <c r="X40"/>
  <c r="X38"/>
  <c r="W38"/>
  <c r="W42"/>
  <c r="X42"/>
  <c r="X88"/>
  <c r="Z88" s="1"/>
  <c r="X85"/>
  <c r="Z85" s="1"/>
  <c r="X87"/>
  <c r="Z87" s="1"/>
  <c r="X82"/>
  <c r="Z82" s="1"/>
  <c r="K37" i="9"/>
  <c r="N37" s="1"/>
  <c r="Q36" i="16"/>
  <c r="M37" i="13"/>
  <c r="E37" i="1" s="1"/>
  <c r="M38" i="13"/>
  <c r="E38" i="1" s="1"/>
  <c r="M39" i="13"/>
  <c r="Q37" i="16"/>
  <c r="M37"/>
  <c r="H37" i="1" s="1"/>
  <c r="E39" l="1"/>
  <c r="L39" s="1"/>
  <c r="L38"/>
  <c r="L40"/>
  <c r="L37"/>
  <c r="N27"/>
  <c r="J28" i="9"/>
  <c r="J29"/>
  <c r="J30"/>
  <c r="J32"/>
  <c r="J33"/>
  <c r="J34"/>
  <c r="J24" i="1"/>
  <c r="J25"/>
  <c r="J26"/>
  <c r="J27"/>
  <c r="J28"/>
  <c r="C37" i="9"/>
  <c r="B37"/>
  <c r="A37"/>
  <c r="C21" i="25"/>
  <c r="C22"/>
  <c r="C23"/>
  <c r="C24"/>
  <c r="C25"/>
  <c r="C26"/>
  <c r="C27"/>
  <c r="B21"/>
  <c r="B22"/>
  <c r="B23"/>
  <c r="B24"/>
  <c r="B25"/>
  <c r="B26"/>
  <c r="B27"/>
  <c r="B28"/>
  <c r="B29"/>
  <c r="B30"/>
  <c r="B31"/>
  <c r="B32"/>
  <c r="A29"/>
  <c r="A30"/>
  <c r="A31"/>
  <c r="A32"/>
  <c r="A33"/>
  <c r="A34"/>
  <c r="G15" i="12"/>
  <c r="F15"/>
  <c r="F9"/>
  <c r="Q92" i="1"/>
  <c r="P92"/>
  <c r="O92"/>
  <c r="N92"/>
  <c r="M92"/>
  <c r="L92"/>
  <c r="J92"/>
  <c r="I92"/>
  <c r="H92"/>
  <c r="H93" s="1"/>
  <c r="R92" l="1"/>
  <c r="N36" i="13" l="1"/>
  <c r="J36"/>
  <c r="C36"/>
  <c r="H36" s="1"/>
  <c r="B36"/>
  <c r="A36"/>
  <c r="N35"/>
  <c r="P35" i="14" s="1"/>
  <c r="J35" i="13"/>
  <c r="C35"/>
  <c r="H35" s="1"/>
  <c r="B35"/>
  <c r="A35"/>
  <c r="N34"/>
  <c r="P34" i="14" s="1"/>
  <c r="J34" i="13"/>
  <c r="C34"/>
  <c r="H34" s="1"/>
  <c r="B34"/>
  <c r="A34"/>
  <c r="N33"/>
  <c r="J33"/>
  <c r="C33"/>
  <c r="G33" s="1"/>
  <c r="H33" s="1"/>
  <c r="B33"/>
  <c r="A33"/>
  <c r="N32"/>
  <c r="J32"/>
  <c r="C32"/>
  <c r="G32" s="1"/>
  <c r="H32" s="1"/>
  <c r="B32"/>
  <c r="A32"/>
  <c r="N31"/>
  <c r="J31"/>
  <c r="C31"/>
  <c r="H31" s="1"/>
  <c r="B31"/>
  <c r="A31"/>
  <c r="N30"/>
  <c r="J30"/>
  <c r="C30"/>
  <c r="H30" s="1"/>
  <c r="B30"/>
  <c r="A30"/>
  <c r="C36" i="9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AN35" i="16"/>
  <c r="CA35" i="24" s="1"/>
  <c r="Q35" i="9" s="1"/>
  <c r="AM35" i="16"/>
  <c r="CB35" i="24" s="1"/>
  <c r="P35" i="9" s="1"/>
  <c r="E35" i="16"/>
  <c r="I35" s="1"/>
  <c r="D35"/>
  <c r="H35" s="1"/>
  <c r="C35"/>
  <c r="B35"/>
  <c r="A35"/>
  <c r="AN34"/>
  <c r="CA34" i="24" s="1"/>
  <c r="Q34" i="9" s="1"/>
  <c r="AM34" i="16"/>
  <c r="CB34" i="24" s="1"/>
  <c r="P34" i="9" s="1"/>
  <c r="E34" i="16"/>
  <c r="I34" s="1"/>
  <c r="D34"/>
  <c r="H34" s="1"/>
  <c r="C34"/>
  <c r="B34"/>
  <c r="A34"/>
  <c r="AN33"/>
  <c r="CA33" i="24" s="1"/>
  <c r="Q33" i="9" s="1"/>
  <c r="AM33" i="16"/>
  <c r="CB33" i="24" s="1"/>
  <c r="P33" i="9" s="1"/>
  <c r="E33" i="16"/>
  <c r="I33" s="1"/>
  <c r="P33" s="1"/>
  <c r="N33" s="1"/>
  <c r="D33"/>
  <c r="H33" s="1"/>
  <c r="C119" s="1"/>
  <c r="C33"/>
  <c r="B33"/>
  <c r="A33"/>
  <c r="AN32"/>
  <c r="CA32" i="24" s="1"/>
  <c r="Q32" i="9" s="1"/>
  <c r="AM32" i="16"/>
  <c r="CB32" i="24" s="1"/>
  <c r="P32" i="9" s="1"/>
  <c r="E32" i="16"/>
  <c r="I32" s="1"/>
  <c r="D32"/>
  <c r="H32" s="1"/>
  <c r="C32"/>
  <c r="B32"/>
  <c r="A32"/>
  <c r="AN31"/>
  <c r="AM31"/>
  <c r="E31"/>
  <c r="I31" s="1"/>
  <c r="D31"/>
  <c r="H31" s="1"/>
  <c r="C31"/>
  <c r="B31"/>
  <c r="A31"/>
  <c r="AN30"/>
  <c r="CA30" i="24" s="1"/>
  <c r="Q30" i="9" s="1"/>
  <c r="AM30" i="16"/>
  <c r="CB30" i="24" s="1"/>
  <c r="P30" i="9" s="1"/>
  <c r="E30" i="16"/>
  <c r="I30" s="1"/>
  <c r="D30"/>
  <c r="H30" s="1"/>
  <c r="J30" s="1"/>
  <c r="C30"/>
  <c r="B30"/>
  <c r="A30"/>
  <c r="B36" i="14"/>
  <c r="A36"/>
  <c r="B35"/>
  <c r="A35"/>
  <c r="B34"/>
  <c r="A34"/>
  <c r="B33"/>
  <c r="A33"/>
  <c r="B32"/>
  <c r="A32"/>
  <c r="B31"/>
  <c r="A31"/>
  <c r="B30"/>
  <c r="A30"/>
  <c r="C36" i="12"/>
  <c r="B36"/>
  <c r="A36"/>
  <c r="F35" i="1"/>
  <c r="C35" i="12"/>
  <c r="B35"/>
  <c r="A35"/>
  <c r="F34" i="1"/>
  <c r="C34" i="12"/>
  <c r="B34"/>
  <c r="A34"/>
  <c r="G33"/>
  <c r="F33"/>
  <c r="F33" i="1" s="1"/>
  <c r="C33" i="12"/>
  <c r="B33"/>
  <c r="A33"/>
  <c r="F32"/>
  <c r="F32" i="1" s="1"/>
  <c r="C32" i="12"/>
  <c r="B32"/>
  <c r="A32"/>
  <c r="F31"/>
  <c r="F31" i="1" s="1"/>
  <c r="C31" i="12"/>
  <c r="B31"/>
  <c r="A31"/>
  <c r="F30"/>
  <c r="F30" i="1" s="1"/>
  <c r="C30" i="12"/>
  <c r="B30"/>
  <c r="A30"/>
  <c r="F14"/>
  <c r="F13"/>
  <c r="F12"/>
  <c r="F11"/>
  <c r="F10"/>
  <c r="G9"/>
  <c r="Q78" i="1"/>
  <c r="P78"/>
  <c r="O78"/>
  <c r="N78"/>
  <c r="M78"/>
  <c r="L78"/>
  <c r="J78"/>
  <c r="I78"/>
  <c r="H78"/>
  <c r="H79" s="1"/>
  <c r="AB35" i="5" l="1"/>
  <c r="AD35" s="1"/>
  <c r="G35"/>
  <c r="H35" s="1"/>
  <c r="AB32"/>
  <c r="AD32" s="1"/>
  <c r="G32"/>
  <c r="H32" s="1"/>
  <c r="AB30"/>
  <c r="AD30" s="1"/>
  <c r="G30"/>
  <c r="H30" s="1"/>
  <c r="AB34"/>
  <c r="AD34" s="1"/>
  <c r="G34"/>
  <c r="H34" s="1"/>
  <c r="S35"/>
  <c r="R35"/>
  <c r="S32"/>
  <c r="R32"/>
  <c r="R33"/>
  <c r="S33"/>
  <c r="S30"/>
  <c r="R30"/>
  <c r="AB33"/>
  <c r="AD33" s="1"/>
  <c r="G33"/>
  <c r="H33" s="1"/>
  <c r="S34"/>
  <c r="R34"/>
  <c r="P31" i="14"/>
  <c r="P30"/>
  <c r="G30" i="1" s="1"/>
  <c r="P33" i="14"/>
  <c r="G33" i="1" s="1"/>
  <c r="P32" i="14"/>
  <c r="G32" i="1" s="1"/>
  <c r="C127" i="16"/>
  <c r="C131"/>
  <c r="J34"/>
  <c r="C123"/>
  <c r="P36" i="14"/>
  <c r="G36" i="1" s="1"/>
  <c r="F36"/>
  <c r="G35"/>
  <c r="G34"/>
  <c r="R78"/>
  <c r="L31" i="13"/>
  <c r="K31"/>
  <c r="L33"/>
  <c r="K33"/>
  <c r="L35"/>
  <c r="K35"/>
  <c r="L30"/>
  <c r="K30"/>
  <c r="L32"/>
  <c r="K32"/>
  <c r="L34"/>
  <c r="K34"/>
  <c r="L36"/>
  <c r="K36"/>
  <c r="I30"/>
  <c r="I31"/>
  <c r="I32"/>
  <c r="I33"/>
  <c r="I34"/>
  <c r="I35"/>
  <c r="I36"/>
  <c r="L32" i="16"/>
  <c r="K32"/>
  <c r="J32"/>
  <c r="K33"/>
  <c r="L33"/>
  <c r="J33"/>
  <c r="P31"/>
  <c r="N31" s="1"/>
  <c r="P32"/>
  <c r="N32" s="1"/>
  <c r="P35"/>
  <c r="N35" s="1"/>
  <c r="L35"/>
  <c r="L30"/>
  <c r="P30"/>
  <c r="N30" s="1"/>
  <c r="K31"/>
  <c r="L34"/>
  <c r="P34"/>
  <c r="N34" s="1"/>
  <c r="K35"/>
  <c r="K30"/>
  <c r="J31"/>
  <c r="K34"/>
  <c r="J35"/>
  <c r="L31"/>
  <c r="X76" i="5" l="1"/>
  <c r="Z76" s="1"/>
  <c r="X79"/>
  <c r="Z79" s="1"/>
  <c r="W33"/>
  <c r="X33"/>
  <c r="X30"/>
  <c r="W30"/>
  <c r="W35"/>
  <c r="X35"/>
  <c r="X81"/>
  <c r="Z81" s="1"/>
  <c r="W34"/>
  <c r="X34"/>
  <c r="W32"/>
  <c r="X32"/>
  <c r="X80"/>
  <c r="Z80" s="1"/>
  <c r="X78"/>
  <c r="Z78" s="1"/>
  <c r="O34" i="13"/>
  <c r="M34" s="1"/>
  <c r="E34" i="1" s="1"/>
  <c r="O33" i="16"/>
  <c r="Q33" s="1"/>
  <c r="O34"/>
  <c r="M34" s="1"/>
  <c r="H34" i="1" s="1"/>
  <c r="O30" i="16"/>
  <c r="M30" s="1"/>
  <c r="H30" i="1" s="1"/>
  <c r="O32" i="16"/>
  <c r="Q32" s="1"/>
  <c r="O35"/>
  <c r="O30" i="13"/>
  <c r="O33"/>
  <c r="O35"/>
  <c r="O31"/>
  <c r="O36"/>
  <c r="K36" i="9" s="1"/>
  <c r="N36" s="1"/>
  <c r="O32" i="13"/>
  <c r="O31" i="16"/>
  <c r="K35" i="9" l="1"/>
  <c r="N35" s="1"/>
  <c r="L34" i="1"/>
  <c r="Q30" i="16"/>
  <c r="M33"/>
  <c r="H33" i="1" s="1"/>
  <c r="M32" i="16"/>
  <c r="H32" i="1" s="1"/>
  <c r="Q35" i="16"/>
  <c r="M35"/>
  <c r="H35" i="1" s="1"/>
  <c r="Q34" i="16"/>
  <c r="K34" i="9"/>
  <c r="N34" s="1"/>
  <c r="M36" i="13"/>
  <c r="E36" i="1" s="1"/>
  <c r="L36" s="1"/>
  <c r="M32" i="13"/>
  <c r="E32" i="1" s="1"/>
  <c r="K32" i="9"/>
  <c r="N32" s="1"/>
  <c r="M35" i="13"/>
  <c r="E35" i="1" s="1"/>
  <c r="M30" i="13"/>
  <c r="E30" i="1" s="1"/>
  <c r="L30" s="1"/>
  <c r="K30" i="9"/>
  <c r="N30" s="1"/>
  <c r="M31" i="13"/>
  <c r="E31" i="1" s="1"/>
  <c r="K31" i="9"/>
  <c r="N31" s="1"/>
  <c r="M33" i="13"/>
  <c r="E33" i="1" s="1"/>
  <c r="K33" i="9"/>
  <c r="N33" s="1"/>
  <c r="Q31" i="16"/>
  <c r="M31"/>
  <c r="H31" i="1" s="1"/>
  <c r="L35" l="1"/>
  <c r="L32"/>
  <c r="L33"/>
  <c r="O38"/>
  <c r="M38" i="9" s="1"/>
  <c r="O42" i="1"/>
  <c r="M42" i="9" s="1"/>
  <c r="O40" i="1"/>
  <c r="M40" i="9" s="1"/>
  <c r="O34" i="1"/>
  <c r="M34" i="9" s="1"/>
  <c r="Q64" i="1"/>
  <c r="P64"/>
  <c r="O64"/>
  <c r="N64"/>
  <c r="M64"/>
  <c r="G3" i="12"/>
  <c r="F3"/>
  <c r="N9" i="1"/>
  <c r="J10" i="9"/>
  <c r="J11"/>
  <c r="J12"/>
  <c r="J13"/>
  <c r="J14"/>
  <c r="N15" i="1"/>
  <c r="J15" i="9" s="1"/>
  <c r="J16"/>
  <c r="J17"/>
  <c r="J18"/>
  <c r="J19"/>
  <c r="J20"/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F9"/>
  <c r="F10"/>
  <c r="F11"/>
  <c r="F12"/>
  <c r="F13"/>
  <c r="F14"/>
  <c r="AF29" i="5"/>
  <c r="AC29"/>
  <c r="E29"/>
  <c r="D29"/>
  <c r="C29"/>
  <c r="A29"/>
  <c r="AF28"/>
  <c r="AC28"/>
  <c r="E28"/>
  <c r="D28"/>
  <c r="C28"/>
  <c r="A28"/>
  <c r="AF27"/>
  <c r="AC27"/>
  <c r="T27" s="1"/>
  <c r="E27"/>
  <c r="D27"/>
  <c r="C27"/>
  <c r="B27"/>
  <c r="A27"/>
  <c r="AF26"/>
  <c r="AC26"/>
  <c r="E26"/>
  <c r="D26"/>
  <c r="C26"/>
  <c r="A26"/>
  <c r="AF25"/>
  <c r="AC25"/>
  <c r="E25"/>
  <c r="D25"/>
  <c r="C25"/>
  <c r="A25"/>
  <c r="AF24"/>
  <c r="AC24"/>
  <c r="E24"/>
  <c r="D24"/>
  <c r="C24"/>
  <c r="A24"/>
  <c r="AF23"/>
  <c r="AC23"/>
  <c r="E23"/>
  <c r="D23"/>
  <c r="C23"/>
  <c r="A23"/>
  <c r="AF22"/>
  <c r="AC22"/>
  <c r="E22"/>
  <c r="D22"/>
  <c r="C22"/>
  <c r="A22"/>
  <c r="AF21"/>
  <c r="AC21"/>
  <c r="T21" s="1"/>
  <c r="E21"/>
  <c r="D21"/>
  <c r="C21"/>
  <c r="B21"/>
  <c r="A21"/>
  <c r="AF20"/>
  <c r="AC20"/>
  <c r="E20"/>
  <c r="D20"/>
  <c r="C20"/>
  <c r="A20"/>
  <c r="AF19"/>
  <c r="AC19"/>
  <c r="E19"/>
  <c r="D19"/>
  <c r="C19"/>
  <c r="A19"/>
  <c r="AF18"/>
  <c r="AC18"/>
  <c r="E18"/>
  <c r="D18"/>
  <c r="C18"/>
  <c r="A18"/>
  <c r="AF17"/>
  <c r="AC17"/>
  <c r="E17"/>
  <c r="D17"/>
  <c r="C17"/>
  <c r="A17"/>
  <c r="AF16"/>
  <c r="AC16"/>
  <c r="E16"/>
  <c r="D16"/>
  <c r="C16"/>
  <c r="A16"/>
  <c r="AF15"/>
  <c r="AC15"/>
  <c r="T15" s="1"/>
  <c r="E15"/>
  <c r="D15"/>
  <c r="C15"/>
  <c r="B15"/>
  <c r="A15"/>
  <c r="AF14"/>
  <c r="AC14"/>
  <c r="E14"/>
  <c r="D14"/>
  <c r="C14"/>
  <c r="A14"/>
  <c r="AF13"/>
  <c r="AC13"/>
  <c r="E13"/>
  <c r="D13"/>
  <c r="C13"/>
  <c r="A13"/>
  <c r="AF12"/>
  <c r="AC12"/>
  <c r="E12"/>
  <c r="D12"/>
  <c r="C12"/>
  <c r="A12"/>
  <c r="AF11"/>
  <c r="AC11"/>
  <c r="E11"/>
  <c r="D11"/>
  <c r="C11"/>
  <c r="A11"/>
  <c r="AF10"/>
  <c r="AC10"/>
  <c r="E10"/>
  <c r="D10"/>
  <c r="C10"/>
  <c r="A10"/>
  <c r="AF9"/>
  <c r="AC9"/>
  <c r="E9"/>
  <c r="D9"/>
  <c r="C9"/>
  <c r="B9"/>
  <c r="A9"/>
  <c r="AF8"/>
  <c r="AC8"/>
  <c r="E8"/>
  <c r="D8"/>
  <c r="C8"/>
  <c r="A8"/>
  <c r="AF7"/>
  <c r="AC7"/>
  <c r="E7"/>
  <c r="D7"/>
  <c r="C7"/>
  <c r="A7"/>
  <c r="AF6"/>
  <c r="AC6"/>
  <c r="E6"/>
  <c r="D6"/>
  <c r="C6"/>
  <c r="A6"/>
  <c r="AF5"/>
  <c r="AC5"/>
  <c r="E5"/>
  <c r="D5"/>
  <c r="C5"/>
  <c r="A5"/>
  <c r="AF4"/>
  <c r="AC4"/>
  <c r="E4"/>
  <c r="D4"/>
  <c r="C4"/>
  <c r="A4"/>
  <c r="C27" i="28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L27" i="10"/>
  <c r="J27"/>
  <c r="H27"/>
  <c r="G27"/>
  <c r="E27"/>
  <c r="C27"/>
  <c r="A27"/>
  <c r="L26"/>
  <c r="J26"/>
  <c r="H26"/>
  <c r="G26"/>
  <c r="E26"/>
  <c r="C26"/>
  <c r="A26"/>
  <c r="L25"/>
  <c r="J25"/>
  <c r="H25"/>
  <c r="G25"/>
  <c r="E25"/>
  <c r="C25"/>
  <c r="A25"/>
  <c r="L24"/>
  <c r="J24"/>
  <c r="H24"/>
  <c r="G24"/>
  <c r="E24"/>
  <c r="C24"/>
  <c r="A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A8" i="22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7" i="8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C29" i="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BZ27" i="24"/>
  <c r="BT27"/>
  <c r="BH27"/>
  <c r="BD27"/>
  <c r="AX27"/>
  <c r="AH27"/>
  <c r="B27"/>
  <c r="A27"/>
  <c r="BZ26"/>
  <c r="BT26"/>
  <c r="BH26"/>
  <c r="BD26"/>
  <c r="AX26"/>
  <c r="AH26"/>
  <c r="B26"/>
  <c r="A26"/>
  <c r="BZ25"/>
  <c r="BT25"/>
  <c r="BH25"/>
  <c r="BD25"/>
  <c r="AX25"/>
  <c r="AH25"/>
  <c r="D25"/>
  <c r="B25"/>
  <c r="A25"/>
  <c r="BZ24"/>
  <c r="BT24"/>
  <c r="BH24"/>
  <c r="BD24"/>
  <c r="AX24"/>
  <c r="AH24"/>
  <c r="B24"/>
  <c r="A24"/>
  <c r="BZ23"/>
  <c r="BT23"/>
  <c r="BH23"/>
  <c r="BD23"/>
  <c r="AX23"/>
  <c r="AH23"/>
  <c r="B23"/>
  <c r="A23"/>
  <c r="BZ22"/>
  <c r="BT22"/>
  <c r="BH22"/>
  <c r="BD22"/>
  <c r="AX22"/>
  <c r="AH22"/>
  <c r="B22"/>
  <c r="A22"/>
  <c r="BZ21"/>
  <c r="BT21"/>
  <c r="BH21"/>
  <c r="BD21"/>
  <c r="AX21"/>
  <c r="AH21"/>
  <c r="B21"/>
  <c r="A21"/>
  <c r="BZ20"/>
  <c r="BT20"/>
  <c r="BH20"/>
  <c r="BD20"/>
  <c r="AX20"/>
  <c r="AH20"/>
  <c r="B20"/>
  <c r="A20"/>
  <c r="BZ19"/>
  <c r="BT19"/>
  <c r="BH19"/>
  <c r="BD19"/>
  <c r="AX19"/>
  <c r="AH19"/>
  <c r="B19"/>
  <c r="A19"/>
  <c r="BZ18"/>
  <c r="BT18"/>
  <c r="BH18"/>
  <c r="BD18"/>
  <c r="AX18"/>
  <c r="AH18"/>
  <c r="B18"/>
  <c r="A18"/>
  <c r="BZ17"/>
  <c r="BT17"/>
  <c r="BH17"/>
  <c r="BD17"/>
  <c r="AX17"/>
  <c r="AH17"/>
  <c r="D17"/>
  <c r="B17"/>
  <c r="A17"/>
  <c r="BZ16"/>
  <c r="BT16"/>
  <c r="BH16"/>
  <c r="BD16"/>
  <c r="AX16"/>
  <c r="AH16"/>
  <c r="B16"/>
  <c r="A16"/>
  <c r="BZ15"/>
  <c r="BT15"/>
  <c r="BH15"/>
  <c r="BD15"/>
  <c r="AX15"/>
  <c r="AH15"/>
  <c r="B15"/>
  <c r="A15"/>
  <c r="BZ14"/>
  <c r="BT14"/>
  <c r="BH14"/>
  <c r="BD14"/>
  <c r="AX14"/>
  <c r="AH14"/>
  <c r="B14"/>
  <c r="A14"/>
  <c r="BZ13"/>
  <c r="BT13"/>
  <c r="BH13"/>
  <c r="BD13"/>
  <c r="AX13"/>
  <c r="AH13"/>
  <c r="D13"/>
  <c r="B13"/>
  <c r="A13"/>
  <c r="BZ12"/>
  <c r="BT12"/>
  <c r="BH12"/>
  <c r="BD12"/>
  <c r="AX12"/>
  <c r="AH12"/>
  <c r="B12"/>
  <c r="A12"/>
  <c r="BZ11"/>
  <c r="BT11"/>
  <c r="BH11"/>
  <c r="BD11"/>
  <c r="AX11"/>
  <c r="AH11"/>
  <c r="B11"/>
  <c r="A11"/>
  <c r="BZ10"/>
  <c r="BT10"/>
  <c r="BH10"/>
  <c r="BD10"/>
  <c r="AX10"/>
  <c r="AH10"/>
  <c r="I10"/>
  <c r="B10"/>
  <c r="A10"/>
  <c r="BZ9"/>
  <c r="BT9"/>
  <c r="BH9"/>
  <c r="BD9"/>
  <c r="AX9"/>
  <c r="AH9"/>
  <c r="I9"/>
  <c r="B9"/>
  <c r="A9"/>
  <c r="BZ8"/>
  <c r="BT8"/>
  <c r="BH8"/>
  <c r="BD8"/>
  <c r="AX8"/>
  <c r="AH8"/>
  <c r="I8"/>
  <c r="B8"/>
  <c r="A8"/>
  <c r="BZ7"/>
  <c r="BT7"/>
  <c r="BH7"/>
  <c r="BD7"/>
  <c r="AX7"/>
  <c r="AH7"/>
  <c r="I7"/>
  <c r="B7"/>
  <c r="A7"/>
  <c r="BZ6"/>
  <c r="BT6"/>
  <c r="BH6"/>
  <c r="BD6"/>
  <c r="AX6"/>
  <c r="AH6"/>
  <c r="I6"/>
  <c r="B6"/>
  <c r="A6"/>
  <c r="BZ5"/>
  <c r="BT5"/>
  <c r="BH5"/>
  <c r="BD5"/>
  <c r="AX5"/>
  <c r="AH5"/>
  <c r="I5"/>
  <c r="F5"/>
  <c r="B5"/>
  <c r="A5"/>
  <c r="BZ4"/>
  <c r="BT4"/>
  <c r="BH4"/>
  <c r="BD4"/>
  <c r="AX4"/>
  <c r="AH4"/>
  <c r="I4"/>
  <c r="B4"/>
  <c r="A4"/>
  <c r="B27" i="23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C29" i="15"/>
  <c r="B29"/>
  <c r="C28"/>
  <c r="B28"/>
  <c r="C27"/>
  <c r="B27"/>
  <c r="C26"/>
  <c r="B26"/>
  <c r="C25"/>
  <c r="B25"/>
  <c r="C24"/>
  <c r="B24"/>
  <c r="C23"/>
  <c r="B23"/>
  <c r="C22"/>
  <c r="B22"/>
  <c r="C21"/>
  <c r="B21"/>
  <c r="C20"/>
  <c r="B20"/>
  <c r="C19"/>
  <c r="B19"/>
  <c r="C18"/>
  <c r="B18"/>
  <c r="C17"/>
  <c r="B17"/>
  <c r="C16"/>
  <c r="B16"/>
  <c r="C15"/>
  <c r="B15"/>
  <c r="C14"/>
  <c r="B14"/>
  <c r="C13"/>
  <c r="B13"/>
  <c r="C12"/>
  <c r="B12"/>
  <c r="C11"/>
  <c r="B11"/>
  <c r="C10"/>
  <c r="B10"/>
  <c r="C9"/>
  <c r="B9"/>
  <c r="C8"/>
  <c r="B8"/>
  <c r="C7"/>
  <c r="B7"/>
  <c r="C6"/>
  <c r="B6"/>
  <c r="C5"/>
  <c r="B5"/>
  <c r="C4"/>
  <c r="B4"/>
  <c r="C29" i="27"/>
  <c r="B29"/>
  <c r="A29"/>
  <c r="D28"/>
  <c r="C28"/>
  <c r="B28"/>
  <c r="A28"/>
  <c r="D27"/>
  <c r="C27"/>
  <c r="B27"/>
  <c r="A27"/>
  <c r="C26"/>
  <c r="B26"/>
  <c r="A26"/>
  <c r="C25"/>
  <c r="B25"/>
  <c r="A25"/>
  <c r="C24"/>
  <c r="B24"/>
  <c r="A24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H10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29" i="26"/>
  <c r="M29" s="1"/>
  <c r="E29" i="27" s="1"/>
  <c r="B29" i="26"/>
  <c r="A29"/>
  <c r="C28"/>
  <c r="M28" s="1"/>
  <c r="E28" i="27" s="1"/>
  <c r="B28" i="26"/>
  <c r="A28"/>
  <c r="C27"/>
  <c r="M27" s="1"/>
  <c r="E27" i="27" s="1"/>
  <c r="B27" i="26"/>
  <c r="A27"/>
  <c r="C26"/>
  <c r="M26" s="1"/>
  <c r="E26" i="27" s="1"/>
  <c r="B26" i="26"/>
  <c r="A26"/>
  <c r="C25"/>
  <c r="M25" s="1"/>
  <c r="E25" i="27" s="1"/>
  <c r="B25" i="26"/>
  <c r="A25"/>
  <c r="C24"/>
  <c r="M24" s="1"/>
  <c r="E24" i="27" s="1"/>
  <c r="B24" i="26"/>
  <c r="A24"/>
  <c r="C23"/>
  <c r="M23" s="1"/>
  <c r="E23" i="27" s="1"/>
  <c r="B23" i="26"/>
  <c r="A23"/>
  <c r="C22"/>
  <c r="M22" s="1"/>
  <c r="E22" i="27" s="1"/>
  <c r="B22" i="26"/>
  <c r="A22"/>
  <c r="C21"/>
  <c r="M21" s="1"/>
  <c r="E21" i="27" s="1"/>
  <c r="B21" i="26"/>
  <c r="A21"/>
  <c r="C20"/>
  <c r="M20" s="1"/>
  <c r="E20" i="27" s="1"/>
  <c r="B20" i="26"/>
  <c r="A20"/>
  <c r="C19"/>
  <c r="M19" s="1"/>
  <c r="E19" i="27" s="1"/>
  <c r="B19" i="26"/>
  <c r="A19"/>
  <c r="C18"/>
  <c r="M18" s="1"/>
  <c r="E18" i="27" s="1"/>
  <c r="B18" i="26"/>
  <c r="A18"/>
  <c r="C17"/>
  <c r="M17" s="1"/>
  <c r="E17" i="27" s="1"/>
  <c r="B17" i="26"/>
  <c r="A17"/>
  <c r="C16"/>
  <c r="M16" s="1"/>
  <c r="E16" i="27" s="1"/>
  <c r="B16" i="26"/>
  <c r="A16"/>
  <c r="C15"/>
  <c r="M15" s="1"/>
  <c r="E15" i="27" s="1"/>
  <c r="B15" i="26"/>
  <c r="A15"/>
  <c r="C14"/>
  <c r="M14" s="1"/>
  <c r="E14" i="27" s="1"/>
  <c r="B14" i="26"/>
  <c r="A14"/>
  <c r="C13"/>
  <c r="M13" s="1"/>
  <c r="E13" i="27" s="1"/>
  <c r="B13" i="26"/>
  <c r="A13"/>
  <c r="C12"/>
  <c r="M12" s="1"/>
  <c r="E12" i="27" s="1"/>
  <c r="B12" i="26"/>
  <c r="A12"/>
  <c r="C11"/>
  <c r="M11" s="1"/>
  <c r="E11" i="27" s="1"/>
  <c r="B11" i="26"/>
  <c r="A11"/>
  <c r="C10"/>
  <c r="M10" s="1"/>
  <c r="E10" i="27" s="1"/>
  <c r="B10" i="26"/>
  <c r="A10"/>
  <c r="C9"/>
  <c r="M9" s="1"/>
  <c r="E9" i="27" s="1"/>
  <c r="B9" i="26"/>
  <c r="A9"/>
  <c r="C8"/>
  <c r="M8" s="1"/>
  <c r="E8" i="27" s="1"/>
  <c r="B8" i="26"/>
  <c r="A8"/>
  <c r="C7"/>
  <c r="M7" s="1"/>
  <c r="E7" i="27" s="1"/>
  <c r="B7" i="26"/>
  <c r="A7"/>
  <c r="C6"/>
  <c r="M6" s="1"/>
  <c r="E6" i="27" s="1"/>
  <c r="B6" i="26"/>
  <c r="A6"/>
  <c r="C5"/>
  <c r="M5" s="1"/>
  <c r="E5" i="27" s="1"/>
  <c r="B5" i="26"/>
  <c r="A5"/>
  <c r="C4"/>
  <c r="M4" s="1"/>
  <c r="E4" i="27" s="1"/>
  <c r="B4" i="26"/>
  <c r="A4"/>
  <c r="D8" i="20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V27"/>
  <c r="V23"/>
  <c r="H23" i="24" s="1"/>
  <c r="V19" i="20"/>
  <c r="H19" i="24" s="1"/>
  <c r="V15" i="20"/>
  <c r="H15" i="24" s="1"/>
  <c r="V11" i="20"/>
  <c r="H11" i="24" s="1"/>
  <c r="V7" i="20"/>
  <c r="H7" i="24" s="1"/>
  <c r="P29" i="4"/>
  <c r="P28"/>
  <c r="D28"/>
  <c r="P27"/>
  <c r="N27"/>
  <c r="F27" i="24" s="1"/>
  <c r="F27" i="4"/>
  <c r="D27"/>
  <c r="C27"/>
  <c r="A27"/>
  <c r="P26"/>
  <c r="F26" i="24"/>
  <c r="D26" i="4"/>
  <c r="C26"/>
  <c r="B26"/>
  <c r="A26"/>
  <c r="P25"/>
  <c r="F25" i="24"/>
  <c r="D25" i="4"/>
  <c r="C25"/>
  <c r="B25"/>
  <c r="A25"/>
  <c r="P24"/>
  <c r="F24" i="24"/>
  <c r="D24" i="4"/>
  <c r="C24"/>
  <c r="B24"/>
  <c r="A24"/>
  <c r="P23"/>
  <c r="F23" i="24"/>
  <c r="D23" i="4"/>
  <c r="C23"/>
  <c r="B23"/>
  <c r="A23"/>
  <c r="P22"/>
  <c r="F22" i="24"/>
  <c r="D22" i="4"/>
  <c r="C22"/>
  <c r="B22"/>
  <c r="A22"/>
  <c r="P21"/>
  <c r="N21"/>
  <c r="F21" i="24" s="1"/>
  <c r="F21" i="4"/>
  <c r="D21"/>
  <c r="C21"/>
  <c r="B21"/>
  <c r="A21"/>
  <c r="P20"/>
  <c r="F20" i="24"/>
  <c r="D20" i="4"/>
  <c r="C20"/>
  <c r="B20"/>
  <c r="A20"/>
  <c r="P19"/>
  <c r="F19" i="24"/>
  <c r="D19" i="4"/>
  <c r="C19"/>
  <c r="B19"/>
  <c r="A19"/>
  <c r="P18"/>
  <c r="F18" i="24"/>
  <c r="D18" i="4"/>
  <c r="C18"/>
  <c r="B18"/>
  <c r="A18"/>
  <c r="P17"/>
  <c r="F17" i="24"/>
  <c r="D17" i="4"/>
  <c r="C17"/>
  <c r="B17"/>
  <c r="A17"/>
  <c r="P16"/>
  <c r="F16" i="24"/>
  <c r="D16" i="4"/>
  <c r="C16"/>
  <c r="B16"/>
  <c r="A16"/>
  <c r="P15"/>
  <c r="N15"/>
  <c r="F15" i="24" s="1"/>
  <c r="F15" i="4"/>
  <c r="D15"/>
  <c r="C15"/>
  <c r="B15"/>
  <c r="A15"/>
  <c r="P14"/>
  <c r="F14" i="24"/>
  <c r="D14" i="4"/>
  <c r="C14"/>
  <c r="B14"/>
  <c r="A14"/>
  <c r="P13"/>
  <c r="F13" i="24"/>
  <c r="D13" i="4"/>
  <c r="C13"/>
  <c r="B13"/>
  <c r="A13"/>
  <c r="P12"/>
  <c r="F12" i="24"/>
  <c r="D12" i="4"/>
  <c r="C12"/>
  <c r="B12"/>
  <c r="A12"/>
  <c r="P11"/>
  <c r="F11" i="24"/>
  <c r="D11" i="4"/>
  <c r="C11"/>
  <c r="B11"/>
  <c r="A11"/>
  <c r="P10"/>
  <c r="F10" i="24"/>
  <c r="D10" i="4"/>
  <c r="C10"/>
  <c r="B10"/>
  <c r="A10"/>
  <c r="P9"/>
  <c r="E9" i="24" s="1"/>
  <c r="N9" i="4"/>
  <c r="F9" i="24" s="1"/>
  <c r="F9" i="4"/>
  <c r="D9"/>
  <c r="C9"/>
  <c r="B9"/>
  <c r="A9"/>
  <c r="P8"/>
  <c r="E8" i="24" s="1"/>
  <c r="F8"/>
  <c r="D8" i="4"/>
  <c r="C8"/>
  <c r="B8"/>
  <c r="A8"/>
  <c r="P7"/>
  <c r="E7" i="24" s="1"/>
  <c r="F6"/>
  <c r="F4"/>
  <c r="N3" i="4"/>
  <c r="F3"/>
  <c r="AN29" i="16"/>
  <c r="AM29"/>
  <c r="E29"/>
  <c r="I29" s="1"/>
  <c r="P29" s="1"/>
  <c r="N29" s="1"/>
  <c r="D29"/>
  <c r="H29" s="1"/>
  <c r="L29" s="1"/>
  <c r="C29"/>
  <c r="B29"/>
  <c r="A29"/>
  <c r="AN28"/>
  <c r="AM28"/>
  <c r="E28"/>
  <c r="I28" s="1"/>
  <c r="P28" s="1"/>
  <c r="N28" s="1"/>
  <c r="D28"/>
  <c r="H28" s="1"/>
  <c r="C28"/>
  <c r="B28"/>
  <c r="A28"/>
  <c r="AN27"/>
  <c r="C27" i="24" s="1"/>
  <c r="AM27" i="16"/>
  <c r="D27" i="24" s="1"/>
  <c r="E27" i="16"/>
  <c r="I27" s="1"/>
  <c r="D27"/>
  <c r="H27" s="1"/>
  <c r="C106" s="1"/>
  <c r="C27"/>
  <c r="B27"/>
  <c r="A27"/>
  <c r="AN26"/>
  <c r="C26" i="24" s="1"/>
  <c r="AM26" i="16"/>
  <c r="D26" i="24" s="1"/>
  <c r="E26" i="16"/>
  <c r="I26" s="1"/>
  <c r="P26" s="1"/>
  <c r="N26" s="1"/>
  <c r="D26"/>
  <c r="H26" s="1"/>
  <c r="C26"/>
  <c r="B26"/>
  <c r="A26"/>
  <c r="AN25"/>
  <c r="C25" i="24" s="1"/>
  <c r="AM25" i="16"/>
  <c r="E25"/>
  <c r="I25" s="1"/>
  <c r="P25" s="1"/>
  <c r="N25" s="1"/>
  <c r="D25"/>
  <c r="H25" s="1"/>
  <c r="L25" s="1"/>
  <c r="C25"/>
  <c r="B25"/>
  <c r="A25"/>
  <c r="AN24"/>
  <c r="C24" i="24" s="1"/>
  <c r="AM24" i="16"/>
  <c r="D24" i="24" s="1"/>
  <c r="E24" i="16"/>
  <c r="I24" s="1"/>
  <c r="P24" s="1"/>
  <c r="N24" s="1"/>
  <c r="D24"/>
  <c r="H24" s="1"/>
  <c r="C24"/>
  <c r="B24"/>
  <c r="A24"/>
  <c r="AN23"/>
  <c r="C23" i="24" s="1"/>
  <c r="AM23" i="16"/>
  <c r="D23" i="24" s="1"/>
  <c r="E23" i="16"/>
  <c r="I23" s="1"/>
  <c r="P23" s="1"/>
  <c r="N23" s="1"/>
  <c r="D23"/>
  <c r="H23" s="1"/>
  <c r="C23"/>
  <c r="B23"/>
  <c r="A23"/>
  <c r="AN22"/>
  <c r="C22" i="24" s="1"/>
  <c r="AM22" i="16"/>
  <c r="D22" i="24" s="1"/>
  <c r="E22" i="16"/>
  <c r="I22" s="1"/>
  <c r="P22" s="1"/>
  <c r="N22" s="1"/>
  <c r="D22"/>
  <c r="H22" s="1"/>
  <c r="C22"/>
  <c r="B22"/>
  <c r="A22"/>
  <c r="AN21"/>
  <c r="C21" i="24" s="1"/>
  <c r="AM21" i="16"/>
  <c r="D21" i="24" s="1"/>
  <c r="E21" i="16"/>
  <c r="I21" s="1"/>
  <c r="P21" s="1"/>
  <c r="N21" s="1"/>
  <c r="D21"/>
  <c r="H21" s="1"/>
  <c r="C21"/>
  <c r="B21"/>
  <c r="A21"/>
  <c r="AN20"/>
  <c r="C20" i="24" s="1"/>
  <c r="AM20" i="16"/>
  <c r="D20" i="24" s="1"/>
  <c r="E20" i="16"/>
  <c r="I20" s="1"/>
  <c r="P20" s="1"/>
  <c r="N20" s="1"/>
  <c r="D20"/>
  <c r="H20" s="1"/>
  <c r="C20"/>
  <c r="B20"/>
  <c r="A20"/>
  <c r="AN19"/>
  <c r="C19" i="24" s="1"/>
  <c r="AM19" i="16"/>
  <c r="D19" i="24" s="1"/>
  <c r="E19" i="16"/>
  <c r="I19" s="1"/>
  <c r="P19" s="1"/>
  <c r="N19" s="1"/>
  <c r="D19"/>
  <c r="H19" s="1"/>
  <c r="C19"/>
  <c r="B19"/>
  <c r="A19"/>
  <c r="AN18"/>
  <c r="C18" i="24" s="1"/>
  <c r="AM18" i="16"/>
  <c r="D18" i="24" s="1"/>
  <c r="E18" i="16"/>
  <c r="I18" s="1"/>
  <c r="P18" s="1"/>
  <c r="N18" s="1"/>
  <c r="D18"/>
  <c r="H18" s="1"/>
  <c r="C18"/>
  <c r="B18"/>
  <c r="A18"/>
  <c r="AN17"/>
  <c r="C17" i="24" s="1"/>
  <c r="AM17" i="16"/>
  <c r="E17"/>
  <c r="I17" s="1"/>
  <c r="P17" s="1"/>
  <c r="N17" s="1"/>
  <c r="D17"/>
  <c r="H17" s="1"/>
  <c r="C17"/>
  <c r="B17"/>
  <c r="A17"/>
  <c r="AN16"/>
  <c r="C16" i="24" s="1"/>
  <c r="AM16" i="16"/>
  <c r="D16" i="24" s="1"/>
  <c r="E16" i="16"/>
  <c r="I16" s="1"/>
  <c r="P16" s="1"/>
  <c r="N16" s="1"/>
  <c r="D16"/>
  <c r="H16" s="1"/>
  <c r="C16"/>
  <c r="B16"/>
  <c r="A16"/>
  <c r="AN15"/>
  <c r="C15" i="24" s="1"/>
  <c r="AM15" i="16"/>
  <c r="D15" i="24" s="1"/>
  <c r="E15" i="16"/>
  <c r="I15" s="1"/>
  <c r="D15"/>
  <c r="H15" s="1"/>
  <c r="C78" s="1"/>
  <c r="C15"/>
  <c r="B15"/>
  <c r="A15"/>
  <c r="AN14"/>
  <c r="C14" i="24" s="1"/>
  <c r="AM14" i="16"/>
  <c r="D14" i="24" s="1"/>
  <c r="E14" i="16"/>
  <c r="I14" s="1"/>
  <c r="D14"/>
  <c r="H14" s="1"/>
  <c r="C14"/>
  <c r="B14"/>
  <c r="A14"/>
  <c r="AN13"/>
  <c r="C13" i="24" s="1"/>
  <c r="AM13" i="16"/>
  <c r="E13"/>
  <c r="I13" s="1"/>
  <c r="P13" s="1"/>
  <c r="N13" s="1"/>
  <c r="D13"/>
  <c r="H13" s="1"/>
  <c r="L13" s="1"/>
  <c r="C13"/>
  <c r="B13"/>
  <c r="A13"/>
  <c r="AN12"/>
  <c r="C12" i="24" s="1"/>
  <c r="AM12" i="16"/>
  <c r="D12" i="24" s="1"/>
  <c r="E12" i="16"/>
  <c r="I12" s="1"/>
  <c r="P12" s="1"/>
  <c r="N12" s="1"/>
  <c r="D12"/>
  <c r="H12" s="1"/>
  <c r="C12"/>
  <c r="B12"/>
  <c r="A12"/>
  <c r="AN11"/>
  <c r="C11" i="24" s="1"/>
  <c r="AM11" i="16"/>
  <c r="D11" i="24" s="1"/>
  <c r="E11" i="16"/>
  <c r="I11" s="1"/>
  <c r="D11"/>
  <c r="H11" s="1"/>
  <c r="C11"/>
  <c r="B11"/>
  <c r="A11"/>
  <c r="AN10"/>
  <c r="C10" i="24" s="1"/>
  <c r="AM10" i="16"/>
  <c r="D10" i="24" s="1"/>
  <c r="E10" i="16"/>
  <c r="I10" s="1"/>
  <c r="P10" s="1"/>
  <c r="N10" s="1"/>
  <c r="D10"/>
  <c r="H10" s="1"/>
  <c r="L10" s="1"/>
  <c r="C10"/>
  <c r="B10"/>
  <c r="A10"/>
  <c r="AN9"/>
  <c r="C9" i="24" s="1"/>
  <c r="AM9" i="16"/>
  <c r="D9" i="24" s="1"/>
  <c r="E9" i="16"/>
  <c r="I9" s="1"/>
  <c r="P9" s="1"/>
  <c r="N9" s="1"/>
  <c r="D9"/>
  <c r="H9" s="1"/>
  <c r="C9"/>
  <c r="B9"/>
  <c r="A9"/>
  <c r="AN8"/>
  <c r="C8" i="24" s="1"/>
  <c r="AM8" i="16"/>
  <c r="D8" i="24" s="1"/>
  <c r="E8" i="16"/>
  <c r="I8" s="1"/>
  <c r="P8" s="1"/>
  <c r="N8" s="1"/>
  <c r="D8"/>
  <c r="H8" s="1"/>
  <c r="C8"/>
  <c r="B8"/>
  <c r="A8"/>
  <c r="AN7"/>
  <c r="C7" i="24" s="1"/>
  <c r="AM7" i="16"/>
  <c r="D7" i="24" s="1"/>
  <c r="E7" i="16"/>
  <c r="I7" s="1"/>
  <c r="P7" s="1"/>
  <c r="N7" s="1"/>
  <c r="D7"/>
  <c r="H7" s="1"/>
  <c r="C7"/>
  <c r="B7"/>
  <c r="A7"/>
  <c r="AN6"/>
  <c r="C6" i="24" s="1"/>
  <c r="AM6" i="16"/>
  <c r="D6" i="24" s="1"/>
  <c r="E6" i="16"/>
  <c r="I6" s="1"/>
  <c r="P6" s="1"/>
  <c r="N6" s="1"/>
  <c r="D6"/>
  <c r="H6" s="1"/>
  <c r="L6" s="1"/>
  <c r="C6"/>
  <c r="B6"/>
  <c r="A6"/>
  <c r="B29" i="14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G27" i="12"/>
  <c r="F4"/>
  <c r="F5"/>
  <c r="F6"/>
  <c r="F6" i="1" s="1"/>
  <c r="F7" i="12"/>
  <c r="F7" i="1" s="1"/>
  <c r="F8" i="12"/>
  <c r="F15" i="1"/>
  <c r="F16" i="12"/>
  <c r="F17"/>
  <c r="F18"/>
  <c r="F18" i="1" s="1"/>
  <c r="F19" i="12"/>
  <c r="F20"/>
  <c r="F21" i="1"/>
  <c r="F22" i="12"/>
  <c r="F22" i="1" s="1"/>
  <c r="F23" i="12"/>
  <c r="F23" i="1" s="1"/>
  <c r="F24" i="12"/>
  <c r="F25"/>
  <c r="F26"/>
  <c r="F26" i="1" s="1"/>
  <c r="F27" i="12"/>
  <c r="F28"/>
  <c r="F29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N29" i="13"/>
  <c r="J29"/>
  <c r="H29" i="27" s="1"/>
  <c r="N28" i="13"/>
  <c r="P28" i="14" s="1"/>
  <c r="J28" i="13"/>
  <c r="H28" i="27" s="1"/>
  <c r="N27" i="13"/>
  <c r="J27"/>
  <c r="H27" i="27" s="1"/>
  <c r="N26" i="13"/>
  <c r="J26"/>
  <c r="H26" i="27" s="1"/>
  <c r="N25" i="13"/>
  <c r="J25"/>
  <c r="H25" i="27" s="1"/>
  <c r="N24" i="13"/>
  <c r="J24"/>
  <c r="H24" i="27" s="1"/>
  <c r="N23" i="13"/>
  <c r="J23"/>
  <c r="H23" i="27" s="1"/>
  <c r="N22" i="13"/>
  <c r="J22"/>
  <c r="H22" i="27" s="1"/>
  <c r="N21" i="13"/>
  <c r="J21"/>
  <c r="H21" i="27" s="1"/>
  <c r="N20" i="13"/>
  <c r="J20"/>
  <c r="H20" i="27" s="1"/>
  <c r="N19" i="13"/>
  <c r="J19"/>
  <c r="H19" i="27" s="1"/>
  <c r="N18" i="13"/>
  <c r="J18"/>
  <c r="H18" i="27" s="1"/>
  <c r="N17" i="13"/>
  <c r="J17"/>
  <c r="H17" i="27" s="1"/>
  <c r="N16" i="13"/>
  <c r="J16"/>
  <c r="H16" i="27" s="1"/>
  <c r="N15" i="13"/>
  <c r="J15"/>
  <c r="H15" i="27" s="1"/>
  <c r="N14" i="13"/>
  <c r="P14" i="14" s="1"/>
  <c r="G14" i="1" s="1"/>
  <c r="J14" i="13"/>
  <c r="H14" i="27" s="1"/>
  <c r="N13" i="13"/>
  <c r="P13" i="14" s="1"/>
  <c r="G13" i="1" s="1"/>
  <c r="J13" i="13"/>
  <c r="H13" i="27" s="1"/>
  <c r="N12" i="13"/>
  <c r="P12" i="14" s="1"/>
  <c r="G12" i="1" s="1"/>
  <c r="J12" i="13"/>
  <c r="H12" i="27" s="1"/>
  <c r="N11" i="13"/>
  <c r="P11" i="14" s="1"/>
  <c r="G11" i="1" s="1"/>
  <c r="J11" i="13"/>
  <c r="H11" i="27" s="1"/>
  <c r="N10" i="13"/>
  <c r="P10" i="14" s="1"/>
  <c r="G10" i="1" s="1"/>
  <c r="J10" i="13"/>
  <c r="N9"/>
  <c r="P9" i="14" s="1"/>
  <c r="G9" i="1" s="1"/>
  <c r="J9" i="13"/>
  <c r="H9" i="27" s="1"/>
  <c r="N8" i="13"/>
  <c r="J8"/>
  <c r="H8" i="27" s="1"/>
  <c r="C4" i="13"/>
  <c r="G4" s="1"/>
  <c r="C5"/>
  <c r="G5" s="1"/>
  <c r="C6"/>
  <c r="C7"/>
  <c r="C8"/>
  <c r="G8" s="1"/>
  <c r="I8" s="1"/>
  <c r="C9"/>
  <c r="C10"/>
  <c r="G10" s="1"/>
  <c r="C11"/>
  <c r="G11" s="1"/>
  <c r="H11" s="1"/>
  <c r="C12"/>
  <c r="C13"/>
  <c r="C14"/>
  <c r="G14" s="1"/>
  <c r="C15"/>
  <c r="H15" s="1"/>
  <c r="C16"/>
  <c r="G16" s="1"/>
  <c r="H16" s="1"/>
  <c r="C17"/>
  <c r="G17" s="1"/>
  <c r="C18"/>
  <c r="C19"/>
  <c r="H19" s="1"/>
  <c r="C20"/>
  <c r="G20" s="1"/>
  <c r="H20" s="1"/>
  <c r="C21"/>
  <c r="C22"/>
  <c r="G22" s="1"/>
  <c r="C23"/>
  <c r="G23" s="1"/>
  <c r="H23" s="1"/>
  <c r="C24"/>
  <c r="I24" s="1"/>
  <c r="C25"/>
  <c r="C26"/>
  <c r="G26" s="1"/>
  <c r="C27"/>
  <c r="H27" s="1"/>
  <c r="C28"/>
  <c r="C29"/>
  <c r="G29" s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K7" i="25"/>
  <c r="P8" i="1" s="1"/>
  <c r="C3" i="25"/>
  <c r="C4"/>
  <c r="C5"/>
  <c r="C6"/>
  <c r="C7"/>
  <c r="C8"/>
  <c r="C9"/>
  <c r="C10"/>
  <c r="C11"/>
  <c r="C12"/>
  <c r="C13"/>
  <c r="C14"/>
  <c r="C15"/>
  <c r="C16"/>
  <c r="C17"/>
  <c r="C18"/>
  <c r="C19"/>
  <c r="C20"/>
  <c r="B3"/>
  <c r="B4"/>
  <c r="B5"/>
  <c r="B6"/>
  <c r="B7"/>
  <c r="B8"/>
  <c r="B9"/>
  <c r="B10"/>
  <c r="B11"/>
  <c r="B12"/>
  <c r="B13"/>
  <c r="B14"/>
  <c r="B15"/>
  <c r="B16"/>
  <c r="B17"/>
  <c r="B18"/>
  <c r="B19"/>
  <c r="B20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V6" i="20" l="1"/>
  <c r="H6" i="24" s="1"/>
  <c r="CA6" s="1"/>
  <c r="Q6" i="9" s="1"/>
  <c r="V8" i="20"/>
  <c r="H8" i="24" s="1"/>
  <c r="CA8" s="1"/>
  <c r="Q8" i="9" s="1"/>
  <c r="V10" i="20"/>
  <c r="H10" i="24" s="1"/>
  <c r="V12" i="20"/>
  <c r="H12" i="24" s="1"/>
  <c r="CA12" s="1"/>
  <c r="Q12" i="9" s="1"/>
  <c r="V14" i="20"/>
  <c r="H14" i="24" s="1"/>
  <c r="CA14" s="1"/>
  <c r="Q14" i="9" s="1"/>
  <c r="V16" i="20"/>
  <c r="H16" i="24" s="1"/>
  <c r="CA16" s="1"/>
  <c r="Q16" i="9" s="1"/>
  <c r="V18" i="20"/>
  <c r="H18" i="24" s="1"/>
  <c r="CA18" s="1"/>
  <c r="Q18" i="9" s="1"/>
  <c r="V20" i="20"/>
  <c r="H20" i="24" s="1"/>
  <c r="CA20" s="1"/>
  <c r="V22" i="20"/>
  <c r="H22" i="24" s="1"/>
  <c r="CA22" s="1"/>
  <c r="V24" i="20"/>
  <c r="H24" i="24" s="1"/>
  <c r="CA24" s="1"/>
  <c r="V26" i="20"/>
  <c r="H26" i="24" s="1"/>
  <c r="CA26" s="1"/>
  <c r="CA28"/>
  <c r="CA7"/>
  <c r="Q7" i="9" s="1"/>
  <c r="CA11" i="24"/>
  <c r="Q11" i="9" s="1"/>
  <c r="CA15" i="24"/>
  <c r="Q15" i="9" s="1"/>
  <c r="CA19" i="24"/>
  <c r="Q19" i="9" s="1"/>
  <c r="V9" i="20"/>
  <c r="H9" i="24" s="1"/>
  <c r="CA9" s="1"/>
  <c r="Q9" i="9" s="1"/>
  <c r="V13" i="20"/>
  <c r="H13" i="24" s="1"/>
  <c r="CA13" s="1"/>
  <c r="Q13" i="9" s="1"/>
  <c r="V17" i="20"/>
  <c r="H17" i="24" s="1"/>
  <c r="CA17" s="1"/>
  <c r="Q17" i="9" s="1"/>
  <c r="V21" i="20"/>
  <c r="H21" i="24" s="1"/>
  <c r="CA21" s="1"/>
  <c r="V25" i="20"/>
  <c r="H25" i="24" s="1"/>
  <c r="CA25" s="1"/>
  <c r="CA29"/>
  <c r="I19" i="1"/>
  <c r="I11"/>
  <c r="H3" i="4"/>
  <c r="I18" i="1"/>
  <c r="I20"/>
  <c r="I26"/>
  <c r="I10"/>
  <c r="I12"/>
  <c r="I28"/>
  <c r="CB29" i="24"/>
  <c r="P29" i="9" s="1"/>
  <c r="CB28" i="24"/>
  <c r="P28" i="9" s="1"/>
  <c r="H27" i="4"/>
  <c r="I27" i="1" s="1"/>
  <c r="CA27" i="24"/>
  <c r="P29" i="14"/>
  <c r="P8"/>
  <c r="G8" i="1" s="1"/>
  <c r="V8" i="27"/>
  <c r="CA10" i="24"/>
  <c r="Q10" i="9" s="1"/>
  <c r="O33" i="1"/>
  <c r="M33" i="9" s="1"/>
  <c r="E38" i="23"/>
  <c r="L21" i="16"/>
  <c r="C92"/>
  <c r="CB6" i="24"/>
  <c r="P6" i="9" s="1"/>
  <c r="CB8" i="24"/>
  <c r="P8" i="9" s="1"/>
  <c r="CB16" i="24"/>
  <c r="P16" i="9" s="1"/>
  <c r="CB22" i="24"/>
  <c r="P22" i="9" s="1"/>
  <c r="CB24" i="24"/>
  <c r="P24" i="9" s="1"/>
  <c r="CB10" i="24"/>
  <c r="P10" i="9" s="1"/>
  <c r="CB18" i="24"/>
  <c r="P18" i="9" s="1"/>
  <c r="CB12" i="24"/>
  <c r="P12" i="9" s="1"/>
  <c r="CB26" i="24"/>
  <c r="P26" i="9" s="1"/>
  <c r="CB20" i="24"/>
  <c r="P20" i="9" s="1"/>
  <c r="CB14" i="24"/>
  <c r="P14" i="9" s="1"/>
  <c r="O35" i="1"/>
  <c r="M35" i="9" s="1"/>
  <c r="O32" i="1"/>
  <c r="M32" i="9" s="1"/>
  <c r="E32" i="23"/>
  <c r="O36" i="1"/>
  <c r="M36" i="9" s="1"/>
  <c r="O39" i="1"/>
  <c r="M39" i="9" s="1"/>
  <c r="E39" i="23"/>
  <c r="CA23" i="24"/>
  <c r="CB9"/>
  <c r="P9" i="9" s="1"/>
  <c r="CB11" i="24"/>
  <c r="P11" i="9" s="1"/>
  <c r="CB13" i="24"/>
  <c r="P13" i="9" s="1"/>
  <c r="CB15" i="24"/>
  <c r="P15" i="9" s="1"/>
  <c r="CB17" i="24"/>
  <c r="P17" i="9" s="1"/>
  <c r="CB19" i="24"/>
  <c r="P19" i="9" s="1"/>
  <c r="CB21" i="24"/>
  <c r="P21" i="9" s="1"/>
  <c r="CB23" i="24"/>
  <c r="P23" i="9" s="1"/>
  <c r="CB25" i="24"/>
  <c r="P25" i="9" s="1"/>
  <c r="CB27" i="24"/>
  <c r="P27" i="9" s="1"/>
  <c r="P27" i="14"/>
  <c r="G27" i="1" s="1"/>
  <c r="F27"/>
  <c r="G28"/>
  <c r="F28"/>
  <c r="G29"/>
  <c r="F29"/>
  <c r="G28" i="13"/>
  <c r="H28" s="1"/>
  <c r="L9" i="16"/>
  <c r="C64"/>
  <c r="P24" i="14"/>
  <c r="G24" i="1" s="1"/>
  <c r="F24"/>
  <c r="P25" i="14"/>
  <c r="G25" i="1" s="1"/>
  <c r="F25"/>
  <c r="V24" i="27"/>
  <c r="P21" i="14"/>
  <c r="G21" i="1" s="1"/>
  <c r="J27" i="9"/>
  <c r="J23"/>
  <c r="J25"/>
  <c r="J21"/>
  <c r="J5"/>
  <c r="J7"/>
  <c r="J26"/>
  <c r="J22"/>
  <c r="J6"/>
  <c r="J24"/>
  <c r="J4"/>
  <c r="P17" i="14"/>
  <c r="G17" i="1" s="1"/>
  <c r="F17"/>
  <c r="P19" i="14"/>
  <c r="G19" i="1" s="1"/>
  <c r="F19"/>
  <c r="P20" i="14"/>
  <c r="G20" i="1" s="1"/>
  <c r="F20"/>
  <c r="P16" i="14"/>
  <c r="G16" i="1" s="1"/>
  <c r="F16"/>
  <c r="P22" i="14"/>
  <c r="G22" i="1" s="1"/>
  <c r="F8"/>
  <c r="P18" i="14"/>
  <c r="G18" i="1" s="1"/>
  <c r="L26" i="16"/>
  <c r="J26"/>
  <c r="P26" i="14"/>
  <c r="G26" i="1" s="1"/>
  <c r="L17" i="16"/>
  <c r="L22"/>
  <c r="J22"/>
  <c r="P15"/>
  <c r="N15" s="1"/>
  <c r="L18"/>
  <c r="J18"/>
  <c r="P27"/>
  <c r="N27" s="1"/>
  <c r="P23" i="14"/>
  <c r="G23" i="1" s="1"/>
  <c r="P15" i="14"/>
  <c r="G15" i="1" s="1"/>
  <c r="J10" i="16"/>
  <c r="F5" i="1"/>
  <c r="P11" i="16"/>
  <c r="N11" s="1"/>
  <c r="L14"/>
  <c r="J14"/>
  <c r="P14"/>
  <c r="N14" s="1"/>
  <c r="F4" i="1"/>
  <c r="J6" i="16"/>
  <c r="H12" i="13"/>
  <c r="L12" s="1"/>
  <c r="I12"/>
  <c r="G8" i="27"/>
  <c r="G24"/>
  <c r="V4" i="26"/>
  <c r="F4" i="27" s="1"/>
  <c r="V6" i="26"/>
  <c r="F6" i="27" s="1"/>
  <c r="V9" i="26"/>
  <c r="F9" i="27" s="1"/>
  <c r="V10" i="26"/>
  <c r="F10" i="27" s="1"/>
  <c r="V13" i="26"/>
  <c r="F13" i="27" s="1"/>
  <c r="V15" i="26"/>
  <c r="F15" i="27" s="1"/>
  <c r="V17" i="26"/>
  <c r="F17" i="27" s="1"/>
  <c r="V19" i="26"/>
  <c r="F19" i="27" s="1"/>
  <c r="V24" i="26"/>
  <c r="F24" i="27" s="1"/>
  <c r="V25" i="26"/>
  <c r="F25" i="27" s="1"/>
  <c r="V26" i="26"/>
  <c r="F26" i="27" s="1"/>
  <c r="V27" i="26"/>
  <c r="F27" i="27" s="1"/>
  <c r="V28" i="26"/>
  <c r="F28" i="27" s="1"/>
  <c r="V29" i="26"/>
  <c r="F29" i="27" s="1"/>
  <c r="D4"/>
  <c r="D5"/>
  <c r="D7"/>
  <c r="D8"/>
  <c r="D9"/>
  <c r="D11"/>
  <c r="D12"/>
  <c r="D13"/>
  <c r="D14"/>
  <c r="D15"/>
  <c r="D16"/>
  <c r="D17"/>
  <c r="D18"/>
  <c r="D19"/>
  <c r="D20"/>
  <c r="D21"/>
  <c r="D23"/>
  <c r="D24"/>
  <c r="D25"/>
  <c r="D29"/>
  <c r="V5" i="26"/>
  <c r="F5" i="27" s="1"/>
  <c r="V7" i="26"/>
  <c r="F7" i="27" s="1"/>
  <c r="V8" i="26"/>
  <c r="F8" i="27" s="1"/>
  <c r="V11" i="26"/>
  <c r="F11" i="27" s="1"/>
  <c r="V12" i="26"/>
  <c r="F12" i="27" s="1"/>
  <c r="V14" i="26"/>
  <c r="F14" i="27" s="1"/>
  <c r="V16" i="26"/>
  <c r="F16" i="27" s="1"/>
  <c r="V18" i="26"/>
  <c r="F18" i="27" s="1"/>
  <c r="V20" i="26"/>
  <c r="F20" i="27" s="1"/>
  <c r="V21" i="26"/>
  <c r="F21" i="27" s="1"/>
  <c r="V22" i="26"/>
  <c r="F22" i="27" s="1"/>
  <c r="V23" i="26"/>
  <c r="F23" i="27" s="1"/>
  <c r="I4" i="1"/>
  <c r="I8"/>
  <c r="H9" i="4"/>
  <c r="I9" i="1" s="1"/>
  <c r="I16"/>
  <c r="I17"/>
  <c r="I24"/>
  <c r="I25"/>
  <c r="I6"/>
  <c r="I14"/>
  <c r="H15" i="4"/>
  <c r="I15" i="1" s="1"/>
  <c r="I13"/>
  <c r="H21" i="4"/>
  <c r="I21" i="1" s="1"/>
  <c r="I29"/>
  <c r="I22"/>
  <c r="I23"/>
  <c r="L8" i="16"/>
  <c r="J8"/>
  <c r="L11"/>
  <c r="J11"/>
  <c r="L24"/>
  <c r="J24"/>
  <c r="L27"/>
  <c r="J27"/>
  <c r="L7"/>
  <c r="J7"/>
  <c r="L20"/>
  <c r="J20"/>
  <c r="L23"/>
  <c r="J23"/>
  <c r="L16"/>
  <c r="J16"/>
  <c r="L19"/>
  <c r="J19"/>
  <c r="L12"/>
  <c r="J12"/>
  <c r="L15"/>
  <c r="J15"/>
  <c r="L28"/>
  <c r="J28"/>
  <c r="J9"/>
  <c r="J13"/>
  <c r="J17"/>
  <c r="J21"/>
  <c r="J25"/>
  <c r="J29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H29" i="13"/>
  <c r="K29" s="1"/>
  <c r="I29"/>
  <c r="I25"/>
  <c r="H25"/>
  <c r="K25" s="1"/>
  <c r="I21"/>
  <c r="H21"/>
  <c r="K21" s="1"/>
  <c r="H17"/>
  <c r="K17" s="1"/>
  <c r="I17"/>
  <c r="I13"/>
  <c r="H13"/>
  <c r="K13" s="1"/>
  <c r="H9"/>
  <c r="K9" s="1"/>
  <c r="I9"/>
  <c r="H26"/>
  <c r="K26" s="1"/>
  <c r="I26"/>
  <c r="I22"/>
  <c r="H22"/>
  <c r="K22" s="1"/>
  <c r="H18"/>
  <c r="L18" s="1"/>
  <c r="I18"/>
  <c r="I14"/>
  <c r="H14"/>
  <c r="K14" s="1"/>
  <c r="I10"/>
  <c r="H10"/>
  <c r="K10" s="1"/>
  <c r="H8"/>
  <c r="L8" s="1"/>
  <c r="H24"/>
  <c r="K24" s="1"/>
  <c r="I16"/>
  <c r="I20"/>
  <c r="L11"/>
  <c r="K11"/>
  <c r="L15"/>
  <c r="K15"/>
  <c r="L19"/>
  <c r="K19"/>
  <c r="L23"/>
  <c r="K23"/>
  <c r="L27"/>
  <c r="K27"/>
  <c r="K16"/>
  <c r="L16"/>
  <c r="K20"/>
  <c r="L20"/>
  <c r="I11"/>
  <c r="I15"/>
  <c r="I19"/>
  <c r="I23"/>
  <c r="I27"/>
  <c r="AB17" i="5" l="1"/>
  <c r="G17"/>
  <c r="AB14"/>
  <c r="G14"/>
  <c r="AB18"/>
  <c r="G18"/>
  <c r="Q29" i="9"/>
  <c r="R29" i="5" s="1"/>
  <c r="Q24" i="9"/>
  <c r="R24" i="5" s="1"/>
  <c r="S8"/>
  <c r="R8"/>
  <c r="AB19"/>
  <c r="G19"/>
  <c r="AB12"/>
  <c r="G12"/>
  <c r="S10"/>
  <c r="R10"/>
  <c r="S15"/>
  <c r="R15"/>
  <c r="G23"/>
  <c r="AB15"/>
  <c r="G15"/>
  <c r="Q23" i="9"/>
  <c r="R23" i="5" s="1"/>
  <c r="G20"/>
  <c r="AB10"/>
  <c r="G10"/>
  <c r="AB8"/>
  <c r="G8"/>
  <c r="G28"/>
  <c r="Q25" i="9"/>
  <c r="R25" i="5" s="1"/>
  <c r="S9"/>
  <c r="R9"/>
  <c r="S7"/>
  <c r="R7"/>
  <c r="Q22" i="9"/>
  <c r="R22" i="5" s="1"/>
  <c r="S14"/>
  <c r="R14"/>
  <c r="S6"/>
  <c r="R6"/>
  <c r="AB25"/>
  <c r="G25"/>
  <c r="AB9"/>
  <c r="G9"/>
  <c r="AB16"/>
  <c r="G16"/>
  <c r="S13"/>
  <c r="R13"/>
  <c r="S11"/>
  <c r="R11"/>
  <c r="S16"/>
  <c r="R16"/>
  <c r="G27"/>
  <c r="AB11"/>
  <c r="G11"/>
  <c r="G22"/>
  <c r="Q27" i="9"/>
  <c r="R27" i="5" s="1"/>
  <c r="S17"/>
  <c r="R17"/>
  <c r="Q26" i="9"/>
  <c r="R26" i="5" s="1"/>
  <c r="S18"/>
  <c r="R18"/>
  <c r="G21"/>
  <c r="AB13"/>
  <c r="G13"/>
  <c r="G26"/>
  <c r="G24"/>
  <c r="AB6"/>
  <c r="G6"/>
  <c r="AB29"/>
  <c r="G29"/>
  <c r="Q21" i="9"/>
  <c r="R21" i="5" s="1"/>
  <c r="S19"/>
  <c r="R19"/>
  <c r="Q28" i="9"/>
  <c r="R28" i="5" s="1"/>
  <c r="S20"/>
  <c r="Q20" i="9"/>
  <c r="R20" i="5" s="1"/>
  <c r="S12"/>
  <c r="R12"/>
  <c r="I28" i="13"/>
  <c r="G28" i="27" s="1"/>
  <c r="O30" i="1"/>
  <c r="M30" i="9" s="1"/>
  <c r="E30" i="23"/>
  <c r="L28" i="13"/>
  <c r="X28" i="27" s="1"/>
  <c r="K28" i="13"/>
  <c r="I28" i="27" s="1"/>
  <c r="O29" i="16"/>
  <c r="M29" s="1"/>
  <c r="H29" i="1" s="1"/>
  <c r="O17" i="16"/>
  <c r="M17" s="1"/>
  <c r="H17" i="1" s="1"/>
  <c r="O21" i="16"/>
  <c r="M21" s="1"/>
  <c r="H21" i="1" s="1"/>
  <c r="O6" i="16"/>
  <c r="Q6" s="1"/>
  <c r="O26"/>
  <c r="M26" s="1"/>
  <c r="H26" i="1" s="1"/>
  <c r="O22" i="16"/>
  <c r="Q22" s="1"/>
  <c r="P22" i="10" s="1"/>
  <c r="O14" i="16"/>
  <c r="M14" s="1"/>
  <c r="H14" i="1" s="1"/>
  <c r="O25" i="16"/>
  <c r="Q25" s="1"/>
  <c r="P25" i="10" s="1"/>
  <c r="O19" i="16"/>
  <c r="Q19" s="1"/>
  <c r="P19" i="10" s="1"/>
  <c r="O8" i="16"/>
  <c r="Q8" s="1"/>
  <c r="R8" i="10" s="1"/>
  <c r="P8" s="1"/>
  <c r="O18" i="16"/>
  <c r="M18" s="1"/>
  <c r="H18" i="1" s="1"/>
  <c r="O10" i="16"/>
  <c r="M10" s="1"/>
  <c r="H10" i="1" s="1"/>
  <c r="O16" i="16"/>
  <c r="Q16" s="1"/>
  <c r="P16" i="10" s="1"/>
  <c r="O20" i="16"/>
  <c r="Q20" s="1"/>
  <c r="P20" i="10" s="1"/>
  <c r="O13" i="16"/>
  <c r="Q13" s="1"/>
  <c r="R13" i="10" s="1"/>
  <c r="P13" s="1"/>
  <c r="O11" i="16"/>
  <c r="Q11" s="1"/>
  <c r="R11" i="10" s="1"/>
  <c r="P11" s="1"/>
  <c r="O9" i="16"/>
  <c r="Q9" s="1"/>
  <c r="R9" i="10" s="1"/>
  <c r="P9" s="1"/>
  <c r="L9" i="13"/>
  <c r="O9" s="1"/>
  <c r="L29"/>
  <c r="O29" s="1"/>
  <c r="V28" i="27"/>
  <c r="W29"/>
  <c r="I29"/>
  <c r="V27"/>
  <c r="G27"/>
  <c r="X27"/>
  <c r="J27"/>
  <c r="V29"/>
  <c r="G29"/>
  <c r="L10" i="13"/>
  <c r="J10" i="27" s="1"/>
  <c r="W27"/>
  <c r="I27"/>
  <c r="W26"/>
  <c r="I26"/>
  <c r="V26"/>
  <c r="G26"/>
  <c r="L26" i="13"/>
  <c r="AE26" i="26"/>
  <c r="AG26" s="1"/>
  <c r="D26" i="27"/>
  <c r="V25"/>
  <c r="G25"/>
  <c r="W25"/>
  <c r="I25"/>
  <c r="L17" i="13"/>
  <c r="X17" i="27" s="1"/>
  <c r="K18" i="13"/>
  <c r="W18" i="27" s="1"/>
  <c r="L14" i="13"/>
  <c r="O14" s="1"/>
  <c r="L24"/>
  <c r="J24" i="27" s="1"/>
  <c r="AE6" i="26"/>
  <c r="AG6" s="1"/>
  <c r="O6" i="9" s="1"/>
  <c r="D6" i="27"/>
  <c r="K8" i="13"/>
  <c r="I8" i="27" s="1"/>
  <c r="L22" i="13"/>
  <c r="O22" s="1"/>
  <c r="X12" i="27"/>
  <c r="J12"/>
  <c r="X8"/>
  <c r="J8"/>
  <c r="W14"/>
  <c r="I14"/>
  <c r="W22"/>
  <c r="I22"/>
  <c r="J18"/>
  <c r="X18"/>
  <c r="I19"/>
  <c r="W19"/>
  <c r="V20"/>
  <c r="G20"/>
  <c r="V22"/>
  <c r="G22"/>
  <c r="V21"/>
  <c r="G21"/>
  <c r="J9"/>
  <c r="X9"/>
  <c r="X15"/>
  <c r="J15"/>
  <c r="I13"/>
  <c r="W13"/>
  <c r="W21"/>
  <c r="I21"/>
  <c r="V12"/>
  <c r="G12"/>
  <c r="V23"/>
  <c r="G23"/>
  <c r="X20"/>
  <c r="J20"/>
  <c r="I23"/>
  <c r="W23"/>
  <c r="I15"/>
  <c r="W15"/>
  <c r="V10"/>
  <c r="G10"/>
  <c r="I9"/>
  <c r="W9"/>
  <c r="I17"/>
  <c r="W17"/>
  <c r="AE22" i="26"/>
  <c r="AG22" s="1"/>
  <c r="O22" i="9" s="1"/>
  <c r="D22" i="27"/>
  <c r="AE10" i="26"/>
  <c r="AG10" s="1"/>
  <c r="O10" i="9" s="1"/>
  <c r="D10" i="27"/>
  <c r="K12" i="13"/>
  <c r="O12" s="1"/>
  <c r="L21"/>
  <c r="L13"/>
  <c r="O13" s="1"/>
  <c r="V15" i="27"/>
  <c r="G15"/>
  <c r="O16" i="13"/>
  <c r="X16" i="27"/>
  <c r="J16"/>
  <c r="I11"/>
  <c r="W11"/>
  <c r="V14"/>
  <c r="G14"/>
  <c r="V13"/>
  <c r="G13"/>
  <c r="O19" i="13"/>
  <c r="V19" i="27"/>
  <c r="G19"/>
  <c r="W20"/>
  <c r="I20"/>
  <c r="X23"/>
  <c r="J23"/>
  <c r="V11"/>
  <c r="G11"/>
  <c r="W24"/>
  <c r="I24"/>
  <c r="W16"/>
  <c r="I16"/>
  <c r="X19"/>
  <c r="J19"/>
  <c r="X11"/>
  <c r="J11"/>
  <c r="V16"/>
  <c r="G16"/>
  <c r="W10"/>
  <c r="I10"/>
  <c r="V18"/>
  <c r="G18"/>
  <c r="V9"/>
  <c r="G9"/>
  <c r="V17"/>
  <c r="G17"/>
  <c r="AE18" i="26"/>
  <c r="AG18" s="1"/>
  <c r="O18" i="9" s="1"/>
  <c r="AE23" i="26"/>
  <c r="AG23" s="1"/>
  <c r="AE15"/>
  <c r="AG15" s="1"/>
  <c r="O15" i="9" s="1"/>
  <c r="AE11" i="26"/>
  <c r="AG11" s="1"/>
  <c r="O11" i="9" s="1"/>
  <c r="AE20" i="26"/>
  <c r="AG20" s="1"/>
  <c r="O20" i="9" s="1"/>
  <c r="AE12" i="26"/>
  <c r="AG12" s="1"/>
  <c r="O12" i="9" s="1"/>
  <c r="AE17" i="26"/>
  <c r="AG17" s="1"/>
  <c r="O17" i="9" s="1"/>
  <c r="AE9" i="26"/>
  <c r="AG9" s="1"/>
  <c r="O9" i="9" s="1"/>
  <c r="AE14" i="26"/>
  <c r="AG14" s="1"/>
  <c r="O14" i="9" s="1"/>
  <c r="AE27" i="26"/>
  <c r="AG27" s="1"/>
  <c r="AE19"/>
  <c r="AG19" s="1"/>
  <c r="O19" i="9" s="1"/>
  <c r="AE7" i="26"/>
  <c r="AG7" s="1"/>
  <c r="O7" i="9" s="1"/>
  <c r="AE28" i="26"/>
  <c r="AG28" s="1"/>
  <c r="AE24"/>
  <c r="AG24" s="1"/>
  <c r="AE16"/>
  <c r="AG16" s="1"/>
  <c r="O16" i="9" s="1"/>
  <c r="AE8" i="26"/>
  <c r="AG8" s="1"/>
  <c r="O8" i="9" s="1"/>
  <c r="AE4" i="26"/>
  <c r="AG4" s="1"/>
  <c r="AE29"/>
  <c r="AG29" s="1"/>
  <c r="AE25"/>
  <c r="AG25" s="1"/>
  <c r="AE21"/>
  <c r="AG21" s="1"/>
  <c r="O21" i="9" s="1"/>
  <c r="AE13" i="26"/>
  <c r="AG13" s="1"/>
  <c r="O13" i="9" s="1"/>
  <c r="AE5" i="26"/>
  <c r="AG5" s="1"/>
  <c r="O5" i="9" s="1"/>
  <c r="O27" i="16"/>
  <c r="Q27" s="1"/>
  <c r="P27" i="10" s="1"/>
  <c r="O23" i="16"/>
  <c r="M23" s="1"/>
  <c r="H23" i="1" s="1"/>
  <c r="O15" i="16"/>
  <c r="M15" s="1"/>
  <c r="H15" i="1" s="1"/>
  <c r="O7" i="16"/>
  <c r="M7" s="1"/>
  <c r="H7" i="1" s="1"/>
  <c r="O28" i="16"/>
  <c r="M28" s="1"/>
  <c r="H28" i="1" s="1"/>
  <c r="O24" i="16"/>
  <c r="M24" s="1"/>
  <c r="H24" i="1" s="1"/>
  <c r="O12" i="16"/>
  <c r="M12" s="1"/>
  <c r="H12" i="1" s="1"/>
  <c r="L25" i="13"/>
  <c r="O20"/>
  <c r="O27"/>
  <c r="O23"/>
  <c r="O11"/>
  <c r="O15"/>
  <c r="S25" i="5" l="1"/>
  <c r="S29"/>
  <c r="AB20"/>
  <c r="AB24"/>
  <c r="AB22"/>
  <c r="S28"/>
  <c r="S21"/>
  <c r="AB26"/>
  <c r="AB21"/>
  <c r="S26"/>
  <c r="S27"/>
  <c r="S22"/>
  <c r="AB28"/>
  <c r="S23"/>
  <c r="AB23"/>
  <c r="S24"/>
  <c r="AB27"/>
  <c r="J28" i="27"/>
  <c r="W28"/>
  <c r="O28" i="13"/>
  <c r="M28" s="1"/>
  <c r="M22" i="16"/>
  <c r="H22" i="1" s="1"/>
  <c r="Q29" i="16"/>
  <c r="K29" i="9"/>
  <c r="N29" s="1"/>
  <c r="M6" i="16"/>
  <c r="H6" i="1" s="1"/>
  <c r="M27" i="16"/>
  <c r="H27" i="1" s="1"/>
  <c r="Q23" i="16"/>
  <c r="P23" i="10" s="1"/>
  <c r="Q21" i="16"/>
  <c r="P21" i="10" s="1"/>
  <c r="Q17" i="16"/>
  <c r="P17" i="10" s="1"/>
  <c r="Q15" i="16"/>
  <c r="P15" i="10" s="1"/>
  <c r="Q14" i="16"/>
  <c r="R14" i="10" s="1"/>
  <c r="P14" s="1"/>
  <c r="Q28" i="16"/>
  <c r="M25"/>
  <c r="H25" i="1" s="1"/>
  <c r="Q10" i="16"/>
  <c r="R10" i="10" s="1"/>
  <c r="P10" s="1"/>
  <c r="M19" i="16"/>
  <c r="H19" i="1" s="1"/>
  <c r="M8" i="16"/>
  <c r="H8" i="1" s="1"/>
  <c r="Q26" i="16"/>
  <c r="P26" i="10" s="1"/>
  <c r="M9" i="16"/>
  <c r="H9" i="1" s="1"/>
  <c r="M16" i="16"/>
  <c r="H16" i="1" s="1"/>
  <c r="M20" i="16"/>
  <c r="H20" i="1" s="1"/>
  <c r="Q18" i="16"/>
  <c r="P18" i="10" s="1"/>
  <c r="M13" i="16"/>
  <c r="H13" i="1" s="1"/>
  <c r="Q24" i="16"/>
  <c r="P24" i="10" s="1"/>
  <c r="M11" i="16"/>
  <c r="H11" i="1" s="1"/>
  <c r="Q12" i="16"/>
  <c r="R12" i="10" s="1"/>
  <c r="P12" s="1"/>
  <c r="X10" i="27"/>
  <c r="J29"/>
  <c r="O24" i="13"/>
  <c r="M24" s="1"/>
  <c r="X29" i="27"/>
  <c r="O10" i="13"/>
  <c r="K10" i="9" s="1"/>
  <c r="N10" s="1"/>
  <c r="M29" i="13"/>
  <c r="M27"/>
  <c r="E27" i="1" s="1"/>
  <c r="K27" i="9"/>
  <c r="N27" s="1"/>
  <c r="O17" i="13"/>
  <c r="M17" s="1"/>
  <c r="J22" i="27"/>
  <c r="J26"/>
  <c r="X26"/>
  <c r="O26" i="13"/>
  <c r="I18" i="27"/>
  <c r="J17"/>
  <c r="O18" i="13"/>
  <c r="K18" i="9" s="1"/>
  <c r="N18" s="1"/>
  <c r="O8" i="13"/>
  <c r="K8" i="9" s="1"/>
  <c r="N8" s="1"/>
  <c r="W8" i="27"/>
  <c r="X24"/>
  <c r="O25" i="13"/>
  <c r="X25" i="27"/>
  <c r="J25"/>
  <c r="O4" i="9"/>
  <c r="I4" i="5"/>
  <c r="J14" i="27"/>
  <c r="X14"/>
  <c r="X22"/>
  <c r="M20" i="13"/>
  <c r="E20" i="1" s="1"/>
  <c r="K20" i="9"/>
  <c r="N20" s="1"/>
  <c r="W12" i="27"/>
  <c r="I12"/>
  <c r="M14" i="13"/>
  <c r="E14" i="1" s="1"/>
  <c r="L14" s="1"/>
  <c r="K14" i="9"/>
  <c r="N14" s="1"/>
  <c r="M11" i="13"/>
  <c r="E11" i="1" s="1"/>
  <c r="K11" i="9"/>
  <c r="N11" s="1"/>
  <c r="M19" i="13"/>
  <c r="K19" i="9"/>
  <c r="N19" s="1"/>
  <c r="X21" i="27"/>
  <c r="J21"/>
  <c r="M15" i="13"/>
  <c r="E15" i="1" s="1"/>
  <c r="L15" s="1"/>
  <c r="K15" i="9"/>
  <c r="N15" s="1"/>
  <c r="M9" i="13"/>
  <c r="E9" i="1" s="1"/>
  <c r="K9" i="9"/>
  <c r="N9" s="1"/>
  <c r="M13" i="13"/>
  <c r="E13" i="1" s="1"/>
  <c r="K13" i="9"/>
  <c r="N13" s="1"/>
  <c r="J13" i="27"/>
  <c r="X13"/>
  <c r="O21" i="13"/>
  <c r="M23"/>
  <c r="K23" i="9"/>
  <c r="N23" s="1"/>
  <c r="M12" i="13"/>
  <c r="E12" i="1" s="1"/>
  <c r="L12" s="1"/>
  <c r="K12" i="9"/>
  <c r="N12" s="1"/>
  <c r="M22" i="13"/>
  <c r="K22" i="9"/>
  <c r="N22" s="1"/>
  <c r="M16" i="13"/>
  <c r="E16" i="1" s="1"/>
  <c r="K16" i="9"/>
  <c r="N16" s="1"/>
  <c r="Q7" i="16"/>
  <c r="K28" i="9" l="1"/>
  <c r="N28" s="1"/>
  <c r="L27" i="1"/>
  <c r="O27" s="1"/>
  <c r="M27" i="9" s="1"/>
  <c r="O12" i="1"/>
  <c r="M12" i="9" s="1"/>
  <c r="O15" i="1"/>
  <c r="M15" i="9" s="1"/>
  <c r="O14" i="1"/>
  <c r="M14" i="9" s="1"/>
  <c r="E19" i="1"/>
  <c r="L19" s="1"/>
  <c r="E17"/>
  <c r="L17" s="1"/>
  <c r="C17" i="23" s="1"/>
  <c r="E17" s="1"/>
  <c r="E23" i="1"/>
  <c r="L23" s="1"/>
  <c r="O23" s="1"/>
  <c r="E28"/>
  <c r="E29"/>
  <c r="E22"/>
  <c r="L22" s="1"/>
  <c r="E24"/>
  <c r="L24" s="1"/>
  <c r="O24" s="1"/>
  <c r="L16"/>
  <c r="O16" s="1"/>
  <c r="L11"/>
  <c r="O11" s="1"/>
  <c r="L20"/>
  <c r="O20" s="1"/>
  <c r="L13"/>
  <c r="O13" s="1"/>
  <c r="K24" i="9"/>
  <c r="M10" i="13"/>
  <c r="E10" i="1" s="1"/>
  <c r="L10" s="1"/>
  <c r="O10" s="1"/>
  <c r="K17" i="9"/>
  <c r="H27" i="5"/>
  <c r="X73" s="1"/>
  <c r="H29"/>
  <c r="X75" s="1"/>
  <c r="M26" i="13"/>
  <c r="K26" i="9"/>
  <c r="N26" s="1"/>
  <c r="M18" i="13"/>
  <c r="M25"/>
  <c r="K25" i="9"/>
  <c r="N25" s="1"/>
  <c r="M8" i="13"/>
  <c r="E8" i="1" s="1"/>
  <c r="H9" i="5"/>
  <c r="X55" s="1"/>
  <c r="H15"/>
  <c r="X61" s="1"/>
  <c r="H19"/>
  <c r="X65" s="1"/>
  <c r="H11"/>
  <c r="X57" s="1"/>
  <c r="H12"/>
  <c r="X58" s="1"/>
  <c r="H23"/>
  <c r="X69" s="1"/>
  <c r="C14" i="23"/>
  <c r="E14" s="1"/>
  <c r="AD14" i="5"/>
  <c r="H13"/>
  <c r="X59" s="1"/>
  <c r="H8"/>
  <c r="X54" s="1"/>
  <c r="H18"/>
  <c r="X64" s="1"/>
  <c r="H14"/>
  <c r="X60" s="1"/>
  <c r="H20"/>
  <c r="X66" s="1"/>
  <c r="H16"/>
  <c r="X62" s="1"/>
  <c r="H22"/>
  <c r="X68" s="1"/>
  <c r="M21" i="13"/>
  <c r="K21" i="9"/>
  <c r="N21" s="1"/>
  <c r="AD15" i="5"/>
  <c r="C12" i="23"/>
  <c r="E12" s="1"/>
  <c r="AD12" i="5"/>
  <c r="H10"/>
  <c r="X56" s="1"/>
  <c r="T43" i="24"/>
  <c r="V43"/>
  <c r="R43"/>
  <c r="S43"/>
  <c r="U43"/>
  <c r="W43"/>
  <c r="X43"/>
  <c r="Y43"/>
  <c r="Z43"/>
  <c r="Z58" i="5" l="1"/>
  <c r="W12"/>
  <c r="Z61"/>
  <c r="X15"/>
  <c r="Z60"/>
  <c r="X14"/>
  <c r="W14"/>
  <c r="L29" i="1"/>
  <c r="AD29" i="5" s="1"/>
  <c r="H28"/>
  <c r="X74" s="1"/>
  <c r="O19" i="1"/>
  <c r="M19" i="9" s="1"/>
  <c r="H17" i="5"/>
  <c r="X63" s="1"/>
  <c r="N17" i="9"/>
  <c r="O17" i="1"/>
  <c r="M17" i="9" s="1"/>
  <c r="O22" i="1"/>
  <c r="M22" i="9" s="1"/>
  <c r="M23"/>
  <c r="C23" i="23"/>
  <c r="E23" s="1"/>
  <c r="M24" i="9"/>
  <c r="H24" i="5"/>
  <c r="X70" s="1"/>
  <c r="N24" i="9"/>
  <c r="L28" i="1"/>
  <c r="AD10" i="5"/>
  <c r="M10" i="9"/>
  <c r="C11" i="23"/>
  <c r="E11" s="1"/>
  <c r="M11" i="9"/>
  <c r="M16"/>
  <c r="AD20" i="5"/>
  <c r="AD19"/>
  <c r="C19" i="23"/>
  <c r="E19" s="1"/>
  <c r="E18" i="1"/>
  <c r="L18" s="1"/>
  <c r="AD22" i="5"/>
  <c r="C22" i="23"/>
  <c r="E22" s="1"/>
  <c r="E21" i="1"/>
  <c r="L21" s="1"/>
  <c r="E25"/>
  <c r="L25" s="1"/>
  <c r="O25" s="1"/>
  <c r="E26"/>
  <c r="C24" i="23"/>
  <c r="E24" s="1"/>
  <c r="AD23" i="5"/>
  <c r="C16" i="23"/>
  <c r="E16" s="1"/>
  <c r="AD27" i="5"/>
  <c r="AD16"/>
  <c r="AD11"/>
  <c r="C20" i="23"/>
  <c r="E20" s="1"/>
  <c r="C13"/>
  <c r="E13" s="1"/>
  <c r="AD13" i="5"/>
  <c r="AD24"/>
  <c r="C10" i="23"/>
  <c r="E10" s="1"/>
  <c r="AD17" i="5"/>
  <c r="H26"/>
  <c r="X72" s="1"/>
  <c r="H25"/>
  <c r="X71" s="1"/>
  <c r="X12"/>
  <c r="H21"/>
  <c r="X67" s="1"/>
  <c r="V4" i="20"/>
  <c r="H4" i="24" s="1"/>
  <c r="V3" i="20"/>
  <c r="X10" i="5" l="1"/>
  <c r="Z56"/>
  <c r="W10"/>
  <c r="Z63"/>
  <c r="W17"/>
  <c r="X17"/>
  <c r="Z66"/>
  <c r="X20"/>
  <c r="W20"/>
  <c r="X13"/>
  <c r="Z59"/>
  <c r="W13"/>
  <c r="Z62"/>
  <c r="X16"/>
  <c r="W16"/>
  <c r="Z65"/>
  <c r="W19"/>
  <c r="X19"/>
  <c r="Z73"/>
  <c r="X27"/>
  <c r="Z68"/>
  <c r="W22"/>
  <c r="X22"/>
  <c r="Z70"/>
  <c r="X24"/>
  <c r="W24"/>
  <c r="X11"/>
  <c r="Z57"/>
  <c r="W11"/>
  <c r="Z69"/>
  <c r="X23"/>
  <c r="W23"/>
  <c r="Z75"/>
  <c r="W29"/>
  <c r="X29"/>
  <c r="O29" i="1"/>
  <c r="M29" i="9" s="1"/>
  <c r="E29" i="23"/>
  <c r="O18" i="1"/>
  <c r="M18" i="9" s="1"/>
  <c r="O28" i="1"/>
  <c r="M28" i="9" s="1"/>
  <c r="O21" i="1"/>
  <c r="M21" i="9" s="1"/>
  <c r="C25" i="23"/>
  <c r="E25" s="1"/>
  <c r="M20" i="9"/>
  <c r="M13"/>
  <c r="AD28" i="5"/>
  <c r="L26" i="1"/>
  <c r="E28" i="23"/>
  <c r="AD25" i="5"/>
  <c r="M25" i="9"/>
  <c r="C18" i="23"/>
  <c r="E18" s="1"/>
  <c r="AD18" i="5"/>
  <c r="AD21"/>
  <c r="V5" i="20"/>
  <c r="H5" i="24" s="1"/>
  <c r="F7"/>
  <c r="CB7" s="1"/>
  <c r="P7" i="9" s="1"/>
  <c r="I5" i="1"/>
  <c r="AB7" i="5" l="1"/>
  <c r="G7"/>
  <c r="Z74"/>
  <c r="X28"/>
  <c r="W28"/>
  <c r="Z64"/>
  <c r="X18"/>
  <c r="W18"/>
  <c r="Z67"/>
  <c r="X21"/>
  <c r="Z71"/>
  <c r="W25"/>
  <c r="X25"/>
  <c r="I7" i="1"/>
  <c r="O26"/>
  <c r="M26" i="9" s="1"/>
  <c r="C26" i="23"/>
  <c r="E26" s="1"/>
  <c r="AD26" i="5"/>
  <c r="N3" i="1"/>
  <c r="A6" i="12"/>
  <c r="A7"/>
  <c r="L64" i="1"/>
  <c r="R64" s="1"/>
  <c r="J64"/>
  <c r="I64"/>
  <c r="H64"/>
  <c r="H65" s="1"/>
  <c r="Z72" i="5" l="1"/>
  <c r="W26"/>
  <c r="X26"/>
  <c r="F61" i="13"/>
  <c r="D3" i="5"/>
  <c r="B3"/>
  <c r="A3"/>
  <c r="C3"/>
  <c r="J3" i="1" l="1"/>
  <c r="F3" i="24"/>
  <c r="F43" s="1"/>
  <c r="AM3" i="16"/>
  <c r="AM4"/>
  <c r="D4" i="24" s="1"/>
  <c r="CB4" s="1"/>
  <c r="P4" i="9" s="1"/>
  <c r="AM5" i="16"/>
  <c r="D5" i="24" s="1"/>
  <c r="CB5" s="1"/>
  <c r="P5" i="9" s="1"/>
  <c r="AN3" i="16"/>
  <c r="AN4"/>
  <c r="C4" i="24" s="1"/>
  <c r="CA4" s="1"/>
  <c r="Q4" i="9" s="1"/>
  <c r="AN5" i="16"/>
  <c r="C5" i="24" s="1"/>
  <c r="CA5" s="1"/>
  <c r="Q5" i="9" s="1"/>
  <c r="S4" i="5" l="1"/>
  <c r="R4"/>
  <c r="AB5"/>
  <c r="G5"/>
  <c r="S5"/>
  <c r="R5"/>
  <c r="AB4"/>
  <c r="G4"/>
  <c r="BZ3" i="24"/>
  <c r="AF3" i="5" l="1"/>
  <c r="AC3"/>
  <c r="T3" s="1"/>
  <c r="T43" s="1"/>
  <c r="J3" i="13"/>
  <c r="J4"/>
  <c r="H4" i="27" s="1"/>
  <c r="J5" i="13"/>
  <c r="H5" i="27" s="1"/>
  <c r="J6" i="13"/>
  <c r="H6" i="27" s="1"/>
  <c r="J7" i="13"/>
  <c r="H7" i="27" s="1"/>
  <c r="BD3" i="24" l="1"/>
  <c r="AX3"/>
  <c r="Q43"/>
  <c r="P43" l="1"/>
  <c r="P3" i="4"/>
  <c r="P4"/>
  <c r="E4" i="24" s="1"/>
  <c r="P5" i="4"/>
  <c r="E5" i="24" s="1"/>
  <c r="P6" i="4"/>
  <c r="E6" i="24" s="1"/>
  <c r="BT3"/>
  <c r="AH3"/>
  <c r="D3" l="1"/>
  <c r="D43" s="1"/>
  <c r="I3" i="1"/>
  <c r="F3" l="1"/>
  <c r="O43" i="24"/>
  <c r="AT43"/>
  <c r="AU43"/>
  <c r="T43" i="23"/>
  <c r="T43" i="9"/>
  <c r="AD43" i="16" l="1"/>
  <c r="AE43"/>
  <c r="AF43"/>
  <c r="AH43"/>
  <c r="AI43"/>
  <c r="AL43"/>
  <c r="AM43"/>
  <c r="L43" i="9"/>
  <c r="D43" i="15" l="1"/>
  <c r="E43"/>
  <c r="F43"/>
  <c r="G43"/>
  <c r="H43"/>
  <c r="I43"/>
  <c r="J43"/>
  <c r="K43" l="1"/>
  <c r="K2" i="25"/>
  <c r="P3" i="1" s="1"/>
  <c r="K3" i="25"/>
  <c r="P4" i="1" s="1"/>
  <c r="K4" i="25"/>
  <c r="P5" i="1" s="1"/>
  <c r="K5" i="25"/>
  <c r="P6" i="1" s="1"/>
  <c r="K6" i="25"/>
  <c r="P7" i="1" s="1"/>
  <c r="Y43" i="5" l="1"/>
  <c r="E3" l="1"/>
  <c r="AF43" l="1"/>
  <c r="C5" i="28" l="1"/>
  <c r="B5"/>
  <c r="C4"/>
  <c r="B4"/>
  <c r="C3"/>
  <c r="B3"/>
  <c r="A3"/>
  <c r="S43" i="10"/>
  <c r="Q43" l="1"/>
  <c r="O43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43" l="1"/>
  <c r="A7" i="22"/>
  <c r="A3"/>
  <c r="A3" i="8"/>
  <c r="S43" i="9" l="1"/>
  <c r="R43"/>
  <c r="I43" l="1"/>
  <c r="H43"/>
  <c r="G43"/>
  <c r="F43"/>
  <c r="E43"/>
  <c r="D43"/>
  <c r="C3" l="1"/>
  <c r="B3"/>
  <c r="A3"/>
  <c r="BS43" i="24" l="1"/>
  <c r="BP43"/>
  <c r="BO43"/>
  <c r="BN43"/>
  <c r="BM43"/>
  <c r="BL43"/>
  <c r="BK43"/>
  <c r="BJ43"/>
  <c r="BI43"/>
  <c r="BG43"/>
  <c r="BF43"/>
  <c r="BE43"/>
  <c r="BC43"/>
  <c r="BB43"/>
  <c r="BA43"/>
  <c r="AZ43"/>
  <c r="AY43"/>
  <c r="AW43"/>
  <c r="AS43"/>
  <c r="AR43"/>
  <c r="AQ43"/>
  <c r="AP43"/>
  <c r="AO43"/>
  <c r="AN43"/>
  <c r="AM43"/>
  <c r="AL43"/>
  <c r="AK43"/>
  <c r="AJ43"/>
  <c r="AG43"/>
  <c r="AF43"/>
  <c r="AE43"/>
  <c r="AD43"/>
  <c r="AC43"/>
  <c r="AB43"/>
  <c r="AA43"/>
  <c r="N43"/>
  <c r="M43"/>
  <c r="L43"/>
  <c r="K43"/>
  <c r="J43"/>
  <c r="BH3"/>
  <c r="I3"/>
  <c r="B3"/>
  <c r="A3"/>
  <c r="BD43"/>
  <c r="C52" i="23"/>
  <c r="S43"/>
  <c r="R43"/>
  <c r="Q43"/>
  <c r="P43"/>
  <c r="O43"/>
  <c r="N43"/>
  <c r="M43"/>
  <c r="L43"/>
  <c r="K43"/>
  <c r="J43"/>
  <c r="I43"/>
  <c r="CB3" i="24" l="1"/>
  <c r="P3" i="9" s="1"/>
  <c r="I43" i="24"/>
  <c r="BH43"/>
  <c r="BT43"/>
  <c r="AX43"/>
  <c r="AH43"/>
  <c r="G3" i="5" l="1"/>
  <c r="B3" i="23"/>
  <c r="A3"/>
  <c r="L43" i="15" l="1"/>
  <c r="C3"/>
  <c r="B3"/>
  <c r="A3"/>
  <c r="A43" i="27" l="1"/>
  <c r="C3"/>
  <c r="B3"/>
  <c r="A3"/>
  <c r="A43" i="26"/>
  <c r="J8" i="9" l="1"/>
  <c r="C3" i="26"/>
  <c r="B3"/>
  <c r="A3"/>
  <c r="D3" i="27" l="1"/>
  <c r="M3" i="26"/>
  <c r="V3"/>
  <c r="W43" i="20"/>
  <c r="N43"/>
  <c r="M43"/>
  <c r="L43"/>
  <c r="K43"/>
  <c r="J43"/>
  <c r="I43"/>
  <c r="E43"/>
  <c r="D7"/>
  <c r="C7"/>
  <c r="D6"/>
  <c r="C6"/>
  <c r="B6"/>
  <c r="D5"/>
  <c r="C5"/>
  <c r="B5"/>
  <c r="D4"/>
  <c r="C4"/>
  <c r="B4"/>
  <c r="H3" i="24"/>
  <c r="H43" s="1"/>
  <c r="D3" i="20"/>
  <c r="C3"/>
  <c r="B3"/>
  <c r="A3"/>
  <c r="BJ43" i="4"/>
  <c r="BI43"/>
  <c r="BH43"/>
  <c r="BG43"/>
  <c r="BF43"/>
  <c r="BE43"/>
  <c r="BD43"/>
  <c r="BC43"/>
  <c r="BB43"/>
  <c r="BA43"/>
  <c r="AZ43"/>
  <c r="AY43"/>
  <c r="AX43"/>
  <c r="AW43"/>
  <c r="AV43"/>
  <c r="AU43"/>
  <c r="AT43"/>
  <c r="AS43"/>
  <c r="AR43"/>
  <c r="AQ43"/>
  <c r="AO43"/>
  <c r="AN43"/>
  <c r="AM43"/>
  <c r="AK43"/>
  <c r="AJ43"/>
  <c r="AD43"/>
  <c r="AC43"/>
  <c r="AB43"/>
  <c r="AA43"/>
  <c r="Z43"/>
  <c r="X43"/>
  <c r="V43"/>
  <c r="S43"/>
  <c r="R43"/>
  <c r="Q43"/>
  <c r="E43"/>
  <c r="D7"/>
  <c r="C7"/>
  <c r="B7"/>
  <c r="A7"/>
  <c r="D6"/>
  <c r="C6"/>
  <c r="B6"/>
  <c r="D5"/>
  <c r="C5"/>
  <c r="B5"/>
  <c r="D4"/>
  <c r="C4"/>
  <c r="B4"/>
  <c r="E3" i="24"/>
  <c r="E43" s="1"/>
  <c r="D3" i="4"/>
  <c r="C3"/>
  <c r="B3"/>
  <c r="A3"/>
  <c r="AC43" i="5" l="1"/>
  <c r="V43" i="20"/>
  <c r="AC43" i="16"/>
  <c r="AB43"/>
  <c r="AA43"/>
  <c r="W43"/>
  <c r="V43"/>
  <c r="U43"/>
  <c r="T43"/>
  <c r="S43"/>
  <c r="R43"/>
  <c r="CA31" i="24" l="1"/>
  <c r="Q31" i="9" s="1"/>
  <c r="CB31" i="24"/>
  <c r="P31" i="9" s="1"/>
  <c r="D43" i="26"/>
  <c r="S31" i="5" l="1"/>
  <c r="R31"/>
  <c r="AB31"/>
  <c r="AD31" s="1"/>
  <c r="G31"/>
  <c r="CB43" i="24"/>
  <c r="E5" i="16"/>
  <c r="I5" s="1"/>
  <c r="D5"/>
  <c r="H5" s="1"/>
  <c r="C5"/>
  <c r="B5"/>
  <c r="E4"/>
  <c r="I4" s="1"/>
  <c r="D4"/>
  <c r="H4" s="1"/>
  <c r="C4"/>
  <c r="B4"/>
  <c r="C3" i="24"/>
  <c r="CA3" s="1"/>
  <c r="E3" i="16"/>
  <c r="I3" s="1"/>
  <c r="D3"/>
  <c r="H3" s="1"/>
  <c r="C50" s="1"/>
  <c r="C3"/>
  <c r="B3"/>
  <c r="A3"/>
  <c r="B3" i="14"/>
  <c r="A3"/>
  <c r="X31" i="5" l="1"/>
  <c r="W31"/>
  <c r="H31"/>
  <c r="X77" s="1"/>
  <c r="Z77" s="1"/>
  <c r="G43"/>
  <c r="P43" i="9"/>
  <c r="Q3"/>
  <c r="AB3" i="5" s="1"/>
  <c r="K4" i="16"/>
  <c r="L4"/>
  <c r="J4"/>
  <c r="P5"/>
  <c r="N5" s="1"/>
  <c r="P4"/>
  <c r="N4" s="1"/>
  <c r="P3"/>
  <c r="N3" s="1"/>
  <c r="L3"/>
  <c r="K3"/>
  <c r="J3"/>
  <c r="L5"/>
  <c r="J5"/>
  <c r="K5"/>
  <c r="AN43"/>
  <c r="O5" l="1"/>
  <c r="Q5" s="1"/>
  <c r="R5" i="10" s="1"/>
  <c r="J43" i="16"/>
  <c r="O3"/>
  <c r="L43"/>
  <c r="O4"/>
  <c r="K43"/>
  <c r="I43"/>
  <c r="C43" i="24"/>
  <c r="H43" i="16"/>
  <c r="B4" i="12"/>
  <c r="C3"/>
  <c r="B3"/>
  <c r="A3"/>
  <c r="F43"/>
  <c r="M5" i="16" l="1"/>
  <c r="H5" i="1" s="1"/>
  <c r="R7" i="10"/>
  <c r="R6"/>
  <c r="P43" i="16"/>
  <c r="O43"/>
  <c r="M4"/>
  <c r="H4" i="1" s="1"/>
  <c r="Q4" i="16"/>
  <c r="R4" i="10" s="1"/>
  <c r="M3" i="16"/>
  <c r="H3" i="1" s="1"/>
  <c r="Q3" i="16"/>
  <c r="R3" i="10" s="1"/>
  <c r="CA43" i="24"/>
  <c r="F43" i="13"/>
  <c r="E43"/>
  <c r="D43"/>
  <c r="Q43" i="9" l="1"/>
  <c r="N43" i="16"/>
  <c r="Q43"/>
  <c r="R43" i="10"/>
  <c r="M43" i="16"/>
  <c r="O37" i="1" l="1"/>
  <c r="M37" i="9" s="1"/>
  <c r="E37" i="23"/>
  <c r="N7" i="13"/>
  <c r="P7" i="14" s="1"/>
  <c r="G7" i="1" s="1"/>
  <c r="N6" i="13"/>
  <c r="P6" i="14" s="1"/>
  <c r="G6" i="1" s="1"/>
  <c r="N5" i="13"/>
  <c r="P5" i="14" s="1"/>
  <c r="G5" i="1" s="1"/>
  <c r="N4" i="13"/>
  <c r="P4" i="14" s="1"/>
  <c r="G4" i="1" s="1"/>
  <c r="N3" i="13"/>
  <c r="P3" i="14" s="1"/>
  <c r="G3" i="1" s="1"/>
  <c r="C3" i="13"/>
  <c r="B3"/>
  <c r="A3"/>
  <c r="I3" l="1"/>
  <c r="I4"/>
  <c r="I5"/>
  <c r="I6"/>
  <c r="I7"/>
  <c r="K42" i="25"/>
  <c r="J42"/>
  <c r="I42"/>
  <c r="H42"/>
  <c r="G42"/>
  <c r="F42"/>
  <c r="E42"/>
  <c r="D42"/>
  <c r="A42"/>
  <c r="C2"/>
  <c r="B2"/>
  <c r="A2"/>
  <c r="M43" i="1"/>
  <c r="K43"/>
  <c r="G4" i="27" l="1"/>
  <c r="V4"/>
  <c r="V5"/>
  <c r="G5"/>
  <c r="V6"/>
  <c r="G6"/>
  <c r="V7"/>
  <c r="G7"/>
  <c r="F43" i="1" l="1"/>
  <c r="I43" l="1"/>
  <c r="J43"/>
  <c r="S3" i="5" l="1"/>
  <c r="H43" i="1" l="1"/>
  <c r="H3" i="13" l="1"/>
  <c r="H4"/>
  <c r="H5"/>
  <c r="H6"/>
  <c r="H7"/>
  <c r="N43"/>
  <c r="AE3" i="26"/>
  <c r="E3" i="27"/>
  <c r="J9" i="9" l="1"/>
  <c r="J31"/>
  <c r="P43" i="14"/>
  <c r="G31" i="1"/>
  <c r="AG3" i="26"/>
  <c r="O3" i="9" s="1"/>
  <c r="S43" i="5"/>
  <c r="D43" i="27"/>
  <c r="E43"/>
  <c r="F3"/>
  <c r="K6" i="13"/>
  <c r="K4"/>
  <c r="L4"/>
  <c r="K7"/>
  <c r="L7"/>
  <c r="L6"/>
  <c r="H3" i="27"/>
  <c r="K3" i="13"/>
  <c r="L3"/>
  <c r="K5"/>
  <c r="G43"/>
  <c r="L5"/>
  <c r="H43"/>
  <c r="L31" i="1" l="1"/>
  <c r="O31" s="1"/>
  <c r="M31" i="9" s="1"/>
  <c r="I4" i="27"/>
  <c r="W4"/>
  <c r="X4"/>
  <c r="J4"/>
  <c r="J5"/>
  <c r="X5"/>
  <c r="W5"/>
  <c r="I5"/>
  <c r="W6"/>
  <c r="I6"/>
  <c r="X6"/>
  <c r="J6"/>
  <c r="I7"/>
  <c r="W7"/>
  <c r="X7"/>
  <c r="J7"/>
  <c r="I3" i="5"/>
  <c r="V3" i="27"/>
  <c r="I3"/>
  <c r="W3"/>
  <c r="J3"/>
  <c r="X3"/>
  <c r="O4" i="13"/>
  <c r="K4" i="9" s="1"/>
  <c r="O6" i="13"/>
  <c r="K6" i="9" s="1"/>
  <c r="N6" s="1"/>
  <c r="O7" i="13"/>
  <c r="K7" i="9" s="1"/>
  <c r="N7" s="1"/>
  <c r="J43" i="13"/>
  <c r="G3" i="27"/>
  <c r="O3" i="13"/>
  <c r="K43"/>
  <c r="L43"/>
  <c r="O5"/>
  <c r="K5" i="9" s="1"/>
  <c r="N5" s="1"/>
  <c r="I43" i="13"/>
  <c r="F43" i="27"/>
  <c r="E31" i="23" l="1"/>
  <c r="G43" i="1"/>
  <c r="H4" i="5"/>
  <c r="X50" s="1"/>
  <c r="N4" i="9"/>
  <c r="H5" i="5"/>
  <c r="X51" s="1"/>
  <c r="H6"/>
  <c r="X52" s="1"/>
  <c r="H7"/>
  <c r="X53" s="1"/>
  <c r="I43"/>
  <c r="M5" i="13"/>
  <c r="M3"/>
  <c r="E3" i="1" s="1"/>
  <c r="L3" s="1"/>
  <c r="O3" s="1"/>
  <c r="K3" i="9"/>
  <c r="M7" i="13"/>
  <c r="M4"/>
  <c r="I43" i="27"/>
  <c r="L8" i="1"/>
  <c r="M6" i="13"/>
  <c r="J43" i="27"/>
  <c r="H43"/>
  <c r="O43" i="13"/>
  <c r="G43" i="27"/>
  <c r="O8" i="1" l="1"/>
  <c r="M8" i="9" s="1"/>
  <c r="O43"/>
  <c r="E4" i="1"/>
  <c r="L4" s="1"/>
  <c r="O4" s="1"/>
  <c r="E5"/>
  <c r="L5" s="1"/>
  <c r="E6"/>
  <c r="L6" s="1"/>
  <c r="E7"/>
  <c r="L7" s="1"/>
  <c r="O7" s="1"/>
  <c r="AD8" i="5"/>
  <c r="C8" i="23"/>
  <c r="E8" s="1"/>
  <c r="E3"/>
  <c r="F3" i="5"/>
  <c r="H3" s="1"/>
  <c r="N3" i="9"/>
  <c r="K43"/>
  <c r="M43" i="13"/>
  <c r="Z54" i="5" l="1"/>
  <c r="W8"/>
  <c r="E42" i="23"/>
  <c r="O5" i="1"/>
  <c r="M5" i="9" s="1"/>
  <c r="O6" i="1"/>
  <c r="M6" i="9" s="1"/>
  <c r="AD7" i="5"/>
  <c r="M7" i="9"/>
  <c r="L9" i="1"/>
  <c r="O9" s="1"/>
  <c r="M4" i="9"/>
  <c r="AD4" i="5"/>
  <c r="AD6"/>
  <c r="C6" i="23"/>
  <c r="E6" s="1"/>
  <c r="C4"/>
  <c r="E4" s="1"/>
  <c r="C5"/>
  <c r="E5" s="1"/>
  <c r="AD5" i="5"/>
  <c r="C7" i="23"/>
  <c r="E7" s="1"/>
  <c r="X8" i="5"/>
  <c r="J3" i="9"/>
  <c r="P3" i="10" s="1"/>
  <c r="M3" i="9"/>
  <c r="R3" i="5" s="1"/>
  <c r="X49" s="1"/>
  <c r="X89" s="1"/>
  <c r="P5" i="10"/>
  <c r="P7"/>
  <c r="P4"/>
  <c r="P6"/>
  <c r="N43" i="9"/>
  <c r="F43" i="5"/>
  <c r="N43" i="1"/>
  <c r="X4" i="5" l="1"/>
  <c r="Z50"/>
  <c r="W4"/>
  <c r="X5"/>
  <c r="Z51"/>
  <c r="W5"/>
  <c r="X7"/>
  <c r="Z53"/>
  <c r="W7"/>
  <c r="Z52"/>
  <c r="W6"/>
  <c r="M9" i="9"/>
  <c r="AD9" i="5"/>
  <c r="E43" i="1"/>
  <c r="L43"/>
  <c r="X6" i="5"/>
  <c r="AD3"/>
  <c r="J43" i="9"/>
  <c r="H43" i="5"/>
  <c r="D43" i="23"/>
  <c r="Z49" i="5" l="1"/>
  <c r="X3"/>
  <c r="X9"/>
  <c r="Z55"/>
  <c r="W9"/>
  <c r="W43" s="1"/>
  <c r="P43" i="10"/>
  <c r="AB43" i="5"/>
  <c r="O43" i="1"/>
  <c r="Z89" i="5" l="1"/>
  <c r="E43" i="23"/>
  <c r="C43"/>
  <c r="M43" i="9"/>
  <c r="AD43" i="5"/>
  <c r="R43" l="1"/>
  <c r="Q43"/>
  <c r="X43" l="1"/>
  <c r="A4" i="22"/>
  <c r="A4" i="4"/>
  <c r="A4" i="10"/>
  <c r="A4" i="20"/>
  <c r="A4" i="28"/>
  <c r="A4" i="16"/>
  <c r="A4" i="8"/>
  <c r="A4" i="12"/>
  <c r="A6" i="22"/>
  <c r="A6" i="8"/>
  <c r="A6" i="10"/>
  <c r="A6" i="20"/>
  <c r="A6" i="4"/>
  <c r="A5" i="12"/>
  <c r="A5" i="22"/>
  <c r="A5" i="10"/>
  <c r="A5" i="20"/>
  <c r="A5" i="4"/>
  <c r="A5" i="28"/>
  <c r="A5" i="8"/>
  <c r="A5" i="16"/>
</calcChain>
</file>

<file path=xl/sharedStrings.xml><?xml version="1.0" encoding="utf-8"?>
<sst xmlns="http://schemas.openxmlformats.org/spreadsheetml/2006/main" count="2390" uniqueCount="634">
  <si>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</si>
  <si>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</si>
  <si>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</si>
  <si>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</si>
  <si>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</si>
  <si>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</si>
  <si>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</si>
  <si>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</si>
  <si>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</si>
  <si>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</si>
  <si>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</si>
  <si>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</si>
  <si>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</si>
  <si>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</si>
  <si>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</si>
  <si>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</si>
  <si>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</si>
  <si>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</si>
  <si>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</si>
  <si>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</si>
  <si>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</si>
  <si>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</si>
  <si>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</si>
  <si>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</si>
  <si>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</si>
  <si>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</si>
  <si>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</si>
  <si>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</si>
  <si>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</si>
  <si>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</si>
  <si>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</si>
  <si>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</si>
  <si>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</si>
  <si>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</si>
  <si>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</si>
  <si>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</si>
  <si>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</si>
  <si>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</si>
  <si>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</si>
  <si>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</si>
  <si>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</si>
  <si>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</si>
  <si>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</si>
  <si>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</si>
  <si>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</si>
  <si>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</si>
  <si>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</si>
  <si>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</si>
  <si>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</si>
  <si>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</si>
  <si>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</si>
  <si>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</si>
  <si>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</si>
  <si>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</si>
  <si>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</si>
  <si>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</si>
  <si>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</si>
  <si>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</si>
  <si>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</si>
  <si>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</si>
  <si>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</si>
  <si>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</si>
  <si>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</si>
  <si>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</si>
  <si>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</si>
  <si>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</si>
  <si>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</si>
  <si>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</si>
  <si>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</si>
  <si>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</si>
  <si>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</si>
  <si>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</si>
  <si>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</si>
  <si>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</si>
  <si>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</si>
  <si>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</si>
  <si>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</si>
  <si>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</si>
  <si>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</si>
  <si>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</si>
  <si>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</si>
  <si>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</si>
  <si>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</si>
  <si>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</si>
  <si>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</si>
  <si>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</si>
  <si>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</si>
  <si>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</si>
  <si>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</si>
  <si>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</si>
  <si>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</si>
  <si>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</si>
  <si>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</si>
  <si>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</si>
  <si>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</si>
  <si>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</si>
  <si>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</si>
  <si>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</si>
  <si>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</si>
  <si>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</si>
  <si>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</si>
  <si>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</si>
  <si>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</si>
  <si>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</si>
  <si>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</si>
  <si>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</si>
  <si>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</si>
  <si>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</si>
  <si>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</si>
  <si>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</si>
  <si>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</si>
  <si>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</si>
  <si>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</si>
  <si>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</si>
  <si>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</si>
  <si>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</si>
  <si>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</si>
  <si>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</si>
  <si>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</si>
  <si>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</si>
  <si>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</si>
  <si>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</si>
  <si>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</si>
  <si>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</si>
  <si>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</si>
  <si>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</si>
  <si>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</si>
  <si>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</si>
  <si>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</si>
  <si>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</si>
  <si>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</si>
  <si>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</si>
  <si>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</si>
  <si>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</si>
  <si>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</si>
  <si>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</si>
  <si>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</si>
  <si>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</si>
  <si>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</si>
  <si>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</si>
  <si>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</si>
  <si>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</si>
  <si>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</si>
  <si>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</si>
  <si>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</si>
  <si>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</si>
  <si>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</si>
  <si>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</si>
  <si>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</si>
  <si>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</si>
  <si>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</si>
  <si>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</si>
  <si>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</si>
  <si>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</si>
  <si>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</si>
  <si>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</si>
  <si>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</si>
  <si>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</si>
  <si>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</si>
  <si>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</si>
  <si>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</si>
  <si>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</si>
  <si>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</si>
  <si>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</si>
  <si>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</si>
  <si>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</si>
  <si>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</si>
  <si>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</si>
  <si>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</si>
  <si>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</si>
  <si>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</si>
  <si>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</si>
  <si>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</si>
  <si>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</si>
  <si>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</si>
  <si>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</si>
  <si>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</si>
  <si>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</si>
  <si>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</si>
  <si>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</si>
  <si>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</si>
  <si>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</si>
  <si>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</si>
  <si>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</si>
  <si>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</si>
  <si>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</si>
  <si>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</si>
  <si>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</si>
  <si>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</si>
  <si>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</si>
  <si>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</si>
  <si>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</si>
  <si>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</si>
  <si>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</si>
  <si>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</si>
  <si>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</si>
  <si>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</si>
  <si>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</si>
  <si>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</si>
  <si>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</si>
  <si>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</si>
  <si>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</si>
  <si>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</si>
  <si>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</si>
  <si>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</si>
  <si>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</si>
  <si>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</si>
  <si>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</si>
  <si>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</si>
  <si>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</si>
  <si>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</si>
  <si>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</si>
  <si>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</si>
  <si>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</si>
  <si>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</si>
  <si>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</si>
  <si>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</si>
  <si>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</si>
  <si>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</si>
  <si>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</si>
  <si>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</si>
  <si>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</si>
  <si>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</si>
  <si>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</si>
  <si>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</si>
  <si>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</si>
  <si>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</si>
  <si>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</si>
  <si>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</si>
  <si>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</si>
  <si>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</si>
  <si>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</si>
  <si>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</si>
  <si>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</si>
  <si>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</si>
  <si>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</si>
  <si>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</si>
  <si>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</si>
  <si>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</si>
  <si>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</si>
  <si>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</si>
  <si>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</si>
  <si>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</si>
  <si>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</si>
  <si>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</si>
  <si>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</si>
  <si>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</si>
  <si>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</si>
  <si>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</si>
  <si>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</si>
  <si>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</si>
  <si>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</si>
  <si>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</si>
  <si>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</si>
  <si>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</si>
  <si>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</si>
  <si>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</si>
  <si>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</si>
  <si>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</si>
  <si>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</si>
  <si>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</si>
  <si>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</si>
  <si>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</si>
  <si>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</si>
  <si>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</si>
  <si>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</si>
  <si>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</si>
  <si>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</si>
  <si>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</si>
  <si>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</si>
  <si>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</si>
  <si>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</si>
  <si>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</si>
  <si>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</si>
  <si>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</si>
  <si>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</si>
  <si>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</si>
  <si>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</si>
  <si>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</si>
  <si>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</si>
  <si>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</si>
  <si>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</si>
  <si>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</si>
  <si>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</si>
  <si>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</si>
  <si>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</si>
  <si>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</si>
  <si>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</si>
  <si>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</si>
  <si>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</si>
  <si>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</si>
  <si>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</si>
  <si>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</si>
  <si>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</si>
  <si>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</si>
  <si>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</si>
  <si>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</si>
  <si>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</si>
  <si>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</si>
  <si>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</si>
  <si>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</si>
  <si>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</si>
  <si>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</si>
  <si>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</si>
  <si>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</si>
  <si>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</si>
  <si>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</si>
  <si>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</si>
  <si>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</si>
  <si>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</si>
  <si>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</si>
  <si>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</si>
  <si>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</si>
  <si>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</si>
  <si>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</si>
  <si>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</si>
  <si>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</si>
  <si>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</si>
  <si>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</si>
  <si>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</si>
  <si>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</si>
  <si>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</si>
  <si>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</si>
  <si>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</si>
  <si>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</si>
  <si>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</si>
  <si>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</si>
  <si>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</si>
  <si>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</si>
  <si>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</si>
  <si>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</si>
  <si>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</si>
  <si>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</si>
  <si>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</si>
  <si>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</si>
  <si>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</si>
  <si>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</si>
  <si>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</si>
  <si>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</si>
  <si>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</si>
  <si>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</si>
  <si>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</si>
  <si>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</si>
  <si>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</si>
  <si>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</si>
  <si>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</si>
  <si>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</si>
  <si>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</si>
  <si>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</si>
  <si>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</si>
  <si>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</si>
  <si>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</si>
  <si>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</si>
  <si>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</si>
  <si>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</si>
  <si>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</si>
  <si>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</si>
  <si>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</si>
  <si>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</si>
  <si>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</si>
  <si>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</si>
  <si>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</si>
  <si>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</si>
  <si>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</si>
  <si>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</si>
  <si>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</si>
  <si>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</si>
  <si>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</si>
  <si>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</si>
  <si>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</si>
  <si>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</si>
  <si>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</si>
  <si>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</si>
  <si>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</si>
  <si>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</si>
  <si>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</si>
  <si>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</si>
  <si>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</si>
  <si>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</si>
  <si>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</si>
  <si>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</si>
  <si>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</si>
  <si>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</si>
  <si>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</si>
  <si>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</si>
  <si>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</si>
  <si>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</si>
  <si>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</si>
  <si>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</si>
  <si>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</si>
  <si>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</si>
  <si>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</si>
  <si>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</si>
  <si>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</si>
  <si>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</si>
  <si>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</si>
  <si>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</si>
  <si>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</si>
  <si>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</si>
  <si>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</si>
  <si>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</si>
  <si>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</si>
  <si>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</si>
  <si>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</si>
  <si>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</si>
  <si>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</si>
  <si>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</si>
  <si>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</si>
  <si>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</si>
  <si>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</si>
  <si>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</si>
  <si>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</si>
  <si>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</si>
  <si>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</si>
  <si>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</si>
  <si>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</si>
  <si>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</si>
  <si>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</si>
  <si>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</si>
  <si>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</si>
  <si>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</si>
  <si>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</si>
  <si>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</si>
  <si>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</si>
  <si>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</si>
  <si>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</si>
  <si>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</si>
  <si>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</si>
  <si>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</si>
  <si>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</si>
  <si>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</si>
  <si>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</si>
  <si>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</si>
  <si>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</si>
  <si>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</si>
  <si>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</si>
  <si>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</si>
  <si>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</si>
  <si>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</si>
  <si>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</si>
  <si>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</si>
  <si>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</si>
  <si>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</si>
  <si>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</si>
  <si>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</si>
  <si>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</si>
  <si>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</si>
  <si>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</si>
  <si>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</si>
  <si>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</si>
  <si>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</si>
  <si>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</si>
  <si>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</si>
  <si>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</si>
  <si>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</si>
  <si>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</si>
  <si>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</si>
  <si>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</si>
  <si>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</si>
  <si>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</si>
  <si>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</si>
  <si>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</si>
  <si>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</si>
  <si>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</si>
  <si>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</si>
  <si>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</si>
  <si>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</si>
  <si>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</si>
  <si>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</si>
  <si>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</si>
  <si>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</si>
  <si>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</si>
  <si>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</si>
  <si>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</si>
  <si>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</si>
  <si>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</si>
  <si>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</si>
  <si>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</si>
  <si>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</si>
  <si>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</si>
  <si>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</si>
  <si>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</si>
  <si>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</si>
  <si>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</si>
  <si>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</si>
  <si>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</si>
  <si>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</si>
  <si>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</si>
  <si>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</si>
  <si>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</si>
  <si>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</si>
  <si>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</si>
  <si>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</si>
  <si>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</si>
  <si>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</si>
  <si>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</si>
  <si>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</si>
  <si>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</si>
  <si>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</si>
  <si>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</si>
  <si>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</si>
  <si>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</si>
  <si>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</si>
  <si>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</si>
  <si>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</si>
  <si>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</si>
  <si>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</si>
  <si>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</si>
  <si>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</si>
  <si>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</si>
  <si>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</si>
  <si>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</si>
  <si>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</si>
  <si>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έπρεπεΒασειΖηλ</t>
  </si>
  <si>
    <t>παγιοΑναλ</t>
  </si>
  <si>
    <t>'3600''</t>
  </si>
  <si>
    <t>δικαιωματαΑναλ</t>
  </si>
  <si>
    <t>2α φυλα</t>
  </si>
  <si>
    <t>ΔΕΝ έχω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</si>
  <si>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</si>
  <si>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</si>
  <si>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</si>
  <si>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</si>
  <si>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</si>
  <si>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</si>
  <si>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</si>
  <si>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</si>
  <si>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</si>
  <si>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</si>
  <si>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</si>
  <si>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</si>
  <si>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**71α** = δημοςΓη = αίτηση-πήγαινε-έλα = 5,87+5,87+3,23 = 14,97</t>
  </si>
  <si>
    <t>71ι = δήμος = δόμησης ΟΡΟΙ</t>
  </si>
  <si>
    <t>71ι</t>
  </si>
  <si>
    <t>72ε = Δ.Ο.Υ. = ΑΦΜ</t>
  </si>
  <si>
    <t>72ε</t>
  </si>
  <si>
    <t>73β</t>
  </si>
  <si>
    <t>73β = Νομαρχία = τοπογραφική</t>
  </si>
  <si>
    <t>**81** = υπΔηλ - αιγιαλο-ρεμα = 3,23</t>
  </si>
  <si>
    <t>κληρονομιάς ΑΠΟΔΟΧΗ</t>
  </si>
  <si>
    <t>ΧΡΗΣΙΚΤΗΣΙΑ οικοπέδου &amp; οικοδομής = 1992 αδερφού ΚΛΗΡΟΝΟΜΙΑ άτυπη</t>
  </si>
  <si>
    <t>ΧΡΗΣΙΚΤΗΣΙΑ οικοπέδου &amp; οικοδομής = 1935 πατρός ΚΛΗΡΟΝΟΜΙΑ άτυπη</t>
  </si>
  <si>
    <t>αγοραπωλησία τίμημα = Δ.Ο.Υ. =</t>
  </si>
  <si>
    <t>πληρεξούσιο</t>
  </si>
  <si>
    <t>αποδοχή κληρονομιάς</t>
  </si>
  <si>
    <t>*γονική ΨΙΛΗΣ ΚΥΡΙΟΤΗΤΑΣ</t>
  </si>
  <si>
    <t>δωρεά</t>
  </si>
  <si>
    <t>3/120 στα εξής</t>
  </si>
  <si>
    <t>1] οικόπεδο 74,22μ2 Παναγία</t>
  </si>
  <si>
    <t>ΜΕ 12/120 οικίας 2όροφης48,82 κάθε όροφος</t>
  </si>
  <si>
    <t>ΜΕ 12/120 αποθήκης 20,91μ2</t>
  </si>
  <si>
    <t>2] οικόπεδο 20,91μ2 Παναγία</t>
  </si>
  <si>
    <t xml:space="preserve">4] 12/120 οικόπεδο 177,50μ2 Παναγία </t>
  </si>
  <si>
    <t>ΧΡΗΣΙΚΤΗΣΙΑ οικοπέδου 4' = 19?? ΑΓΟΡΑΠΩΛΗΣΙΑ άτυπη</t>
  </si>
  <si>
    <t>ΧΡΗΣΙΚΤΗΣΙΑ οικοπέδων 2'-3' = 1992 αδερφού ΚΛΗΡΟΝΟΜΙΑ άτυπη</t>
  </si>
  <si>
    <t>ΧΡΗΣΙΚΤΗΣΙΑ αγροτεμαχίου 8' = 19??? ΑΓΟΡΑΠΩΛΗΣΙΑ άτυπη</t>
  </si>
  <si>
    <t>ΧΡΗΣΙΚΤΗΣΙΑ αγροτεμαχίου 9' = 1968 μητρός ΚΛΗΡΟΝΟΜΙΑ άτυπη</t>
  </si>
  <si>
    <t>φ 7</t>
  </si>
  <si>
    <t>4 του 1</t>
  </si>
  <si>
    <t>απλήρωτο</t>
  </si>
  <si>
    <t>3 του 1</t>
  </si>
  <si>
    <t>5,87 έως 58,69</t>
  </si>
  <si>
    <t>διαθήκη</t>
  </si>
  <si>
    <t>2,93 έως 29,35</t>
  </si>
  <si>
    <t>κληρονομιάςΑποδοχή</t>
  </si>
  <si>
    <t>2,93 έως 58,69</t>
  </si>
  <si>
    <t>οριζόντιος</t>
  </si>
  <si>
    <t>διαμαρτυρικό</t>
  </si>
  <si>
    <t>πληρΣυνταξης</t>
  </si>
  <si>
    <t>έπρεπεΒασειΑΓΑΠΕ</t>
  </si>
  <si>
    <t>12/120 στα εξής</t>
  </si>
  <si>
    <t>2 του 1</t>
  </si>
  <si>
    <t>1 του 1</t>
  </si>
  <si>
    <t>πληρεξ</t>
  </si>
  <si>
    <t>άλλοι 7</t>
  </si>
  <si>
    <t>ΜΕ οικία 2όροφο 48,82μ2 κάθε όροφος</t>
  </si>
  <si>
    <t>οικόπεδο Παναγία 74,22μ2</t>
  </si>
  <si>
    <t>σημειώσεις</t>
  </si>
  <si>
    <t>φ6</t>
  </si>
  <si>
    <t>10 σε 1</t>
  </si>
  <si>
    <t>φ 3</t>
  </si>
  <si>
    <t>1 σε 1</t>
  </si>
  <si>
    <t>από 1/4 στους 4</t>
  </si>
  <si>
    <t>3] οικόπεδο 130,31μ2 ΜΕ 2όροφη οικία (73,47μ2 κάθε όροφος) &amp; ΜΕ αποθήκη 30,45μ2 Παναγία</t>
  </si>
  <si>
    <t>4] οικόπεδο 118,16μ2 ΜΕ 2όροφη οικοδομή (κάθε όροφος 73μ2) Παναγία</t>
  </si>
  <si>
    <t>αγοραΚαπολα</t>
  </si>
  <si>
    <t>;;;???</t>
  </si>
  <si>
    <t>ΧΡΗΣΙΚΤΗΣΙΑ  οικοπέδου -2 = 19?? ως αγροτεμάχιο με ΑΝΑΔΑΣΜΟ</t>
  </si>
  <si>
    <t>ΧΡΗΣΙΚΤΗΣΙΑ  οικοπέδου -4 = 19?? ;;;???</t>
  </si>
  <si>
    <t>νιαπουΣτεργιανη</t>
  </si>
  <si>
    <t>φ5</t>
  </si>
  <si>
    <t>οι 4</t>
  </si>
  <si>
    <t>ΜΕ οικοδομής 1ου ορόφου 96,52μ2</t>
  </si>
  <si>
    <t>11378κ</t>
  </si>
  <si>
    <t>κΑναστασια {Γ-Π}</t>
  </si>
  <si>
    <t>ΜΕ οικοδομής ισογείου 96,52μ2</t>
  </si>
  <si>
    <t>13.378 ΗΤΑΝ απλήρωτο</t>
  </si>
  <si>
    <t>γονικη/διανομη</t>
  </si>
  <si>
    <t>χρησικτησία 1/2 οικοπέδου &amp; οικίας = συζυγου 1972 ΔΩΡΕΑ άτυπος</t>
  </si>
  <si>
    <t>φ3</t>
  </si>
  <si>
    <t>4οικοπεδα</t>
  </si>
  <si>
    <t>5αγρ</t>
  </si>
  <si>
    <t>οικοπεδο</t>
  </si>
  <si>
    <t>οικια</t>
  </si>
  <si>
    <t>3 οικοπεδα</t>
  </si>
  <si>
    <t>αγροτεμ</t>
  </si>
  <si>
    <t>οικια/αποθ</t>
  </si>
  <si>
    <t>ζημία</t>
  </si>
  <si>
    <t>καθεστώς ΤΟΓΚΑΣ</t>
  </si>
  <si>
    <t>10ο</t>
  </si>
  <si>
    <t>11ο</t>
  </si>
  <si>
    <t>12ο</t>
  </si>
  <si>
    <t>13ο</t>
  </si>
  <si>
    <t>14ο</t>
  </si>
  <si>
    <t>15ο</t>
  </si>
  <si>
    <t>16ο</t>
  </si>
  <si>
    <t>17ο</t>
  </si>
  <si>
    <t>18ο</t>
  </si>
  <si>
    <t>19ο</t>
  </si>
  <si>
    <t>3] 12/120 οικόπεδο 158,50μ2 Παναγία -'';;;???''</t>
  </si>
  <si>
    <t>5] 12/720 ααγροτεμάχιο 580,05μ2 Παναγία -'';;;???''</t>
  </si>
  <si>
    <t>6] 12/720 ααγροτεμάχιο 820,67μ2 Παναγία -'';;;???''</t>
  </si>
  <si>
    <t>7] 12/720 ααγροτεμάχιο 253,37μ2 Παναγία -'';;;???''</t>
  </si>
  <si>
    <t>8] 12/120 ααγροτεμάχιο 1.145μ2 Παναγία -'';;;???''</t>
  </si>
  <si>
    <t>9] 12/240 ααγροτεμάχιο 443μ2 Παναγία -'';;;???''</t>
  </si>
  <si>
    <t>1] αγροτεμάχιο ;;;??? Λιμένας 3.564μ2 [αναδασμός ΑΛΛΑ είχε αγοράσει άτυπα 19?? από ;;;???</t>
  </si>
  <si>
    <t>2] οικόπεδο Ο.Τ.-;;;??? αα-;;;???  Λιμένας 824μ2 [αναδασμός] , [πωλήθηκε με ;;;??? = 52.855,65</t>
  </si>
  <si>
    <t>50% οικόπεδο 183μ2 Ο.Τ.-;;;??? Λιμένας</t>
  </si>
  <si>
    <t>20ο</t>
  </si>
  <si>
    <t>219-17</t>
  </si>
  <si>
    <t>ΧΡΗΣΙΚΤΗΣΙΑ  αγροτεμαχίου -1 = αναδασμός ΑΛΛΑ πριν ΑΓΟΡΑΠΩΛΗΣΙΑ άτυπος από ;;;??? το 19???</t>
  </si>
  <si>
    <t>στο 19ο λογαριασμός κ. Κύρου = ΑΠΛΗΡΩΤΟ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</si>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</sst>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975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0" fontId="21" fillId="0" borderId="0" xfId="0" applyFont="1" applyAlignment="1">
      <alignment horizontal="right"/>
    </xf>
    <xf numFmtId="43" fontId="21" fillId="0" borderId="0" xfId="1" applyFont="1" applyAlignment="1">
      <alignment horizontal="right"/>
    </xf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43" fontId="19" fillId="0" borderId="14" xfId="1" applyFont="1" applyFill="1" applyBorder="1" applyAlignment="1"/>
    <xf numFmtId="164" fontId="24" fillId="0" borderId="0" xfId="1" applyNumberFormat="1" applyFont="1" applyAlignment="1"/>
    <xf numFmtId="0" fontId="21" fillId="0" borderId="19" xfId="1" applyNumberFormat="1" applyFont="1" applyFill="1" applyBorder="1" applyAlignment="1">
      <alignment horizontal="left" wrapText="1"/>
    </xf>
    <xf numFmtId="164" fontId="18" fillId="0" borderId="15" xfId="1" applyNumberFormat="1" applyFont="1" applyFill="1" applyBorder="1"/>
    <xf numFmtId="43" fontId="18" fillId="0" borderId="19" xfId="1" applyFont="1" applyFill="1" applyBorder="1"/>
    <xf numFmtId="14" fontId="21" fillId="0" borderId="15" xfId="0" applyNumberFormat="1" applyFont="1" applyFill="1" applyBorder="1"/>
    <xf numFmtId="165" fontId="21" fillId="0" borderId="15" xfId="1" applyNumberFormat="1" applyFont="1" applyFill="1" applyBorder="1" applyAlignment="1">
      <alignment wrapText="1"/>
    </xf>
    <xf numFmtId="43" fontId="21" fillId="0" borderId="15" xfId="1" applyFont="1" applyFill="1" applyBorder="1"/>
    <xf numFmtId="164" fontId="21" fillId="0" borderId="15" xfId="1" applyNumberFormat="1" applyFont="1" applyFill="1" applyBorder="1"/>
    <xf numFmtId="0" fontId="21" fillId="0" borderId="1" xfId="1" applyNumberFormat="1" applyFont="1" applyFill="1" applyBorder="1" applyAlignment="1">
      <alignment horizontal="left" wrapText="1"/>
    </xf>
    <xf numFmtId="0" fontId="40" fillId="0" borderId="1" xfId="0" applyFont="1" applyFill="1" applyBorder="1" applyAlignment="1">
      <alignment horizontal="left"/>
    </xf>
    <xf numFmtId="43" fontId="35" fillId="0" borderId="14" xfId="1" applyFont="1" applyFill="1" applyBorder="1"/>
    <xf numFmtId="0" fontId="35" fillId="0" borderId="0" xfId="0" applyFont="1" applyFill="1"/>
    <xf numFmtId="14" fontId="23" fillId="0" borderId="1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/>
    <xf numFmtId="164" fontId="23" fillId="0" borderId="2" xfId="1" applyNumberFormat="1" applyFont="1" applyFill="1" applyBorder="1" applyAlignment="1">
      <alignment horizontal="center" vertical="center"/>
    </xf>
    <xf numFmtId="164" fontId="42" fillId="0" borderId="0" xfId="1" applyNumberFormat="1" applyFont="1" applyAlignment="1">
      <alignment horizontal="center"/>
    </xf>
    <xf numFmtId="43" fontId="18" fillId="0" borderId="0" xfId="1" applyFont="1" applyAlignment="1">
      <alignment horizontal="left"/>
    </xf>
    <xf numFmtId="164" fontId="36" fillId="0" borderId="2" xfId="1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>
      <alignment horizontal="center" vertical="center"/>
    </xf>
    <xf numFmtId="43" fontId="38" fillId="0" borderId="14" xfId="1" applyFont="1" applyFill="1" applyBorder="1" applyAlignment="1"/>
    <xf numFmtId="164" fontId="18" fillId="0" borderId="0" xfId="1" applyNumberFormat="1" applyFont="1" applyAlignment="1">
      <alignment horizontal="left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43" fontId="33" fillId="7" borderId="0" xfId="1" applyFont="1" applyFill="1"/>
    <xf numFmtId="43" fontId="33" fillId="0" borderId="0" xfId="1" applyFont="1"/>
    <xf numFmtId="164" fontId="39" fillId="0" borderId="2" xfId="1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/>
    </xf>
    <xf numFmtId="43" fontId="35" fillId="0" borderId="1" xfId="1" applyFont="1" applyFill="1" applyBorder="1"/>
    <xf numFmtId="164" fontId="23" fillId="0" borderId="34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42" fillId="0" borderId="1" xfId="268" applyNumberFormat="1" applyFont="1" applyFill="1" applyBorder="1"/>
    <xf numFmtId="0" fontId="21" fillId="0" borderId="0" xfId="0" applyFont="1" applyFill="1" applyBorder="1" applyAlignment="1">
      <alignment wrapText="1"/>
    </xf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3" borderId="14" xfId="1" applyFont="1" applyFill="1" applyBorder="1"/>
    <xf numFmtId="43" fontId="18" fillId="3" borderId="9" xfId="1" applyFont="1" applyFill="1" applyBorder="1"/>
    <xf numFmtId="164" fontId="23" fillId="2" borderId="1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43" fontId="18" fillId="3" borderId="1" xfId="1" applyFont="1" applyFill="1" applyBorder="1"/>
    <xf numFmtId="43" fontId="18" fillId="0" borderId="9" xfId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36" fillId="0" borderId="1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21" fillId="5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left"/>
    </xf>
    <xf numFmtId="164" fontId="21" fillId="2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4" xfId="0" applyFont="1" applyFill="1" applyBorder="1"/>
    <xf numFmtId="164" fontId="21" fillId="2" borderId="9" xfId="1" applyNumberFormat="1" applyFont="1" applyFill="1" applyBorder="1"/>
    <xf numFmtId="0" fontId="21" fillId="0" borderId="9" xfId="0" applyFont="1" applyFill="1" applyBorder="1"/>
    <xf numFmtId="43" fontId="21" fillId="0" borderId="9" xfId="1" applyFont="1" applyFill="1" applyBorder="1"/>
    <xf numFmtId="164" fontId="23" fillId="0" borderId="14" xfId="1" applyNumberFormat="1" applyFont="1" applyFill="1" applyBorder="1" applyAlignment="1">
      <alignment horizontal="center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43" fontId="18" fillId="0" borderId="9" xfId="1" applyFont="1" applyFill="1" applyBorder="1" applyAlignment="1">
      <alignment horizontal="right" vertical="center"/>
    </xf>
    <xf numFmtId="43" fontId="21" fillId="4" borderId="1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43" fontId="21" fillId="4" borderId="9" xfId="1" applyFont="1" applyFill="1" applyBorder="1"/>
    <xf numFmtId="0" fontId="34" fillId="0" borderId="9" xfId="0" applyFont="1" applyFill="1" applyBorder="1" applyAlignment="1">
      <alignment horizont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11" fillId="0" borderId="9" xfId="1" applyNumberFormat="1" applyFont="1" applyFill="1" applyBorder="1"/>
    <xf numFmtId="164" fontId="18" fillId="0" borderId="9" xfId="1" applyNumberFormat="1" applyFont="1" applyFill="1" applyBorder="1"/>
    <xf numFmtId="164" fontId="17" fillId="0" borderId="9" xfId="1" applyNumberFormat="1" applyFont="1" applyFill="1" applyBorder="1"/>
    <xf numFmtId="164" fontId="21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43" fontId="18" fillId="5" borderId="1" xfId="1" applyFont="1" applyFill="1" applyBorder="1" applyAlignment="1">
      <alignment horizontal="right" vertical="center"/>
    </xf>
    <xf numFmtId="0" fontId="1" fillId="0" borderId="0" xfId="0" applyFont="1" applyFill="1"/>
    <xf numFmtId="0" fontId="1" fillId="0" borderId="0" xfId="0" applyFont="1"/>
    <xf numFmtId="164" fontId="23" fillId="8" borderId="2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21" fillId="2" borderId="14" xfId="1" applyNumberFormat="1" applyFont="1" applyFill="1" applyBorder="1"/>
    <xf numFmtId="164" fontId="21" fillId="5" borderId="14" xfId="1" applyNumberFormat="1" applyFont="1" applyFill="1" applyBorder="1"/>
    <xf numFmtId="43" fontId="18" fillId="5" borderId="14" xfId="1" applyFont="1" applyFill="1" applyBorder="1" applyAlignment="1">
      <alignment horizontal="right" vertical="center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2" borderId="14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164" fontId="12" fillId="0" borderId="9" xfId="1" applyNumberFormat="1" applyFont="1" applyFill="1" applyBorder="1"/>
    <xf numFmtId="164" fontId="36" fillId="0" borderId="14" xfId="1" applyNumberFormat="1" applyFont="1" applyFill="1" applyBorder="1" applyAlignment="1">
      <alignment horizontal="center" vertical="center"/>
    </xf>
    <xf numFmtId="43" fontId="21" fillId="5" borderId="0" xfId="1" applyFont="1" applyFill="1"/>
    <xf numFmtId="0" fontId="21" fillId="3" borderId="14" xfId="0" applyFont="1" applyFill="1" applyBorder="1"/>
    <xf numFmtId="14" fontId="18" fillId="0" borderId="14" xfId="0" applyNumberFormat="1" applyFont="1" applyFill="1" applyBorder="1" applyAlignment="1">
      <alignment horizontal="center"/>
    </xf>
    <xf numFmtId="43" fontId="18" fillId="4" borderId="0" xfId="1" applyFont="1" applyFill="1"/>
    <xf numFmtId="164" fontId="21" fillId="0" borderId="0" xfId="1" applyNumberFormat="1" applyFont="1" applyAlignment="1"/>
    <xf numFmtId="164" fontId="36" fillId="0" borderId="8" xfId="1" applyNumberFormat="1" applyFont="1" applyFill="1" applyBorder="1" applyAlignment="1">
      <alignment horizontal="center" vertical="center"/>
    </xf>
    <xf numFmtId="164" fontId="23" fillId="0" borderId="8" xfId="1" applyNumberFormat="1" applyFont="1" applyFill="1" applyBorder="1" applyAlignment="1">
      <alignment horizontal="center" vertical="center"/>
    </xf>
    <xf numFmtId="43" fontId="42" fillId="7" borderId="0" xfId="1" applyFont="1" applyFill="1" applyAlignment="1"/>
    <xf numFmtId="43" fontId="18" fillId="0" borderId="10" xfId="1" applyFont="1" applyFill="1" applyBorder="1"/>
    <xf numFmtId="14" fontId="18" fillId="0" borderId="6" xfId="1" applyNumberFormat="1" applyFont="1" applyFill="1" applyBorder="1" applyAlignment="1">
      <alignment horizontal="center" vertical="center"/>
    </xf>
    <xf numFmtId="0" fontId="18" fillId="0" borderId="6" xfId="0" applyFont="1" applyFill="1" applyBorder="1"/>
    <xf numFmtId="43" fontId="18" fillId="0" borderId="6" xfId="1" applyFont="1" applyFill="1" applyBorder="1"/>
    <xf numFmtId="43" fontId="18" fillId="0" borderId="6" xfId="1" applyFont="1" applyFill="1" applyBorder="1" applyAlignment="1">
      <alignment horizontal="right" vertical="center"/>
    </xf>
    <xf numFmtId="164" fontId="12" fillId="0" borderId="14" xfId="1" applyNumberFormat="1" applyFont="1" applyFill="1" applyBorder="1"/>
    <xf numFmtId="164" fontId="23" fillId="2" borderId="5" xfId="1" applyNumberFormat="1" applyFont="1" applyFill="1" applyBorder="1" applyAlignment="1">
      <alignment horizontal="center" vertical="center"/>
    </xf>
    <xf numFmtId="43" fontId="21" fillId="4" borderId="0" xfId="1" applyFont="1" applyFill="1"/>
    <xf numFmtId="14" fontId="34" fillId="0" borderId="14" xfId="0" applyNumberFormat="1" applyFont="1" applyFill="1" applyBorder="1" applyAlignment="1">
      <alignment horizontal="center"/>
    </xf>
    <xf numFmtId="0" fontId="42" fillId="0" borderId="1" xfId="0" applyFont="1" applyBorder="1"/>
    <xf numFmtId="0" fontId="47" fillId="0" borderId="0" xfId="0" applyFont="1" applyFill="1" applyBorder="1" applyAlignment="1">
      <alignment horizontal="left"/>
    </xf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23" fillId="0" borderId="35" xfId="1" applyNumberFormat="1" applyFont="1" applyFill="1" applyBorder="1" applyAlignment="1">
      <alignment horizontal="center" vertical="center"/>
    </xf>
    <xf numFmtId="14" fontId="18" fillId="0" borderId="36" xfId="1" applyNumberFormat="1" applyFont="1" applyFill="1" applyBorder="1" applyAlignment="1">
      <alignment horizontal="center" vertical="center"/>
    </xf>
    <xf numFmtId="0" fontId="18" fillId="0" borderId="36" xfId="0" applyFont="1" applyFill="1" applyBorder="1"/>
    <xf numFmtId="43" fontId="18" fillId="0" borderId="36" xfId="1" applyFont="1" applyFill="1" applyBorder="1"/>
    <xf numFmtId="43" fontId="18" fillId="0" borderId="36" xfId="1" applyFont="1" applyFill="1" applyBorder="1" applyAlignment="1">
      <alignment horizontal="right" vertical="center"/>
    </xf>
    <xf numFmtId="43" fontId="21" fillId="0" borderId="36" xfId="1" applyFont="1" applyFill="1" applyBorder="1"/>
    <xf numFmtId="0" fontId="18" fillId="0" borderId="36" xfId="0" applyFont="1" applyFill="1" applyBorder="1" applyAlignment="1">
      <alignment horizontal="left"/>
    </xf>
    <xf numFmtId="164" fontId="21" fillId="0" borderId="36" xfId="1" applyNumberFormat="1" applyFont="1" applyFill="1" applyBorder="1"/>
    <xf numFmtId="0" fontId="21" fillId="0" borderId="36" xfId="0" applyFont="1" applyBorder="1"/>
    <xf numFmtId="43" fontId="21" fillId="0" borderId="36" xfId="1" applyFont="1" applyBorder="1"/>
    <xf numFmtId="14" fontId="34" fillId="0" borderId="36" xfId="0" applyNumberFormat="1" applyFont="1" applyFill="1" applyBorder="1" applyAlignment="1">
      <alignment horizontal="center"/>
    </xf>
    <xf numFmtId="0" fontId="42" fillId="0" borderId="36" xfId="0" applyFont="1" applyBorder="1"/>
    <xf numFmtId="14" fontId="34" fillId="0" borderId="9" xfId="0" applyNumberFormat="1" applyFont="1" applyFill="1" applyBorder="1" applyAlignment="1">
      <alignment horizontal="center"/>
    </xf>
    <xf numFmtId="164" fontId="36" fillId="0" borderId="35" xfId="1" applyNumberFormat="1" applyFont="1" applyFill="1" applyBorder="1" applyAlignment="1">
      <alignment horizontal="center" vertical="center"/>
    </xf>
    <xf numFmtId="0" fontId="36" fillId="0" borderId="37" xfId="1" applyNumberFormat="1" applyFont="1" applyFill="1" applyBorder="1" applyAlignment="1">
      <alignment horizontal="left" vertical="center"/>
    </xf>
    <xf numFmtId="43" fontId="36" fillId="0" borderId="37" xfId="1" applyFont="1" applyFill="1" applyBorder="1" applyAlignment="1">
      <alignment horizontal="center" vertical="center"/>
    </xf>
    <xf numFmtId="164" fontId="12" fillId="0" borderId="36" xfId="1" applyNumberFormat="1" applyFont="1" applyFill="1" applyBorder="1"/>
    <xf numFmtId="43" fontId="17" fillId="0" borderId="36" xfId="1" applyFont="1" applyFill="1" applyBorder="1" applyAlignment="1">
      <alignment horizontal="right" vertical="center"/>
    </xf>
    <xf numFmtId="0" fontId="42" fillId="0" borderId="36" xfId="0" applyFont="1" applyFill="1" applyBorder="1" applyAlignment="1">
      <alignment horizontal="center" wrapText="1"/>
    </xf>
    <xf numFmtId="0" fontId="12" fillId="0" borderId="36" xfId="0" applyFont="1" applyFill="1" applyBorder="1" applyAlignment="1">
      <alignment horizontal="center" wrapText="1"/>
    </xf>
    <xf numFmtId="164" fontId="11" fillId="0" borderId="36" xfId="1" applyNumberFormat="1" applyFont="1" applyFill="1" applyBorder="1"/>
    <xf numFmtId="164" fontId="18" fillId="0" borderId="36" xfId="1" applyNumberFormat="1" applyFont="1" applyFill="1" applyBorder="1"/>
    <xf numFmtId="164" fontId="17" fillId="0" borderId="36" xfId="1" applyNumberFormat="1" applyFont="1" applyFill="1" applyBorder="1"/>
    <xf numFmtId="0" fontId="41" fillId="0" borderId="36" xfId="0" applyFont="1" applyFill="1" applyBorder="1" applyAlignment="1">
      <alignment horizontal="center" wrapText="1"/>
    </xf>
    <xf numFmtId="0" fontId="11" fillId="0" borderId="36" xfId="0" applyFont="1" applyFill="1" applyBorder="1" applyAlignment="1">
      <alignment horizontal="center" wrapText="1"/>
    </xf>
    <xf numFmtId="43" fontId="28" fillId="0" borderId="14" xfId="1" applyFont="1" applyFill="1" applyBorder="1" applyAlignment="1"/>
    <xf numFmtId="164" fontId="23" fillId="0" borderId="36" xfId="1" applyNumberFormat="1" applyFont="1" applyFill="1" applyBorder="1" applyAlignment="1">
      <alignment horizontal="center" vertical="center"/>
    </xf>
    <xf numFmtId="43" fontId="18" fillId="0" borderId="38" xfId="1" applyFont="1" applyFill="1" applyBorder="1" applyAlignment="1">
      <alignment horizontal="right" vertical="center"/>
    </xf>
    <xf numFmtId="0" fontId="18" fillId="12" borderId="14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0" fontId="18" fillId="12" borderId="9" xfId="0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0" fontId="18" fillId="0" borderId="10" xfId="0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wrapText="1"/>
    </xf>
    <xf numFmtId="0" fontId="18" fillId="12" borderId="10" xfId="0" applyFont="1" applyFill="1" applyBorder="1" applyAlignment="1">
      <alignment horizontal="center" wrapText="1"/>
    </xf>
    <xf numFmtId="43" fontId="18" fillId="0" borderId="10" xfId="0" applyNumberFormat="1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164" fontId="21" fillId="2" borderId="15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43" fontId="42" fillId="0" borderId="9" xfId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164" fontId="21" fillId="0" borderId="14" xfId="1" applyNumberFormat="1" applyFont="1" applyFill="1" applyBorder="1" applyAlignment="1">
      <alignment wrapText="1"/>
    </xf>
    <xf numFmtId="164" fontId="21" fillId="0" borderId="9" xfId="1" applyNumberFormat="1" applyFont="1" applyFill="1" applyBorder="1" applyAlignment="1">
      <alignment wrapText="1"/>
    </xf>
    <xf numFmtId="43" fontId="20" fillId="0" borderId="24" xfId="1" applyFont="1" applyFill="1" applyBorder="1" applyAlignment="1">
      <alignment horizontal="right"/>
    </xf>
    <xf numFmtId="164" fontId="21" fillId="0" borderId="10" xfId="1" applyNumberFormat="1" applyFont="1" applyFill="1" applyBorder="1" applyAlignment="1">
      <alignment wrapText="1"/>
    </xf>
    <xf numFmtId="0" fontId="21" fillId="0" borderId="10" xfId="1" applyNumberFormat="1" applyFont="1" applyFill="1" applyBorder="1" applyAlignment="1">
      <alignment horizontal="left" wrapText="1"/>
    </xf>
    <xf numFmtId="164" fontId="18" fillId="0" borderId="10" xfId="1" applyNumberFormat="1" applyFont="1" applyFill="1" applyBorder="1"/>
    <xf numFmtId="43" fontId="42" fillId="0" borderId="10" xfId="1" applyFont="1" applyFill="1" applyBorder="1"/>
    <xf numFmtId="0" fontId="42" fillId="0" borderId="10" xfId="0" applyFont="1" applyFill="1" applyBorder="1" applyAlignment="1">
      <alignment horizontal="center" wrapText="1"/>
    </xf>
    <xf numFmtId="43" fontId="20" fillId="0" borderId="24" xfId="1" applyFont="1" applyFill="1" applyBorder="1" applyAlignment="1">
      <alignment horizontal="center" wrapText="1"/>
    </xf>
    <xf numFmtId="164" fontId="18" fillId="0" borderId="0" xfId="1" applyNumberFormat="1" applyFont="1"/>
    <xf numFmtId="0" fontId="21" fillId="0" borderId="36" xfId="0" applyFont="1" applyFill="1" applyBorder="1"/>
    <xf numFmtId="43" fontId="21" fillId="0" borderId="14" xfId="0" applyNumberFormat="1" applyFont="1" applyBorder="1"/>
    <xf numFmtId="43" fontId="21" fillId="0" borderId="10" xfId="1" applyFont="1" applyFill="1" applyBorder="1"/>
    <xf numFmtId="0" fontId="21" fillId="0" borderId="10" xfId="0" applyFont="1" applyFill="1" applyBorder="1"/>
    <xf numFmtId="0" fontId="21" fillId="0" borderId="15" xfId="1" applyNumberFormat="1" applyFont="1" applyFill="1" applyBorder="1" applyAlignment="1">
      <alignment horizontal="left" wrapText="1"/>
    </xf>
    <xf numFmtId="164" fontId="42" fillId="0" borderId="10" xfId="1" applyNumberFormat="1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9" fillId="8" borderId="2" xfId="1" applyNumberFormat="1" applyFont="1" applyFill="1" applyBorder="1" applyAlignment="1">
      <alignment horizontal="center" vertical="center"/>
    </xf>
    <xf numFmtId="164" fontId="39" fillId="8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39" fillId="2" borderId="18" xfId="1" applyNumberFormat="1" applyFont="1" applyFill="1" applyBorder="1" applyAlignment="1">
      <alignment horizontal="center" vertical="center"/>
    </xf>
    <xf numFmtId="164" fontId="39" fillId="8" borderId="8" xfId="1" applyNumberFormat="1" applyFont="1" applyFill="1" applyBorder="1" applyAlignment="1">
      <alignment horizontal="center" vertical="center"/>
    </xf>
    <xf numFmtId="164" fontId="39" fillId="0" borderId="18" xfId="1" applyNumberFormat="1" applyFont="1" applyFill="1" applyBorder="1" applyAlignment="1">
      <alignment horizontal="center" vertical="center"/>
    </xf>
    <xf numFmtId="164" fontId="39" fillId="0" borderId="8" xfId="1" applyNumberFormat="1" applyFont="1" applyFill="1" applyBorder="1" applyAlignment="1">
      <alignment horizontal="center" vertical="center"/>
    </xf>
    <xf numFmtId="164" fontId="39" fillId="0" borderId="35" xfId="1" applyNumberFormat="1" applyFont="1" applyFill="1" applyBorder="1" applyAlignment="1">
      <alignment horizontal="center" vertical="center"/>
    </xf>
    <xf numFmtId="0" fontId="40" fillId="0" borderId="36" xfId="0" applyFont="1" applyFill="1" applyBorder="1" applyAlignment="1">
      <alignment horizontal="left"/>
    </xf>
    <xf numFmtId="43" fontId="40" fillId="0" borderId="14" xfId="1" applyFont="1" applyFill="1" applyBorder="1"/>
    <xf numFmtId="43" fontId="40" fillId="0" borderId="9" xfId="1" applyFont="1" applyFill="1" applyBorder="1"/>
    <xf numFmtId="43" fontId="40" fillId="0" borderId="36" xfId="1" applyFont="1" applyFill="1" applyBorder="1"/>
    <xf numFmtId="164" fontId="35" fillId="4" borderId="1" xfId="1" applyNumberFormat="1" applyFont="1" applyFill="1" applyBorder="1"/>
    <xf numFmtId="164" fontId="35" fillId="4" borderId="14" xfId="1" applyNumberFormat="1" applyFont="1" applyFill="1" applyBorder="1"/>
    <xf numFmtId="164" fontId="35" fillId="4" borderId="9" xfId="1" applyNumberFormat="1" applyFont="1" applyFill="1" applyBorder="1"/>
    <xf numFmtId="43" fontId="35" fillId="0" borderId="9" xfId="1" applyFont="1" applyFill="1" applyBorder="1"/>
    <xf numFmtId="164" fontId="37" fillId="0" borderId="14" xfId="1" applyNumberFormat="1" applyFont="1" applyFill="1" applyBorder="1" applyAlignment="1"/>
    <xf numFmtId="43" fontId="37" fillId="0" borderId="14" xfId="1" applyFont="1" applyFill="1" applyBorder="1" applyAlignment="1"/>
    <xf numFmtId="164" fontId="35" fillId="4" borderId="36" xfId="1" applyNumberFormat="1" applyFont="1" applyFill="1" applyBorder="1"/>
    <xf numFmtId="43" fontId="35" fillId="0" borderId="36" xfId="1" applyFont="1" applyFill="1" applyBorder="1"/>
    <xf numFmtId="0" fontId="42" fillId="0" borderId="9" xfId="0" applyFont="1" applyFill="1" applyBorder="1"/>
    <xf numFmtId="0" fontId="42" fillId="0" borderId="14" xfId="0" applyFont="1" applyFill="1" applyBorder="1"/>
    <xf numFmtId="43" fontId="35" fillId="0" borderId="10" xfId="1" applyFont="1" applyFill="1" applyBorder="1"/>
    <xf numFmtId="0" fontId="42" fillId="0" borderId="10" xfId="0" applyFont="1" applyFill="1" applyBorder="1"/>
    <xf numFmtId="164" fontId="36" fillId="2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164" fontId="36" fillId="0" borderId="36" xfId="1" applyNumberFormat="1" applyFont="1" applyFill="1" applyBorder="1" applyAlignment="1">
      <alignment horizontal="center" vertical="center"/>
    </xf>
    <xf numFmtId="0" fontId="36" fillId="0" borderId="36" xfId="1" applyNumberFormat="1" applyFont="1" applyFill="1" applyBorder="1" applyAlignment="1">
      <alignment horizontal="left" vertical="center"/>
    </xf>
    <xf numFmtId="164" fontId="17" fillId="0" borderId="36" xfId="1" applyNumberFormat="1" applyFont="1" applyFill="1" applyBorder="1" applyAlignment="1">
      <alignment horizontal="right" vertical="center"/>
    </xf>
    <xf numFmtId="164" fontId="9" fillId="0" borderId="36" xfId="1" applyNumberFormat="1" applyFont="1" applyFill="1" applyBorder="1" applyAlignment="1">
      <alignment horizontal="center" wrapText="1"/>
    </xf>
    <xf numFmtId="0" fontId="8" fillId="0" borderId="36" xfId="0" applyFont="1" applyFill="1" applyBorder="1" applyAlignment="1">
      <alignment horizontal="center" wrapText="1"/>
    </xf>
    <xf numFmtId="164" fontId="28" fillId="0" borderId="14" xfId="1" applyNumberFormat="1" applyFont="1" applyFill="1" applyBorder="1" applyAlignment="1"/>
    <xf numFmtId="0" fontId="26" fillId="0" borderId="14" xfId="0" applyFont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0" fontId="23" fillId="0" borderId="36" xfId="1" applyNumberFormat="1" applyFont="1" applyFill="1" applyBorder="1" applyAlignment="1">
      <alignment horizontal="left" vertical="center"/>
    </xf>
    <xf numFmtId="43" fontId="18" fillId="0" borderId="36" xfId="1" applyFont="1" applyFill="1" applyBorder="1" applyAlignment="1">
      <alignment horizontal="center" wrapText="1"/>
    </xf>
    <xf numFmtId="43" fontId="21" fillId="0" borderId="36" xfId="1" applyFont="1" applyFill="1" applyBorder="1" applyAlignment="1">
      <alignment horizontal="center" wrapText="1"/>
    </xf>
    <xf numFmtId="164" fontId="21" fillId="0" borderId="36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164" fontId="21" fillId="0" borderId="36" xfId="1" applyNumberFormat="1" applyFont="1" applyFill="1" applyBorder="1" applyAlignment="1">
      <alignment horizontal="center" wrapText="1"/>
    </xf>
    <xf numFmtId="43" fontId="19" fillId="12" borderId="14" xfId="1" applyFont="1" applyFill="1" applyBorder="1" applyAlignment="1"/>
    <xf numFmtId="43" fontId="21" fillId="0" borderId="10" xfId="1" applyFont="1" applyFill="1" applyBorder="1" applyAlignment="1">
      <alignment horizontal="center" wrapText="1"/>
    </xf>
    <xf numFmtId="164" fontId="21" fillId="0" borderId="10" xfId="1" applyNumberFormat="1" applyFont="1" applyFill="1" applyBorder="1" applyAlignment="1">
      <alignment horizontal="center" wrapText="1"/>
    </xf>
    <xf numFmtId="164" fontId="21" fillId="0" borderId="6" xfId="1" applyNumberFormat="1" applyFont="1" applyFill="1" applyBorder="1" applyAlignment="1">
      <alignment horizontal="center" wrapText="1"/>
    </xf>
    <xf numFmtId="43" fontId="21" fillId="0" borderId="6" xfId="1" applyFont="1" applyFill="1" applyBorder="1" applyAlignment="1">
      <alignment horizontal="center" wrapText="1"/>
    </xf>
    <xf numFmtId="43" fontId="19" fillId="9" borderId="14" xfId="1" applyFont="1" applyFill="1" applyBorder="1" applyAlignment="1"/>
    <xf numFmtId="164" fontId="42" fillId="0" borderId="9" xfId="1" applyNumberFormat="1" applyFont="1" applyFill="1" applyBorder="1" applyAlignment="1">
      <alignment horizontal="center" vertical="center" wrapText="1"/>
    </xf>
    <xf numFmtId="43" fontId="19" fillId="0" borderId="14" xfId="1" applyFont="1" applyBorder="1"/>
    <xf numFmtId="164" fontId="34" fillId="0" borderId="14" xfId="1" applyNumberFormat="1" applyFont="1" applyBorder="1" applyAlignment="1">
      <alignment horizontal="center" wrapText="1"/>
    </xf>
    <xf numFmtId="164" fontId="19" fillId="0" borderId="14" xfId="1" applyNumberFormat="1" applyFont="1" applyBorder="1" applyAlignment="1">
      <alignment horizontal="center" wrapText="1"/>
    </xf>
    <xf numFmtId="164" fontId="23" fillId="2" borderId="36" xfId="1" applyNumberFormat="1" applyFont="1" applyFill="1" applyBorder="1" applyAlignment="1">
      <alignment horizontal="center" vertical="center"/>
    </xf>
    <xf numFmtId="43" fontId="23" fillId="0" borderId="36" xfId="1" applyFont="1" applyFill="1" applyBorder="1" applyAlignment="1">
      <alignment horizontal="right" vertical="center"/>
    </xf>
    <xf numFmtId="164" fontId="42" fillId="0" borderId="36" xfId="1" applyNumberFormat="1" applyFont="1" applyFill="1" applyBorder="1" applyAlignment="1">
      <alignment horizontal="center" vertical="center" wrapText="1"/>
    </xf>
    <xf numFmtId="164" fontId="42" fillId="0" borderId="36" xfId="1" applyNumberFormat="1" applyFont="1" applyFill="1" applyBorder="1"/>
    <xf numFmtId="164" fontId="23" fillId="2" borderId="10" xfId="1" applyNumberFormat="1" applyFont="1" applyFill="1" applyBorder="1" applyAlignment="1">
      <alignment horizontal="center" vertical="center"/>
    </xf>
    <xf numFmtId="0" fontId="23" fillId="0" borderId="10" xfId="1" applyNumberFormat="1" applyFont="1" applyFill="1" applyBorder="1" applyAlignment="1">
      <alignment horizontal="left" vertical="center"/>
    </xf>
    <xf numFmtId="43" fontId="23" fillId="0" borderId="10" xfId="1" applyFont="1" applyFill="1" applyBorder="1" applyAlignment="1">
      <alignment horizontal="right" vertical="center"/>
    </xf>
    <xf numFmtId="43" fontId="18" fillId="0" borderId="10" xfId="1" applyFont="1" applyFill="1" applyBorder="1" applyAlignment="1">
      <alignment horizontal="right" vertical="center"/>
    </xf>
    <xf numFmtId="164" fontId="42" fillId="0" borderId="10" xfId="1" applyNumberFormat="1" applyFont="1" applyFill="1" applyBorder="1" applyAlignment="1">
      <alignment horizontal="center" vertical="center" wrapText="1"/>
    </xf>
    <xf numFmtId="164" fontId="21" fillId="0" borderId="10" xfId="1" applyNumberFormat="1" applyFont="1" applyFill="1" applyBorder="1"/>
    <xf numFmtId="164" fontId="23" fillId="2" borderId="34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64" fontId="23" fillId="2" borderId="39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164" fontId="23" fillId="8" borderId="34" xfId="1" applyNumberFormat="1" applyFont="1" applyFill="1" applyBorder="1" applyAlignment="1">
      <alignment horizontal="center" vertical="center"/>
    </xf>
    <xf numFmtId="164" fontId="23" fillId="8" borderId="39" xfId="1" applyNumberFormat="1" applyFont="1" applyFill="1" applyBorder="1" applyAlignment="1">
      <alignment horizontal="center" vertical="center"/>
    </xf>
    <xf numFmtId="164" fontId="23" fillId="0" borderId="39" xfId="1" applyNumberFormat="1" applyFont="1" applyFill="1" applyBorder="1" applyAlignment="1">
      <alignment horizontal="center" vertical="center"/>
    </xf>
    <xf numFmtId="164" fontId="23" fillId="0" borderId="40" xfId="1" applyNumberFormat="1" applyFont="1" applyFill="1" applyBorder="1" applyAlignment="1">
      <alignment horizontal="center" vertical="center"/>
    </xf>
    <xf numFmtId="14" fontId="23" fillId="0" borderId="36" xfId="1" applyNumberFormat="1" applyFont="1" applyFill="1" applyBorder="1" applyAlignment="1">
      <alignment horizontal="center" vertical="center"/>
    </xf>
    <xf numFmtId="43" fontId="20" fillId="12" borderId="14" xfId="1" applyFont="1" applyFill="1" applyBorder="1"/>
    <xf numFmtId="43" fontId="21" fillId="12" borderId="9" xfId="1" applyFont="1" applyFill="1" applyBorder="1"/>
    <xf numFmtId="43" fontId="21" fillId="12" borderId="36" xfId="1" applyFont="1" applyFill="1" applyBorder="1"/>
    <xf numFmtId="0" fontId="21" fillId="0" borderId="21" xfId="1" applyNumberFormat="1" applyFont="1" applyFill="1" applyBorder="1" applyAlignment="1">
      <alignment horizontal="center" vertical="center" wrapText="1"/>
    </xf>
    <xf numFmtId="43" fontId="21" fillId="4" borderId="21" xfId="1" applyFont="1" applyFill="1" applyBorder="1" applyAlignment="1">
      <alignment horizontal="center" vertical="center" wrapText="1"/>
    </xf>
    <xf numFmtId="164" fontId="42" fillId="0" borderId="14" xfId="268" applyNumberFormat="1" applyFont="1" applyFill="1" applyBorder="1"/>
    <xf numFmtId="164" fontId="43" fillId="0" borderId="0" xfId="1" applyNumberFormat="1" applyFont="1" applyFill="1" applyBorder="1"/>
    <xf numFmtId="164" fontId="24" fillId="0" borderId="0" xfId="1" applyNumberFormat="1" applyFont="1" applyFill="1" applyBorder="1" applyAlignment="1">
      <alignment horizontal="center"/>
    </xf>
    <xf numFmtId="164" fontId="43" fillId="0" borderId="0" xfId="1" applyNumberFormat="1" applyFont="1" applyFill="1" applyBorder="1" applyAlignment="1">
      <alignment horizontal="center"/>
    </xf>
    <xf numFmtId="164" fontId="21" fillId="12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12" borderId="10" xfId="1" applyNumberFormat="1" applyFont="1" applyFill="1" applyBorder="1"/>
    <xf numFmtId="14" fontId="21" fillId="0" borderId="10" xfId="0" applyNumberFormat="1" applyFont="1" applyFill="1" applyBorder="1"/>
    <xf numFmtId="164" fontId="21" fillId="0" borderId="10" xfId="1" applyNumberFormat="1" applyFont="1" applyFill="1" applyBorder="1" applyAlignment="1">
      <alignment horizontal="center"/>
    </xf>
    <xf numFmtId="43" fontId="42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4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48" fillId="13" borderId="3" xfId="1" applyNumberFormat="1" applyFont="1" applyFill="1" applyBorder="1" applyAlignment="1">
      <alignment horizontal="center" vertical="center" wrapText="1"/>
    </xf>
    <xf numFmtId="164" fontId="48" fillId="13" borderId="12" xfId="1" applyNumberFormat="1" applyFont="1" applyFill="1" applyBorder="1" applyAlignment="1">
      <alignment horizontal="center" vertical="center" wrapText="1"/>
    </xf>
    <xf numFmtId="164" fontId="48" fillId="13" borderId="13" xfId="1" applyNumberFormat="1" applyFont="1" applyFill="1" applyBorder="1" applyAlignment="1">
      <alignment horizontal="center" vertical="center" wrapText="1"/>
    </xf>
    <xf numFmtId="43" fontId="26" fillId="4" borderId="15" xfId="1" applyFont="1" applyFill="1" applyBorder="1" applyAlignment="1">
      <alignment horizontal="center" vertical="center" wrapText="1"/>
    </xf>
    <xf numFmtId="43" fontId="20" fillId="3" borderId="28" xfId="1" applyFont="1" applyFill="1" applyBorder="1" applyAlignment="1">
      <alignment horizontal="center" vertical="center" wrapText="1"/>
    </xf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3" borderId="10" xfId="1" applyNumberFormat="1" applyFont="1" applyFill="1" applyBorder="1" applyAlignment="1">
      <alignment horizontal="center" vertical="center" wrapText="1"/>
    </xf>
    <xf numFmtId="43" fontId="26" fillId="4" borderId="10" xfId="1" applyFont="1" applyFill="1" applyBorder="1" applyAlignment="1">
      <alignment horizontal="center" vertical="center" wrapText="1"/>
    </xf>
    <xf numFmtId="43" fontId="20" fillId="3" borderId="30" xfId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73"/>
  <sheetViews>
    <sheetView tabSelected="1" workbookViewId="0">
      <pane ySplit="2" topLeftCell="A3" activePane="bottomLeft" state="frozen"/>
      <selection pane="bottomLeft" activeCell="A45" sqref="A45"/>
    </sheetView>
  </sheetViews>
  <sheetFormatPr defaultRowHeight="11.25"/>
  <cols>
    <col min="1" max="1" width="12.28515625" style="8" customWidth="1"/>
    <col min="2" max="2" width="9" style="350" customWidth="1"/>
    <col min="3" max="3" width="79.2851562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86" t="s">
        <v>1</v>
      </c>
      <c r="B1" s="688" t="s">
        <v>2</v>
      </c>
      <c r="C1" s="690" t="s">
        <v>0</v>
      </c>
      <c r="D1" s="692" t="s">
        <v>62</v>
      </c>
      <c r="E1" s="675" t="s">
        <v>82</v>
      </c>
      <c r="F1" s="676"/>
      <c r="G1" s="676"/>
      <c r="H1" s="676"/>
      <c r="I1" s="676"/>
      <c r="J1" s="676"/>
      <c r="K1" s="676"/>
      <c r="L1" s="679" t="s">
        <v>363</v>
      </c>
      <c r="M1" s="679"/>
      <c r="N1" s="677" t="s">
        <v>503</v>
      </c>
      <c r="O1" s="678"/>
      <c r="P1" s="680" t="s">
        <v>29</v>
      </c>
      <c r="Q1" s="681"/>
      <c r="R1" s="681"/>
      <c r="S1" s="681"/>
      <c r="T1" s="681"/>
      <c r="U1" s="681"/>
      <c r="V1" s="681"/>
      <c r="W1" s="681"/>
      <c r="X1" s="681"/>
      <c r="Y1" s="681"/>
      <c r="Z1" s="681"/>
      <c r="AA1" s="682"/>
    </row>
    <row r="2" spans="1:27" ht="12" thickBot="1">
      <c r="A2" s="687"/>
      <c r="B2" s="689"/>
      <c r="C2" s="691"/>
      <c r="D2" s="693"/>
      <c r="E2" s="86" t="s">
        <v>91</v>
      </c>
      <c r="F2" s="86" t="s">
        <v>3</v>
      </c>
      <c r="G2" s="86" t="s">
        <v>139</v>
      </c>
      <c r="H2" s="86" t="s">
        <v>92</v>
      </c>
      <c r="I2" s="86" t="s">
        <v>93</v>
      </c>
      <c r="J2" s="86" t="s">
        <v>94</v>
      </c>
      <c r="K2" s="96" t="s">
        <v>137</v>
      </c>
      <c r="L2" s="64" t="s">
        <v>23</v>
      </c>
      <c r="M2" s="142" t="s">
        <v>68</v>
      </c>
      <c r="N2" s="134" t="s">
        <v>23</v>
      </c>
      <c r="O2" s="95" t="s">
        <v>138</v>
      </c>
      <c r="P2" s="143">
        <v>1</v>
      </c>
      <c r="Q2" s="143" t="s">
        <v>218</v>
      </c>
      <c r="R2" s="143" t="s">
        <v>219</v>
      </c>
      <c r="S2" s="143" t="s">
        <v>220</v>
      </c>
      <c r="T2" s="143" t="s">
        <v>221</v>
      </c>
      <c r="U2" s="143" t="s">
        <v>374</v>
      </c>
      <c r="V2" s="143" t="s">
        <v>375</v>
      </c>
      <c r="W2" s="143" t="s">
        <v>376</v>
      </c>
      <c r="X2" s="143" t="s">
        <v>377</v>
      </c>
      <c r="Y2" s="143"/>
      <c r="Z2" s="143"/>
      <c r="AA2" s="144"/>
    </row>
    <row r="3" spans="1:27" s="5" customFormat="1">
      <c r="A3" s="403" t="s">
        <v>609</v>
      </c>
      <c r="B3" s="349">
        <v>37930</v>
      </c>
      <c r="C3" s="382" t="s">
        <v>539</v>
      </c>
      <c r="D3" s="322"/>
      <c r="E3" s="317">
        <f>'2-δικαιώμ'!M3</f>
        <v>26.121500000000001</v>
      </c>
      <c r="F3" s="318">
        <f>'3-φύλλα2α'!F3</f>
        <v>14.100000000000001</v>
      </c>
      <c r="G3" s="318">
        <f>'4-πολλυπρ'!P3</f>
        <v>130.35000000000002</v>
      </c>
      <c r="H3" s="316">
        <f>'5-αντίγρ'!M3</f>
        <v>80.491599999999991</v>
      </c>
      <c r="I3" s="316">
        <f>'6-μεταγρ'!H3</f>
        <v>41.989999999999995</v>
      </c>
      <c r="J3" s="316">
        <f>'7-προςΔΟΥ'!E3</f>
        <v>6.46</v>
      </c>
      <c r="K3" s="316"/>
      <c r="L3" s="317">
        <f t="shared" ref="L3:L42" si="0">E3+F3+G3+H3+I3+J3+K3</f>
        <v>299.51310000000001</v>
      </c>
      <c r="M3" s="317">
        <v>82.79</v>
      </c>
      <c r="N3" s="319">
        <f>M3-'8-κ-15-17'!AF3-'14-βιβλΕσ'!L3</f>
        <v>77.38000000000001</v>
      </c>
      <c r="O3" s="319">
        <f>L3-N3</f>
        <v>222.13310000000001</v>
      </c>
      <c r="P3" s="340">
        <f>'1β-ΤΑΧΔΙΚκλπ'!K2</f>
        <v>0</v>
      </c>
      <c r="Q3" s="320"/>
      <c r="R3" s="320"/>
      <c r="S3" s="320"/>
      <c r="T3" s="320"/>
      <c r="U3" s="320"/>
      <c r="V3" s="320"/>
      <c r="W3" s="320"/>
      <c r="X3" s="320"/>
      <c r="Y3" s="320"/>
      <c r="Z3" s="73"/>
      <c r="AA3" s="73"/>
    </row>
    <row r="4" spans="1:27" s="5" customFormat="1">
      <c r="A4" s="403"/>
      <c r="B4" s="349"/>
      <c r="C4" s="382" t="s">
        <v>540</v>
      </c>
      <c r="D4" s="409">
        <v>1111.1099999999999</v>
      </c>
      <c r="E4" s="317">
        <f>'2-δικαιώμ'!M4</f>
        <v>19.615587999999995</v>
      </c>
      <c r="F4" s="318">
        <f>'3-φύλλα2α'!F4</f>
        <v>17.580000000000002</v>
      </c>
      <c r="G4" s="318">
        <f>'4-πολλυπρ'!P4</f>
        <v>0</v>
      </c>
      <c r="H4" s="316">
        <f>'5-αντίγρ'!M4</f>
        <v>0</v>
      </c>
      <c r="I4" s="316">
        <f>'6-μεταγρ'!H4</f>
        <v>0</v>
      </c>
      <c r="J4" s="316">
        <f>'7-προςΔΟΥ'!E4</f>
        <v>6.46</v>
      </c>
      <c r="K4" s="316"/>
      <c r="L4" s="317">
        <f t="shared" si="0"/>
        <v>43.655588000000002</v>
      </c>
      <c r="M4" s="317"/>
      <c r="N4" s="319"/>
      <c r="O4" s="319">
        <f t="shared" ref="O4:O30" si="1">L4-N4</f>
        <v>43.655588000000002</v>
      </c>
      <c r="P4" s="340">
        <f>'1β-ΤΑΧΔΙΚκλπ'!K3</f>
        <v>0</v>
      </c>
      <c r="Q4" s="320"/>
      <c r="R4" s="320"/>
      <c r="S4" s="320"/>
      <c r="T4" s="320"/>
      <c r="U4" s="320"/>
      <c r="V4" s="320"/>
      <c r="W4" s="320"/>
      <c r="X4" s="320"/>
      <c r="Y4" s="320"/>
      <c r="Z4" s="73"/>
      <c r="AA4" s="73"/>
    </row>
    <row r="5" spans="1:27" s="5" customFormat="1">
      <c r="A5" s="403"/>
      <c r="B5" s="349"/>
      <c r="C5" s="382" t="s">
        <v>554</v>
      </c>
      <c r="D5" s="409">
        <v>1111.1099999999999</v>
      </c>
      <c r="E5" s="317">
        <f>'2-δικαιώμ'!M5</f>
        <v>19.615587999999995</v>
      </c>
      <c r="F5" s="318">
        <f>'3-φύλλα2α'!F5</f>
        <v>17.580000000000002</v>
      </c>
      <c r="G5" s="318">
        <f>'4-πολλυπρ'!P5</f>
        <v>0</v>
      </c>
      <c r="H5" s="316">
        <f>'5-αντίγρ'!M5</f>
        <v>0</v>
      </c>
      <c r="I5" s="316">
        <f>'6-μεταγρ'!H5</f>
        <v>0</v>
      </c>
      <c r="J5" s="316">
        <f>'7-προςΔΟΥ'!E5</f>
        <v>6.46</v>
      </c>
      <c r="K5" s="316"/>
      <c r="L5" s="317">
        <f t="shared" si="0"/>
        <v>43.655588000000002</v>
      </c>
      <c r="M5" s="317"/>
      <c r="N5" s="319"/>
      <c r="O5" s="319">
        <f t="shared" si="1"/>
        <v>43.655588000000002</v>
      </c>
      <c r="P5" s="340">
        <f>'1β-ΤΑΧΔΙΚκλπ'!K4</f>
        <v>0</v>
      </c>
      <c r="Q5" s="320"/>
      <c r="R5" s="320"/>
      <c r="S5" s="320"/>
      <c r="T5" s="320"/>
      <c r="U5" s="320"/>
      <c r="V5" s="320"/>
      <c r="W5" s="320"/>
      <c r="X5" s="320"/>
      <c r="Y5" s="320"/>
      <c r="Z5" s="73"/>
      <c r="AA5" s="73"/>
    </row>
    <row r="6" spans="1:27" s="5" customFormat="1">
      <c r="A6" s="411"/>
      <c r="B6" s="412"/>
      <c r="C6" s="315" t="s">
        <v>556</v>
      </c>
      <c r="D6" s="413">
        <v>111.11</v>
      </c>
      <c r="E6" s="317">
        <f>'2-δικαιώμ'!M6</f>
        <v>11.5837</v>
      </c>
      <c r="F6" s="318">
        <f>'3-φύλλα2α'!F6</f>
        <v>17.580000000000002</v>
      </c>
      <c r="G6" s="318">
        <f>'4-πολλυπρ'!P6</f>
        <v>0</v>
      </c>
      <c r="H6" s="316">
        <f>'5-αντίγρ'!M6</f>
        <v>0</v>
      </c>
      <c r="I6" s="316">
        <f>'6-μεταγρ'!H6</f>
        <v>0</v>
      </c>
      <c r="J6" s="316">
        <f>'7-προςΔΟΥ'!E6</f>
        <v>6.46</v>
      </c>
      <c r="K6" s="316"/>
      <c r="L6" s="317">
        <f t="shared" si="0"/>
        <v>35.623699999999999</v>
      </c>
      <c r="M6" s="317"/>
      <c r="N6" s="319"/>
      <c r="O6" s="319">
        <f t="shared" si="1"/>
        <v>35.623699999999999</v>
      </c>
      <c r="P6" s="340">
        <f>'1β-ΤΑΧΔΙΚκλπ'!K5</f>
        <v>0</v>
      </c>
      <c r="Q6" s="320"/>
      <c r="R6" s="320"/>
      <c r="S6" s="320"/>
      <c r="T6" s="320"/>
      <c r="U6" s="320"/>
      <c r="V6" s="320"/>
      <c r="W6" s="320"/>
      <c r="X6" s="320"/>
      <c r="Y6" s="320"/>
      <c r="Z6" s="73"/>
      <c r="AA6" s="73"/>
    </row>
    <row r="7" spans="1:27" s="5" customFormat="1">
      <c r="A7" s="411"/>
      <c r="B7" s="412"/>
      <c r="C7" s="382" t="s">
        <v>553</v>
      </c>
      <c r="D7" s="413">
        <v>111.11</v>
      </c>
      <c r="E7" s="317">
        <f>'2-δικαιώμ'!M7</f>
        <v>11.5837</v>
      </c>
      <c r="F7" s="318">
        <f>'3-φύλλα2α'!F7</f>
        <v>17.580000000000002</v>
      </c>
      <c r="G7" s="318">
        <f>'4-πολλυπρ'!P7</f>
        <v>0</v>
      </c>
      <c r="H7" s="316">
        <f>'5-αντίγρ'!M7</f>
        <v>0</v>
      </c>
      <c r="I7" s="316">
        <f>'6-μεταγρ'!H7</f>
        <v>0</v>
      </c>
      <c r="J7" s="316">
        <f>'7-προςΔΟΥ'!E7</f>
        <v>6.46</v>
      </c>
      <c r="K7" s="316"/>
      <c r="L7" s="317">
        <f t="shared" si="0"/>
        <v>35.623699999999999</v>
      </c>
      <c r="M7" s="317"/>
      <c r="N7" s="319"/>
      <c r="O7" s="319">
        <f t="shared" si="1"/>
        <v>35.623699999999999</v>
      </c>
      <c r="P7" s="340">
        <f>'1β-ΤΑΧΔΙΚκλπ'!K6</f>
        <v>0</v>
      </c>
      <c r="Q7" s="320"/>
      <c r="R7" s="320"/>
      <c r="S7" s="320"/>
      <c r="T7" s="320"/>
      <c r="U7" s="320"/>
      <c r="V7" s="320"/>
      <c r="W7" s="320"/>
      <c r="X7" s="320"/>
      <c r="Y7" s="320"/>
      <c r="Z7" s="73"/>
      <c r="AA7" s="73"/>
    </row>
    <row r="8" spans="1:27" s="5" customFormat="1" ht="12" thickBot="1">
      <c r="A8" s="406"/>
      <c r="B8" s="407"/>
      <c r="C8" s="408" t="s">
        <v>555</v>
      </c>
      <c r="D8" s="410">
        <v>1111.1099999999999</v>
      </c>
      <c r="E8" s="438">
        <f>'2-δικαιώμ'!M8</f>
        <v>19.615587999999995</v>
      </c>
      <c r="F8" s="438">
        <f>'3-φύλλα2α'!F8</f>
        <v>17.580000000000002</v>
      </c>
      <c r="G8" s="438">
        <f>'4-πολλυπρ'!P8</f>
        <v>0</v>
      </c>
      <c r="H8" s="414">
        <f>'5-αντίγρ'!M8</f>
        <v>0</v>
      </c>
      <c r="I8" s="414">
        <f>'6-μεταγρ'!H8</f>
        <v>0</v>
      </c>
      <c r="J8" s="414">
        <f>'7-προςΔΟΥ'!E8</f>
        <v>6.46</v>
      </c>
      <c r="K8" s="414"/>
      <c r="L8" s="438">
        <f t="shared" si="0"/>
        <v>43.655588000000002</v>
      </c>
      <c r="M8" s="438"/>
      <c r="N8" s="431"/>
      <c r="O8" s="431">
        <f t="shared" si="1"/>
        <v>43.655588000000002</v>
      </c>
      <c r="P8" s="340">
        <f>'1β-ΤΑΧΔΙΚκλπ'!K7</f>
        <v>0</v>
      </c>
      <c r="Q8" s="320"/>
      <c r="R8" s="320"/>
      <c r="S8" s="320"/>
      <c r="T8" s="320"/>
      <c r="U8" s="320"/>
      <c r="V8" s="320"/>
      <c r="W8" s="320"/>
      <c r="X8" s="320"/>
      <c r="Y8" s="320"/>
      <c r="Z8" s="73"/>
      <c r="AA8" s="73"/>
    </row>
    <row r="9" spans="1:27" s="5" customFormat="1">
      <c r="A9" s="449" t="s">
        <v>610</v>
      </c>
      <c r="B9" s="349">
        <v>37930</v>
      </c>
      <c r="C9" s="382" t="s">
        <v>539</v>
      </c>
      <c r="D9" s="322"/>
      <c r="E9" s="318">
        <f>'2-δικαιώμ'!M9</f>
        <v>26.121500000000001</v>
      </c>
      <c r="F9" s="318">
        <f>'3-φύλλα2α'!F9</f>
        <v>14.100000000000001</v>
      </c>
      <c r="G9" s="318">
        <f>'4-πολλυπρ'!P9</f>
        <v>86.9</v>
      </c>
      <c r="H9" s="322">
        <f>'5-αντίγρ'!M9</f>
        <v>60.368699999999997</v>
      </c>
      <c r="I9" s="322">
        <f>'6-μεταγρ'!H9</f>
        <v>32.299999999999997</v>
      </c>
      <c r="J9" s="322">
        <f>'7-προςΔΟΥ'!E9</f>
        <v>6.46</v>
      </c>
      <c r="K9" s="322"/>
      <c r="L9" s="318">
        <f t="shared" si="0"/>
        <v>226.25020000000004</v>
      </c>
      <c r="M9" s="317">
        <v>82.79</v>
      </c>
      <c r="N9" s="319">
        <f>M9-'8-κ-15-17'!AF9-'14-βιβλΕσ'!L9</f>
        <v>77.38000000000001</v>
      </c>
      <c r="O9" s="319">
        <f t="shared" si="1"/>
        <v>148.87020000000001</v>
      </c>
      <c r="P9" s="340">
        <f>'1β-ΤΑΧΔΙΚκλπ'!K8</f>
        <v>0</v>
      </c>
      <c r="Q9" s="320"/>
      <c r="R9" s="320"/>
      <c r="S9" s="320"/>
      <c r="T9" s="320"/>
      <c r="U9" s="320"/>
      <c r="V9" s="320"/>
      <c r="W9" s="320"/>
      <c r="X9" s="320"/>
      <c r="Y9" s="320"/>
      <c r="Z9" s="73"/>
      <c r="AA9" s="73"/>
    </row>
    <row r="10" spans="1:27" s="5" customFormat="1">
      <c r="A10" s="449"/>
      <c r="B10" s="349"/>
      <c r="C10" s="382" t="s">
        <v>540</v>
      </c>
      <c r="D10" s="409">
        <v>1111.1099999999999</v>
      </c>
      <c r="E10" s="317">
        <f>'2-δικαιώμ'!M10</f>
        <v>19.615587999999995</v>
      </c>
      <c r="F10" s="318">
        <f>'3-φύλλα2α'!F10</f>
        <v>17.580000000000002</v>
      </c>
      <c r="G10" s="318">
        <f>'4-πολλυπρ'!P10</f>
        <v>0</v>
      </c>
      <c r="H10" s="316">
        <f>'5-αντίγρ'!M10</f>
        <v>0</v>
      </c>
      <c r="I10" s="316">
        <f>'6-μεταγρ'!H10</f>
        <v>0</v>
      </c>
      <c r="J10" s="316">
        <f>'7-προςΔΟΥ'!E10</f>
        <v>0</v>
      </c>
      <c r="K10" s="316"/>
      <c r="L10" s="317">
        <f t="shared" si="0"/>
        <v>37.195588000000001</v>
      </c>
      <c r="M10" s="317"/>
      <c r="N10" s="319"/>
      <c r="O10" s="319">
        <f t="shared" si="1"/>
        <v>37.195588000000001</v>
      </c>
      <c r="P10" s="340">
        <f>'1β-ΤΑΧΔΙΚκλπ'!K9</f>
        <v>0</v>
      </c>
      <c r="Q10" s="320"/>
      <c r="R10" s="320"/>
      <c r="S10" s="320"/>
      <c r="T10" s="320"/>
      <c r="U10" s="320"/>
      <c r="V10" s="320"/>
      <c r="W10" s="320"/>
      <c r="X10" s="320"/>
      <c r="Y10" s="320"/>
      <c r="Z10" s="73"/>
      <c r="AA10" s="73"/>
    </row>
    <row r="11" spans="1:27" s="5" customFormat="1">
      <c r="A11" s="449"/>
      <c r="B11" s="349"/>
      <c r="C11" s="382" t="s">
        <v>554</v>
      </c>
      <c r="D11" s="409">
        <v>1111.1099999999999</v>
      </c>
      <c r="E11" s="317">
        <f>'2-δικαιώμ'!M11</f>
        <v>19.615587999999995</v>
      </c>
      <c r="F11" s="318">
        <f>'3-φύλλα2α'!F11</f>
        <v>17.580000000000002</v>
      </c>
      <c r="G11" s="318">
        <f>'4-πολλυπρ'!P11</f>
        <v>0</v>
      </c>
      <c r="H11" s="316">
        <f>'5-αντίγρ'!M11</f>
        <v>0</v>
      </c>
      <c r="I11" s="316">
        <f>'6-μεταγρ'!H11</f>
        <v>0</v>
      </c>
      <c r="J11" s="316">
        <f>'7-προςΔΟΥ'!E11</f>
        <v>0</v>
      </c>
      <c r="K11" s="316"/>
      <c r="L11" s="317">
        <f t="shared" si="0"/>
        <v>37.195588000000001</v>
      </c>
      <c r="M11" s="317"/>
      <c r="N11" s="319"/>
      <c r="O11" s="319">
        <f t="shared" si="1"/>
        <v>37.195588000000001</v>
      </c>
      <c r="P11" s="340">
        <f>'1β-ΤΑΧΔΙΚκλπ'!K10</f>
        <v>0</v>
      </c>
      <c r="Q11" s="320"/>
      <c r="R11" s="320"/>
      <c r="S11" s="320"/>
      <c r="T11" s="320"/>
      <c r="U11" s="320"/>
      <c r="V11" s="320"/>
      <c r="W11" s="320"/>
      <c r="X11" s="320"/>
      <c r="Y11" s="320"/>
      <c r="Z11" s="73"/>
      <c r="AA11" s="73"/>
    </row>
    <row r="12" spans="1:27" s="5" customFormat="1">
      <c r="A12" s="450"/>
      <c r="B12" s="412"/>
      <c r="C12" s="315" t="s">
        <v>556</v>
      </c>
      <c r="D12" s="413">
        <v>111.11</v>
      </c>
      <c r="E12" s="317">
        <f>'2-δικαιώμ'!M12</f>
        <v>11.5837</v>
      </c>
      <c r="F12" s="318">
        <f>'3-φύλλα2α'!F12</f>
        <v>17.580000000000002</v>
      </c>
      <c r="G12" s="318">
        <f>'4-πολλυπρ'!P12</f>
        <v>0</v>
      </c>
      <c r="H12" s="316">
        <f>'5-αντίγρ'!M12</f>
        <v>0</v>
      </c>
      <c r="I12" s="316">
        <f>'6-μεταγρ'!H12</f>
        <v>0</v>
      </c>
      <c r="J12" s="316">
        <f>'7-προςΔΟΥ'!E12</f>
        <v>0</v>
      </c>
      <c r="K12" s="316"/>
      <c r="L12" s="317">
        <f t="shared" si="0"/>
        <v>29.163700000000002</v>
      </c>
      <c r="M12" s="317"/>
      <c r="N12" s="319"/>
      <c r="O12" s="319">
        <f t="shared" si="1"/>
        <v>29.163700000000002</v>
      </c>
      <c r="P12" s="340">
        <f>'1β-ΤΑΧΔΙΚκλπ'!K11</f>
        <v>0</v>
      </c>
      <c r="Q12" s="320"/>
      <c r="R12" s="320"/>
      <c r="S12" s="320"/>
      <c r="T12" s="320"/>
      <c r="U12" s="320"/>
      <c r="V12" s="320"/>
      <c r="W12" s="320"/>
      <c r="X12" s="320"/>
      <c r="Y12" s="320"/>
      <c r="Z12" s="73"/>
      <c r="AA12" s="73"/>
    </row>
    <row r="13" spans="1:27" s="5" customFormat="1">
      <c r="A13" s="450"/>
      <c r="B13" s="412"/>
      <c r="C13" s="382" t="s">
        <v>553</v>
      </c>
      <c r="D13" s="413">
        <v>111.11</v>
      </c>
      <c r="E13" s="317">
        <f>'2-δικαιώμ'!M13</f>
        <v>11.5837</v>
      </c>
      <c r="F13" s="318">
        <f>'3-φύλλα2α'!F13</f>
        <v>17.580000000000002</v>
      </c>
      <c r="G13" s="318">
        <f>'4-πολλυπρ'!P13</f>
        <v>0</v>
      </c>
      <c r="H13" s="316">
        <f>'5-αντίγρ'!M13</f>
        <v>0</v>
      </c>
      <c r="I13" s="316">
        <f>'6-μεταγρ'!H13</f>
        <v>0</v>
      </c>
      <c r="J13" s="316">
        <f>'7-προςΔΟΥ'!E13</f>
        <v>0</v>
      </c>
      <c r="K13" s="316"/>
      <c r="L13" s="317">
        <f t="shared" si="0"/>
        <v>29.163700000000002</v>
      </c>
      <c r="M13" s="317"/>
      <c r="N13" s="319"/>
      <c r="O13" s="319">
        <f t="shared" si="1"/>
        <v>29.163700000000002</v>
      </c>
      <c r="P13" s="340">
        <f>'1β-ΤΑΧΔΙΚκλπ'!K12</f>
        <v>0</v>
      </c>
      <c r="Q13" s="320"/>
      <c r="R13" s="320"/>
      <c r="S13" s="320"/>
      <c r="T13" s="320"/>
      <c r="U13" s="320"/>
      <c r="V13" s="320"/>
      <c r="W13" s="320"/>
      <c r="X13" s="320"/>
      <c r="Y13" s="320"/>
      <c r="Z13" s="73"/>
      <c r="AA13" s="73"/>
    </row>
    <row r="14" spans="1:27" s="5" customFormat="1" ht="12" thickBot="1">
      <c r="A14" s="451"/>
      <c r="B14" s="407"/>
      <c r="C14" s="408" t="s">
        <v>555</v>
      </c>
      <c r="D14" s="410">
        <v>1111.1099999999999</v>
      </c>
      <c r="E14" s="438">
        <f>'2-δικαιώμ'!M14</f>
        <v>19.615587999999995</v>
      </c>
      <c r="F14" s="438">
        <f>'3-φύλλα2α'!F14</f>
        <v>17.580000000000002</v>
      </c>
      <c r="G14" s="438">
        <f>'4-πολλυπρ'!P14</f>
        <v>0</v>
      </c>
      <c r="H14" s="414">
        <f>'5-αντίγρ'!M14</f>
        <v>0</v>
      </c>
      <c r="I14" s="414">
        <f>'6-μεταγρ'!H14</f>
        <v>0</v>
      </c>
      <c r="J14" s="414">
        <f>'7-προςΔΟΥ'!E14</f>
        <v>0</v>
      </c>
      <c r="K14" s="414"/>
      <c r="L14" s="438">
        <f t="shared" si="0"/>
        <v>37.195588000000001</v>
      </c>
      <c r="M14" s="438"/>
      <c r="N14" s="431"/>
      <c r="O14" s="431">
        <f t="shared" si="1"/>
        <v>37.195588000000001</v>
      </c>
      <c r="P14" s="340">
        <f>'1β-ΤΑΧΔΙΚκλπ'!K13</f>
        <v>0</v>
      </c>
      <c r="Q14" s="320"/>
      <c r="R14" s="320"/>
      <c r="S14" s="320"/>
      <c r="T14" s="320"/>
      <c r="U14" s="320"/>
      <c r="V14" s="320"/>
      <c r="W14" s="320"/>
      <c r="X14" s="320"/>
      <c r="Y14" s="320"/>
      <c r="Z14" s="73"/>
      <c r="AA14" s="73"/>
    </row>
    <row r="15" spans="1:27" s="5" customFormat="1">
      <c r="A15" s="403" t="s">
        <v>611</v>
      </c>
      <c r="B15" s="349">
        <v>37930</v>
      </c>
      <c r="C15" s="382" t="s">
        <v>539</v>
      </c>
      <c r="D15" s="322"/>
      <c r="E15" s="318">
        <f>'2-δικαιώμ'!M15</f>
        <v>26.121500000000001</v>
      </c>
      <c r="F15" s="318">
        <f>'3-φύλλα2α'!F15</f>
        <v>14.100000000000001</v>
      </c>
      <c r="G15" s="318">
        <f>'4-πολλυπρ'!P15</f>
        <v>43.45</v>
      </c>
      <c r="H15" s="322">
        <f>'5-αντίγρ'!M15</f>
        <v>40.245799999999996</v>
      </c>
      <c r="I15" s="322">
        <f>'6-μεταγρ'!H15</f>
        <v>22.61</v>
      </c>
      <c r="J15" s="322">
        <f>'7-προςΔΟΥ'!E15</f>
        <v>6.46</v>
      </c>
      <c r="K15" s="322"/>
      <c r="L15" s="318">
        <f t="shared" si="0"/>
        <v>152.98730000000003</v>
      </c>
      <c r="M15" s="317">
        <v>82.79</v>
      </c>
      <c r="N15" s="319">
        <f>M15-'8-κ-15-17'!AF15-'14-βιβλΕσ'!L15</f>
        <v>77.38000000000001</v>
      </c>
      <c r="O15" s="319">
        <f t="shared" si="1"/>
        <v>75.607300000000023</v>
      </c>
      <c r="P15" s="340">
        <f>'1β-ΤΑΧΔΙΚκλπ'!K14</f>
        <v>0</v>
      </c>
      <c r="Q15" s="320"/>
      <c r="R15" s="320"/>
      <c r="S15" s="320"/>
      <c r="T15" s="320"/>
      <c r="U15" s="320"/>
      <c r="V15" s="320"/>
      <c r="W15" s="320"/>
      <c r="X15" s="320"/>
      <c r="Y15" s="320"/>
      <c r="Z15" s="73"/>
      <c r="AA15" s="73"/>
    </row>
    <row r="16" spans="1:27" s="5" customFormat="1">
      <c r="A16" s="403"/>
      <c r="B16" s="349"/>
      <c r="C16" s="382" t="s">
        <v>540</v>
      </c>
      <c r="D16" s="409">
        <v>1111.1099999999999</v>
      </c>
      <c r="E16" s="318">
        <f>'2-δικαιώμ'!M16</f>
        <v>19.615587999999995</v>
      </c>
      <c r="F16" s="318">
        <f>'3-φύλλα2α'!F16</f>
        <v>17.580000000000002</v>
      </c>
      <c r="G16" s="318">
        <f>'4-πολλυπρ'!P16</f>
        <v>0</v>
      </c>
      <c r="H16" s="322">
        <f>'5-αντίγρ'!M16</f>
        <v>0</v>
      </c>
      <c r="I16" s="316">
        <f>'6-μεταγρ'!H16</f>
        <v>0</v>
      </c>
      <c r="J16" s="316">
        <f>'7-προςΔΟΥ'!E16</f>
        <v>0</v>
      </c>
      <c r="K16" s="316"/>
      <c r="L16" s="317">
        <f t="shared" si="0"/>
        <v>37.195588000000001</v>
      </c>
      <c r="M16" s="317"/>
      <c r="N16" s="319"/>
      <c r="O16" s="319">
        <f t="shared" si="1"/>
        <v>37.195588000000001</v>
      </c>
      <c r="P16" s="340">
        <f>'1β-ΤΑΧΔΙΚκλπ'!K15</f>
        <v>0</v>
      </c>
      <c r="Q16" s="320"/>
      <c r="R16" s="320"/>
      <c r="S16" s="320"/>
      <c r="T16" s="320"/>
      <c r="U16" s="320"/>
      <c r="V16" s="320"/>
      <c r="W16" s="320"/>
      <c r="X16" s="320"/>
      <c r="Y16" s="320"/>
      <c r="Z16" s="73"/>
      <c r="AA16" s="73"/>
    </row>
    <row r="17" spans="1:27" s="5" customFormat="1">
      <c r="A17" s="403"/>
      <c r="B17" s="349"/>
      <c r="C17" s="382" t="s">
        <v>554</v>
      </c>
      <c r="D17" s="409">
        <v>1111.1099999999999</v>
      </c>
      <c r="E17" s="318">
        <f>'2-δικαιώμ'!M17</f>
        <v>19.615587999999995</v>
      </c>
      <c r="F17" s="318">
        <f>'3-φύλλα2α'!F17</f>
        <v>17.580000000000002</v>
      </c>
      <c r="G17" s="318">
        <f>'4-πολλυπρ'!P17</f>
        <v>0</v>
      </c>
      <c r="H17" s="322">
        <f>'5-αντίγρ'!M17</f>
        <v>0</v>
      </c>
      <c r="I17" s="316">
        <f>'6-μεταγρ'!H17</f>
        <v>0</v>
      </c>
      <c r="J17" s="316">
        <f>'7-προςΔΟΥ'!E17</f>
        <v>0</v>
      </c>
      <c r="K17" s="316"/>
      <c r="L17" s="317">
        <f t="shared" si="0"/>
        <v>37.195588000000001</v>
      </c>
      <c r="M17" s="317"/>
      <c r="N17" s="319"/>
      <c r="O17" s="319">
        <f t="shared" si="1"/>
        <v>37.195588000000001</v>
      </c>
      <c r="P17" s="340">
        <f>'1β-ΤΑΧΔΙΚκλπ'!K16</f>
        <v>0</v>
      </c>
      <c r="Q17" s="320"/>
      <c r="R17" s="320"/>
      <c r="S17" s="320"/>
      <c r="T17" s="320"/>
      <c r="U17" s="320"/>
      <c r="V17" s="320"/>
      <c r="W17" s="320"/>
      <c r="X17" s="320"/>
      <c r="Y17" s="320"/>
      <c r="Z17" s="73"/>
      <c r="AA17" s="73"/>
    </row>
    <row r="18" spans="1:27" s="5" customFormat="1">
      <c r="A18" s="403"/>
      <c r="B18" s="349"/>
      <c r="C18" s="315" t="s">
        <v>556</v>
      </c>
      <c r="D18" s="413">
        <v>111.11</v>
      </c>
      <c r="E18" s="318">
        <f>'2-δικαιώμ'!M18</f>
        <v>11.5837</v>
      </c>
      <c r="F18" s="318">
        <f>'3-φύλλα2α'!F18</f>
        <v>17.580000000000002</v>
      </c>
      <c r="G18" s="318">
        <f>'4-πολλυπρ'!P18</f>
        <v>0</v>
      </c>
      <c r="H18" s="322">
        <f>'5-αντίγρ'!M18</f>
        <v>0</v>
      </c>
      <c r="I18" s="316">
        <f>'6-μεταγρ'!H18</f>
        <v>0</v>
      </c>
      <c r="J18" s="316">
        <f>'7-προςΔΟΥ'!E18</f>
        <v>0</v>
      </c>
      <c r="K18" s="316"/>
      <c r="L18" s="317">
        <f t="shared" si="0"/>
        <v>29.163700000000002</v>
      </c>
      <c r="M18" s="317"/>
      <c r="N18" s="319"/>
      <c r="O18" s="319">
        <f t="shared" si="1"/>
        <v>29.163700000000002</v>
      </c>
      <c r="P18" s="340">
        <f>'1β-ΤΑΧΔΙΚκλπ'!K17</f>
        <v>0</v>
      </c>
      <c r="Q18" s="320"/>
      <c r="R18" s="320"/>
      <c r="S18" s="320"/>
      <c r="T18" s="320"/>
      <c r="U18" s="320"/>
      <c r="V18" s="320"/>
      <c r="W18" s="320"/>
      <c r="X18" s="320"/>
      <c r="Y18" s="320"/>
      <c r="Z18" s="73"/>
      <c r="AA18" s="73"/>
    </row>
    <row r="19" spans="1:27" s="5" customFormat="1">
      <c r="A19" s="403"/>
      <c r="B19" s="349"/>
      <c r="C19" s="382" t="s">
        <v>553</v>
      </c>
      <c r="D19" s="413">
        <v>111.11</v>
      </c>
      <c r="E19" s="318">
        <f>'2-δικαιώμ'!M19</f>
        <v>11.5837</v>
      </c>
      <c r="F19" s="318">
        <f>'3-φύλλα2α'!F19</f>
        <v>17.580000000000002</v>
      </c>
      <c r="G19" s="318">
        <f>'4-πολλυπρ'!P19</f>
        <v>0</v>
      </c>
      <c r="H19" s="322">
        <f>'5-αντίγρ'!M19</f>
        <v>0</v>
      </c>
      <c r="I19" s="316">
        <f>'6-μεταγρ'!H19</f>
        <v>0</v>
      </c>
      <c r="J19" s="316">
        <f>'7-προςΔΟΥ'!E19</f>
        <v>0</v>
      </c>
      <c r="K19" s="316"/>
      <c r="L19" s="317">
        <f t="shared" si="0"/>
        <v>29.163700000000002</v>
      </c>
      <c r="M19" s="317"/>
      <c r="N19" s="319"/>
      <c r="O19" s="319">
        <f t="shared" si="1"/>
        <v>29.163700000000002</v>
      </c>
      <c r="P19" s="340">
        <f>'1β-ΤΑΧΔΙΚκλπ'!K18</f>
        <v>0</v>
      </c>
      <c r="Q19" s="320"/>
      <c r="R19" s="320"/>
      <c r="S19" s="320"/>
      <c r="T19" s="320"/>
      <c r="U19" s="320"/>
      <c r="V19" s="320"/>
      <c r="W19" s="320"/>
      <c r="X19" s="320"/>
      <c r="Y19" s="320"/>
      <c r="Z19" s="73"/>
      <c r="AA19" s="73"/>
    </row>
    <row r="20" spans="1:27" s="5" customFormat="1" ht="12" thickBot="1">
      <c r="A20" s="406"/>
      <c r="B20" s="407"/>
      <c r="C20" s="408" t="s">
        <v>555</v>
      </c>
      <c r="D20" s="410">
        <v>1111.1099999999999</v>
      </c>
      <c r="E20" s="438">
        <f>'2-δικαιώμ'!M20</f>
        <v>19.615587999999995</v>
      </c>
      <c r="F20" s="438">
        <f>'3-φύλλα2α'!F20</f>
        <v>17.580000000000002</v>
      </c>
      <c r="G20" s="438">
        <f>'4-πολλυπρ'!P20</f>
        <v>0</v>
      </c>
      <c r="H20" s="414">
        <f>'5-αντίγρ'!M20</f>
        <v>0</v>
      </c>
      <c r="I20" s="414">
        <f>'6-μεταγρ'!H20</f>
        <v>0</v>
      </c>
      <c r="J20" s="414">
        <f>'7-προςΔΟΥ'!E20</f>
        <v>0</v>
      </c>
      <c r="K20" s="414"/>
      <c r="L20" s="438">
        <f t="shared" si="0"/>
        <v>37.195588000000001</v>
      </c>
      <c r="M20" s="438"/>
      <c r="N20" s="431"/>
      <c r="O20" s="431">
        <f t="shared" si="1"/>
        <v>37.195588000000001</v>
      </c>
      <c r="P20" s="340">
        <f>'1β-ΤΑΧΔΙΚκλπ'!K19</f>
        <v>0</v>
      </c>
      <c r="Q20" s="320"/>
      <c r="R20" s="320"/>
      <c r="S20" s="320"/>
      <c r="T20" s="320"/>
      <c r="U20" s="320"/>
      <c r="V20" s="320"/>
      <c r="W20" s="320"/>
      <c r="X20" s="320"/>
      <c r="Y20" s="320"/>
      <c r="Z20" s="73"/>
      <c r="AA20" s="73"/>
    </row>
    <row r="21" spans="1:27" s="5" customFormat="1">
      <c r="A21" s="449" t="s">
        <v>612</v>
      </c>
      <c r="B21" s="349">
        <v>37930</v>
      </c>
      <c r="C21" s="382" t="s">
        <v>539</v>
      </c>
      <c r="D21" s="322"/>
      <c r="E21" s="318">
        <f>'2-δικαιώμ'!M21</f>
        <v>26.121500000000001</v>
      </c>
      <c r="F21" s="318">
        <f>'3-φύλλα2α'!F21</f>
        <v>14.100000000000001</v>
      </c>
      <c r="G21" s="318">
        <f>'4-πολλυπρ'!P21</f>
        <v>0</v>
      </c>
      <c r="H21" s="322">
        <f>'5-αντίγρ'!M21</f>
        <v>40.245799999999996</v>
      </c>
      <c r="I21" s="322">
        <f>'6-μεταγρ'!H21</f>
        <v>12.92</v>
      </c>
      <c r="J21" s="322">
        <f>'7-προςΔΟΥ'!E21</f>
        <v>6.46</v>
      </c>
      <c r="K21" s="322"/>
      <c r="L21" s="318">
        <f t="shared" si="0"/>
        <v>99.84729999999999</v>
      </c>
      <c r="M21" s="317">
        <v>82.79</v>
      </c>
      <c r="N21" s="319">
        <f>M21-'8-κ-15-17'!AF21-'14-βιβλΕσ'!L21</f>
        <v>77.38000000000001</v>
      </c>
      <c r="O21" s="319">
        <f t="shared" si="1"/>
        <v>22.46729999999998</v>
      </c>
      <c r="P21" s="340">
        <f>'1β-ΤΑΧΔΙΚκλπ'!K20</f>
        <v>0</v>
      </c>
      <c r="Q21" s="320"/>
      <c r="R21" s="320"/>
      <c r="S21" s="320"/>
      <c r="T21" s="320"/>
      <c r="U21" s="320"/>
      <c r="V21" s="320"/>
      <c r="W21" s="320"/>
      <c r="X21" s="320"/>
      <c r="Y21" s="320"/>
      <c r="Z21" s="73"/>
      <c r="AA21" s="73"/>
    </row>
    <row r="22" spans="1:27" s="5" customFormat="1">
      <c r="A22" s="449"/>
      <c r="B22" s="349"/>
      <c r="C22" s="382" t="s">
        <v>540</v>
      </c>
      <c r="D22" s="409">
        <v>1111.1099999999999</v>
      </c>
      <c r="E22" s="318">
        <f>'2-δικαιώμ'!M22</f>
        <v>19.615587999999995</v>
      </c>
      <c r="F22" s="318">
        <f>'3-φύλλα2α'!F22</f>
        <v>17.580000000000002</v>
      </c>
      <c r="G22" s="318">
        <f>'4-πολλυπρ'!P22</f>
        <v>0</v>
      </c>
      <c r="H22" s="322">
        <f>'5-αντίγρ'!M22</f>
        <v>0</v>
      </c>
      <c r="I22" s="316">
        <f>'6-μεταγρ'!H22</f>
        <v>0</v>
      </c>
      <c r="J22" s="316">
        <f>'7-προςΔΟΥ'!E22</f>
        <v>0</v>
      </c>
      <c r="K22" s="316"/>
      <c r="L22" s="317">
        <f t="shared" si="0"/>
        <v>37.195588000000001</v>
      </c>
      <c r="M22" s="317"/>
      <c r="N22" s="319"/>
      <c r="O22" s="319">
        <f t="shared" si="1"/>
        <v>37.195588000000001</v>
      </c>
      <c r="P22" s="340">
        <f>'1β-ΤΑΧΔΙΚκλπ'!K21</f>
        <v>0</v>
      </c>
      <c r="Q22" s="320"/>
      <c r="R22" s="320"/>
      <c r="S22" s="320"/>
      <c r="T22" s="320"/>
      <c r="U22" s="320"/>
      <c r="V22" s="320"/>
      <c r="W22" s="320"/>
      <c r="X22" s="320"/>
      <c r="Y22" s="320"/>
      <c r="Z22" s="73"/>
      <c r="AA22" s="73"/>
    </row>
    <row r="23" spans="1:27" s="5" customFormat="1">
      <c r="A23" s="449"/>
      <c r="B23" s="349"/>
      <c r="C23" s="382" t="s">
        <v>554</v>
      </c>
      <c r="D23" s="409">
        <v>1111.1099999999999</v>
      </c>
      <c r="E23" s="318">
        <f>'2-δικαιώμ'!M23</f>
        <v>19.615587999999995</v>
      </c>
      <c r="F23" s="318">
        <f>'3-φύλλα2α'!F23</f>
        <v>17.580000000000002</v>
      </c>
      <c r="G23" s="318">
        <f>'4-πολλυπρ'!P23</f>
        <v>0</v>
      </c>
      <c r="H23" s="322">
        <f>'5-αντίγρ'!M23</f>
        <v>0</v>
      </c>
      <c r="I23" s="316">
        <f>'6-μεταγρ'!H23</f>
        <v>0</v>
      </c>
      <c r="J23" s="316">
        <f>'7-προςΔΟΥ'!E23</f>
        <v>0</v>
      </c>
      <c r="K23" s="316"/>
      <c r="L23" s="317">
        <f t="shared" si="0"/>
        <v>37.195588000000001</v>
      </c>
      <c r="M23" s="317"/>
      <c r="N23" s="319"/>
      <c r="O23" s="319">
        <f t="shared" si="1"/>
        <v>37.195588000000001</v>
      </c>
      <c r="P23" s="340">
        <f>'1β-ΤΑΧΔΙΚκλπ'!K22</f>
        <v>0</v>
      </c>
      <c r="Q23" s="320"/>
      <c r="R23" s="320"/>
      <c r="S23" s="320"/>
      <c r="T23" s="320"/>
      <c r="U23" s="320"/>
      <c r="V23" s="320"/>
      <c r="W23" s="320"/>
      <c r="X23" s="320"/>
      <c r="Y23" s="320"/>
      <c r="Z23" s="73"/>
      <c r="AA23" s="73"/>
    </row>
    <row r="24" spans="1:27" s="5" customFormat="1">
      <c r="A24" s="449"/>
      <c r="B24" s="349"/>
      <c r="C24" s="315" t="s">
        <v>556</v>
      </c>
      <c r="D24" s="413">
        <v>111.11</v>
      </c>
      <c r="E24" s="318">
        <f>'2-δικαιώμ'!M24</f>
        <v>11.5837</v>
      </c>
      <c r="F24" s="318">
        <f>'3-φύλλα2α'!F24</f>
        <v>17.580000000000002</v>
      </c>
      <c r="G24" s="318">
        <f>'4-πολλυπρ'!P24</f>
        <v>0</v>
      </c>
      <c r="H24" s="322">
        <f>'5-αντίγρ'!M24</f>
        <v>0</v>
      </c>
      <c r="I24" s="316">
        <f>'6-μεταγρ'!H24</f>
        <v>0</v>
      </c>
      <c r="J24" s="316">
        <f>'7-προςΔΟΥ'!E24</f>
        <v>0</v>
      </c>
      <c r="K24" s="316"/>
      <c r="L24" s="317">
        <f t="shared" si="0"/>
        <v>29.163700000000002</v>
      </c>
      <c r="M24" s="317"/>
      <c r="N24" s="319"/>
      <c r="O24" s="319">
        <f t="shared" si="1"/>
        <v>29.163700000000002</v>
      </c>
      <c r="P24" s="340">
        <f>'1β-ΤΑΧΔΙΚκλπ'!K23</f>
        <v>0</v>
      </c>
      <c r="Q24" s="320"/>
      <c r="R24" s="320"/>
      <c r="S24" s="320"/>
      <c r="T24" s="320"/>
      <c r="U24" s="320"/>
      <c r="V24" s="320"/>
      <c r="W24" s="320"/>
      <c r="X24" s="320"/>
      <c r="Y24" s="320"/>
      <c r="Z24" s="73"/>
      <c r="AA24" s="73"/>
    </row>
    <row r="25" spans="1:27" s="5" customFormat="1">
      <c r="A25" s="449"/>
      <c r="B25" s="349"/>
      <c r="C25" s="382" t="s">
        <v>553</v>
      </c>
      <c r="D25" s="413">
        <v>111.11</v>
      </c>
      <c r="E25" s="318">
        <f>'2-δικαιώμ'!M25</f>
        <v>11.5837</v>
      </c>
      <c r="F25" s="318">
        <f>'3-φύλλα2α'!F25</f>
        <v>17.580000000000002</v>
      </c>
      <c r="G25" s="318">
        <f>'4-πολλυπρ'!P25</f>
        <v>0</v>
      </c>
      <c r="H25" s="322">
        <f>'5-αντίγρ'!M25</f>
        <v>0</v>
      </c>
      <c r="I25" s="316">
        <f>'6-μεταγρ'!H25</f>
        <v>0</v>
      </c>
      <c r="J25" s="316">
        <f>'7-προςΔΟΥ'!E25</f>
        <v>0</v>
      </c>
      <c r="K25" s="316"/>
      <c r="L25" s="317">
        <f t="shared" si="0"/>
        <v>29.163700000000002</v>
      </c>
      <c r="M25" s="317"/>
      <c r="N25" s="319"/>
      <c r="O25" s="319">
        <f t="shared" si="1"/>
        <v>29.163700000000002</v>
      </c>
      <c r="P25" s="340">
        <f>'1β-ΤΑΧΔΙΚκλπ'!K24</f>
        <v>0</v>
      </c>
      <c r="Q25" s="320"/>
      <c r="R25" s="320"/>
      <c r="S25" s="320"/>
      <c r="T25" s="320"/>
      <c r="U25" s="320"/>
      <c r="V25" s="320"/>
      <c r="W25" s="320"/>
      <c r="X25" s="320"/>
      <c r="Y25" s="320"/>
      <c r="Z25" s="73"/>
      <c r="AA25" s="73"/>
    </row>
    <row r="26" spans="1:27" s="5" customFormat="1" ht="12" thickBot="1">
      <c r="A26" s="451"/>
      <c r="B26" s="407"/>
      <c r="C26" s="408" t="s">
        <v>555</v>
      </c>
      <c r="D26" s="410">
        <v>1111.1099999999999</v>
      </c>
      <c r="E26" s="438">
        <f>'2-δικαιώμ'!M26</f>
        <v>19.615587999999995</v>
      </c>
      <c r="F26" s="438">
        <f>'3-φύλλα2α'!F26</f>
        <v>17.580000000000002</v>
      </c>
      <c r="G26" s="438">
        <f>'4-πολλυπρ'!P26</f>
        <v>0</v>
      </c>
      <c r="H26" s="414">
        <f>'5-αντίγρ'!M26</f>
        <v>0</v>
      </c>
      <c r="I26" s="414">
        <f>'6-μεταγρ'!H26</f>
        <v>0</v>
      </c>
      <c r="J26" s="414">
        <f>'7-προςΔΟΥ'!E26</f>
        <v>0</v>
      </c>
      <c r="K26" s="414"/>
      <c r="L26" s="438">
        <f t="shared" si="0"/>
        <v>37.195588000000001</v>
      </c>
      <c r="M26" s="438"/>
      <c r="N26" s="431"/>
      <c r="O26" s="431">
        <f t="shared" si="1"/>
        <v>37.195588000000001</v>
      </c>
      <c r="P26" s="340">
        <f>'1β-ΤΑΧΔΙΚκλπ'!K25</f>
        <v>0</v>
      </c>
      <c r="Q26" s="320"/>
      <c r="R26" s="320"/>
      <c r="S26" s="320"/>
      <c r="T26" s="320"/>
      <c r="U26" s="320"/>
      <c r="V26" s="320"/>
      <c r="W26" s="320"/>
      <c r="X26" s="320"/>
      <c r="Y26" s="320"/>
      <c r="Z26" s="73"/>
      <c r="AA26" s="73"/>
    </row>
    <row r="27" spans="1:27" s="5" customFormat="1">
      <c r="A27" s="403" t="s">
        <v>613</v>
      </c>
      <c r="B27" s="349">
        <v>37930</v>
      </c>
      <c r="C27" s="382" t="s">
        <v>539</v>
      </c>
      <c r="D27" s="322"/>
      <c r="E27" s="318">
        <f>'2-δικαιώμ'!M27</f>
        <v>26.121500000000001</v>
      </c>
      <c r="F27" s="318">
        <f>'3-φύλλα2α'!F27</f>
        <v>17.580000000000002</v>
      </c>
      <c r="G27" s="318">
        <f>'4-πολλυπρ'!P27</f>
        <v>93.860000000000014</v>
      </c>
      <c r="H27" s="322">
        <f>'5-αντίγρ'!M27</f>
        <v>40.245799999999996</v>
      </c>
      <c r="I27" s="322">
        <f>'6-μεταγρ'!H27</f>
        <v>12.92</v>
      </c>
      <c r="J27" s="322">
        <f>'7-προςΔΟΥ'!E27</f>
        <v>6.46</v>
      </c>
      <c r="K27" s="322"/>
      <c r="L27" s="318">
        <f t="shared" si="0"/>
        <v>197.18730000000002</v>
      </c>
      <c r="M27" s="317">
        <v>82.79</v>
      </c>
      <c r="N27" s="319">
        <f>M27-'8-κ-15-17'!AF27-'14-βιβλΕσ'!L27</f>
        <v>77.38000000000001</v>
      </c>
      <c r="O27" s="319">
        <f t="shared" si="1"/>
        <v>119.80730000000001</v>
      </c>
      <c r="P27" s="340">
        <f>'1β-ΤΑΧΔΙΚκλπ'!K26</f>
        <v>0</v>
      </c>
      <c r="Q27" s="320"/>
      <c r="R27" s="320"/>
      <c r="S27" s="320"/>
      <c r="T27" s="320"/>
      <c r="U27" s="320"/>
      <c r="V27" s="320"/>
      <c r="W27" s="320"/>
      <c r="X27" s="320"/>
      <c r="Y27" s="320"/>
      <c r="Z27" s="73"/>
      <c r="AA27" s="73"/>
    </row>
    <row r="28" spans="1:27" s="5" customFormat="1">
      <c r="A28" s="403"/>
      <c r="B28" s="349"/>
      <c r="C28" s="382" t="s">
        <v>541</v>
      </c>
      <c r="D28" s="409">
        <v>1111.1099999999999</v>
      </c>
      <c r="E28" s="318">
        <f>'2-δικαιώμ'!M28</f>
        <v>19.615587999999995</v>
      </c>
      <c r="F28" s="318">
        <f>'3-φύλλα2α'!F28</f>
        <v>17.580000000000002</v>
      </c>
      <c r="G28" s="318">
        <f>'4-πολλυπρ'!P28</f>
        <v>0</v>
      </c>
      <c r="H28" s="322">
        <f>'5-αντίγρ'!M28</f>
        <v>0</v>
      </c>
      <c r="I28" s="316">
        <f>'6-μεταγρ'!H28</f>
        <v>0</v>
      </c>
      <c r="J28" s="316">
        <f>'7-προςΔΟΥ'!E28</f>
        <v>0</v>
      </c>
      <c r="K28" s="316"/>
      <c r="L28" s="317">
        <f t="shared" si="0"/>
        <v>37.195588000000001</v>
      </c>
      <c r="M28" s="317"/>
      <c r="N28" s="319"/>
      <c r="O28" s="319">
        <f t="shared" si="1"/>
        <v>37.195588000000001</v>
      </c>
      <c r="P28" s="340">
        <f>'1β-ΤΑΧΔΙΚκλπ'!K27</f>
        <v>0</v>
      </c>
      <c r="Q28" s="320"/>
      <c r="R28" s="320"/>
      <c r="S28" s="320"/>
      <c r="T28" s="320"/>
      <c r="U28" s="320"/>
      <c r="V28" s="320"/>
      <c r="W28" s="320"/>
      <c r="X28" s="320"/>
      <c r="Y28" s="320"/>
      <c r="Z28" s="73"/>
      <c r="AA28" s="73"/>
    </row>
    <row r="29" spans="1:27" s="5" customFormat="1">
      <c r="A29" s="403"/>
      <c r="B29" s="349"/>
      <c r="C29" s="382" t="s">
        <v>554</v>
      </c>
      <c r="D29" s="409">
        <v>1111.1099999999999</v>
      </c>
      <c r="E29" s="318">
        <f>'2-δικαιώμ'!M29</f>
        <v>19.615587999999995</v>
      </c>
      <c r="F29" s="318">
        <f>'3-φύλλα2α'!F29</f>
        <v>17.580000000000002</v>
      </c>
      <c r="G29" s="318">
        <f>'4-πολλυπρ'!P29</f>
        <v>0</v>
      </c>
      <c r="H29" s="322">
        <f>'5-αντίγρ'!M29</f>
        <v>0</v>
      </c>
      <c r="I29" s="316">
        <f>'6-μεταγρ'!H29</f>
        <v>0</v>
      </c>
      <c r="J29" s="316">
        <f>'7-προςΔΟΥ'!E29</f>
        <v>0</v>
      </c>
      <c r="K29" s="316"/>
      <c r="L29" s="317">
        <f t="shared" si="0"/>
        <v>37.195588000000001</v>
      </c>
      <c r="M29" s="317"/>
      <c r="N29" s="319"/>
      <c r="O29" s="319">
        <f t="shared" si="1"/>
        <v>37.195588000000001</v>
      </c>
      <c r="P29" s="340">
        <f>'1β-ΤΑΧΔΙΚκλπ'!K28</f>
        <v>0</v>
      </c>
      <c r="Q29" s="320"/>
      <c r="R29" s="320"/>
      <c r="S29" s="320"/>
      <c r="T29" s="320"/>
      <c r="U29" s="320"/>
      <c r="V29" s="320"/>
      <c r="W29" s="320"/>
      <c r="X29" s="320"/>
      <c r="Y29" s="320"/>
      <c r="Z29" s="73"/>
      <c r="AA29" s="73"/>
    </row>
    <row r="30" spans="1:27" s="5" customFormat="1">
      <c r="A30" s="403"/>
      <c r="B30" s="349"/>
      <c r="C30" s="315" t="s">
        <v>556</v>
      </c>
      <c r="D30" s="413">
        <v>111.11</v>
      </c>
      <c r="E30" s="318">
        <f>'2-δικαιώμ'!M30</f>
        <v>11.5837</v>
      </c>
      <c r="F30" s="318">
        <f>'3-φύλλα2α'!F30</f>
        <v>17.580000000000002</v>
      </c>
      <c r="G30" s="318">
        <f>'4-πολλυπρ'!P30</f>
        <v>0</v>
      </c>
      <c r="H30" s="322">
        <f>'5-αντίγρ'!M30</f>
        <v>0</v>
      </c>
      <c r="I30" s="316">
        <f>'6-μεταγρ'!H30</f>
        <v>0</v>
      </c>
      <c r="J30" s="316">
        <f>'7-προςΔΟΥ'!E30</f>
        <v>0</v>
      </c>
      <c r="K30" s="316"/>
      <c r="L30" s="317">
        <f t="shared" si="0"/>
        <v>29.163700000000002</v>
      </c>
      <c r="M30" s="317"/>
      <c r="N30" s="319"/>
      <c r="O30" s="319">
        <f t="shared" si="1"/>
        <v>29.163700000000002</v>
      </c>
      <c r="P30" s="340">
        <f>'1β-ΤΑΧΔΙΚκλπ'!K29</f>
        <v>0</v>
      </c>
      <c r="Q30" s="320"/>
      <c r="R30" s="320"/>
      <c r="S30" s="320"/>
      <c r="T30" s="320"/>
      <c r="U30" s="320"/>
      <c r="V30" s="320"/>
      <c r="W30" s="320"/>
      <c r="X30" s="320"/>
      <c r="Y30" s="320"/>
      <c r="Z30" s="73"/>
      <c r="AA30" s="73"/>
    </row>
    <row r="31" spans="1:27" s="5" customFormat="1">
      <c r="A31" s="403"/>
      <c r="B31" s="349"/>
      <c r="C31" s="382" t="s">
        <v>553</v>
      </c>
      <c r="D31" s="413">
        <v>111.11</v>
      </c>
      <c r="E31" s="318">
        <f>'2-δικαιώμ'!M31</f>
        <v>11.5837</v>
      </c>
      <c r="F31" s="318">
        <f>'3-φύλλα2α'!F31</f>
        <v>17.580000000000002</v>
      </c>
      <c r="G31" s="318">
        <f>'4-πολλυπρ'!P31</f>
        <v>0</v>
      </c>
      <c r="H31" s="322">
        <f>'5-αντίγρ'!M31</f>
        <v>0</v>
      </c>
      <c r="I31" s="316">
        <f>'6-μεταγρ'!H31</f>
        <v>0</v>
      </c>
      <c r="J31" s="316">
        <f>'7-προςΔΟΥ'!E31</f>
        <v>0</v>
      </c>
      <c r="K31" s="316"/>
      <c r="L31" s="317">
        <f t="shared" si="0"/>
        <v>29.163700000000002</v>
      </c>
      <c r="M31" s="317"/>
      <c r="N31" s="319"/>
      <c r="O31" s="319">
        <f t="shared" ref="O31:O34" si="2">L31-N31</f>
        <v>29.163700000000002</v>
      </c>
      <c r="P31" s="340">
        <f>'1β-ΤΑΧΔΙΚκλπ'!K30</f>
        <v>0</v>
      </c>
      <c r="Q31" s="320"/>
      <c r="R31" s="320"/>
      <c r="S31" s="320"/>
      <c r="T31" s="320"/>
      <c r="U31" s="320"/>
      <c r="V31" s="320"/>
      <c r="W31" s="320"/>
      <c r="X31" s="320"/>
      <c r="Y31" s="320"/>
      <c r="Z31" s="73"/>
      <c r="AA31" s="73"/>
    </row>
    <row r="32" spans="1:27" s="5" customFormat="1" ht="12" thickBot="1">
      <c r="A32" s="406"/>
      <c r="B32" s="407"/>
      <c r="C32" s="408" t="s">
        <v>555</v>
      </c>
      <c r="D32" s="410">
        <v>1111.1099999999999</v>
      </c>
      <c r="E32" s="438">
        <f>'2-δικαιώμ'!M32</f>
        <v>19.615587999999995</v>
      </c>
      <c r="F32" s="438">
        <f>'3-φύλλα2α'!F32</f>
        <v>17.580000000000002</v>
      </c>
      <c r="G32" s="438">
        <f>'4-πολλυπρ'!P32</f>
        <v>0</v>
      </c>
      <c r="H32" s="414">
        <f>'5-αντίγρ'!M32</f>
        <v>0</v>
      </c>
      <c r="I32" s="414">
        <f>'6-μεταγρ'!H32</f>
        <v>0</v>
      </c>
      <c r="J32" s="414">
        <f>'7-προςΔΟΥ'!E32</f>
        <v>0</v>
      </c>
      <c r="K32" s="414"/>
      <c r="L32" s="438">
        <f t="shared" si="0"/>
        <v>37.195588000000001</v>
      </c>
      <c r="M32" s="438"/>
      <c r="N32" s="431"/>
      <c r="O32" s="431">
        <f t="shared" si="2"/>
        <v>37.195588000000001</v>
      </c>
      <c r="P32" s="340">
        <f>'1β-ΤΑΧΔΙΚκλπ'!K31</f>
        <v>0</v>
      </c>
      <c r="Q32" s="320"/>
      <c r="R32" s="320"/>
      <c r="S32" s="320"/>
      <c r="T32" s="320"/>
      <c r="U32" s="320"/>
      <c r="V32" s="320"/>
      <c r="W32" s="320"/>
      <c r="X32" s="320"/>
      <c r="Y32" s="320"/>
      <c r="Z32" s="73"/>
      <c r="AA32" s="73"/>
    </row>
    <row r="33" spans="1:27" s="5" customFormat="1">
      <c r="A33" s="381" t="s">
        <v>614</v>
      </c>
      <c r="B33" s="349">
        <v>37930</v>
      </c>
      <c r="C33" s="382" t="s">
        <v>542</v>
      </c>
      <c r="D33" s="322">
        <v>8237.2199999999993</v>
      </c>
      <c r="E33" s="318">
        <f>'2-δικαιώμ'!M33</f>
        <v>92.301909999999992</v>
      </c>
      <c r="F33" s="318">
        <f>'3-φύλλα2α'!F33</f>
        <v>14.65</v>
      </c>
      <c r="G33" s="318">
        <f>'4-πολλυπρ'!P33</f>
        <v>158.22000000000003</v>
      </c>
      <c r="H33" s="322">
        <f>'5-αντίγρ'!M33</f>
        <v>189.7302</v>
      </c>
      <c r="I33" s="322">
        <f>'6-μεταγρ'!H33</f>
        <v>9.69</v>
      </c>
      <c r="J33" s="322">
        <f>'7-προςΔΟΥ'!E33</f>
        <v>6.46</v>
      </c>
      <c r="K33" s="322"/>
      <c r="L33" s="318">
        <f t="shared" si="0"/>
        <v>471.05210999999997</v>
      </c>
      <c r="M33" s="318">
        <v>156.66</v>
      </c>
      <c r="N33" s="319">
        <f>M33-'8-κ-15-17'!AF33-'14-βιβλΕσ'!L33</f>
        <v>136.25</v>
      </c>
      <c r="O33" s="319">
        <f t="shared" si="2"/>
        <v>334.80210999999997</v>
      </c>
      <c r="P33" s="340">
        <f>'1β-ΤΑΧΔΙΚκλπ'!K32</f>
        <v>0</v>
      </c>
      <c r="Q33" s="320"/>
      <c r="R33" s="320"/>
      <c r="S33" s="320"/>
      <c r="T33" s="320"/>
      <c r="U33" s="320"/>
      <c r="V33" s="320"/>
      <c r="W33" s="320"/>
      <c r="X33" s="320"/>
      <c r="Y33" s="320"/>
      <c r="Z33" s="73"/>
      <c r="AA33" s="73"/>
    </row>
    <row r="34" spans="1:27" s="5" customFormat="1">
      <c r="A34" s="381" t="s">
        <v>615</v>
      </c>
      <c r="B34" s="349">
        <v>38029</v>
      </c>
      <c r="C34" s="382" t="s">
        <v>543</v>
      </c>
      <c r="D34" s="322"/>
      <c r="E34" s="318">
        <f>'2-δικαιώμ'!M34</f>
        <v>7.8320000000000007</v>
      </c>
      <c r="F34" s="318">
        <f>'3-φύλλα2α'!F34</f>
        <v>4.7</v>
      </c>
      <c r="G34" s="318">
        <f>'4-πολλυπρ'!P34</f>
        <v>0</v>
      </c>
      <c r="H34" s="322">
        <f>'5-αντίγρ'!M34</f>
        <v>8.6240999999999985</v>
      </c>
      <c r="I34" s="316">
        <f>'6-μεταγρ'!H34</f>
        <v>0</v>
      </c>
      <c r="J34" s="316">
        <f>'7-προςΔΟΥ'!E34</f>
        <v>6.46</v>
      </c>
      <c r="K34" s="316">
        <v>14.67</v>
      </c>
      <c r="L34" s="317">
        <f t="shared" si="0"/>
        <v>42.286099999999998</v>
      </c>
      <c r="M34" s="317">
        <v>26.12</v>
      </c>
      <c r="N34" s="319">
        <f>M34-P34-'8-κ-15-17'!AF34-'14-βιβλΕσ'!L34-0.5</f>
        <v>23.09</v>
      </c>
      <c r="O34" s="319">
        <f t="shared" si="2"/>
        <v>19.196099999999998</v>
      </c>
      <c r="P34" s="340">
        <f>'1β-ΤΑΧΔΙΚκλπ'!K33</f>
        <v>0.5</v>
      </c>
      <c r="Q34" s="320"/>
      <c r="R34" s="320"/>
      <c r="S34" s="320"/>
      <c r="T34" s="320"/>
      <c r="U34" s="320"/>
      <c r="V34" s="320"/>
      <c r="W34" s="320"/>
      <c r="X34" s="320"/>
      <c r="Y34" s="320"/>
      <c r="Z34" s="73"/>
      <c r="AA34" s="73"/>
    </row>
    <row r="35" spans="1:27" s="5" customFormat="1" ht="12" thickBot="1">
      <c r="A35" s="489" t="s">
        <v>616</v>
      </c>
      <c r="B35" s="407">
        <v>38029</v>
      </c>
      <c r="C35" s="408" t="s">
        <v>543</v>
      </c>
      <c r="D35" s="414"/>
      <c r="E35" s="438">
        <f>'2-δικαιώμ'!M35</f>
        <v>7.8320000000000007</v>
      </c>
      <c r="F35" s="438">
        <f>'3-φύλλα2α'!F35</f>
        <v>4.7</v>
      </c>
      <c r="G35" s="438">
        <f>'4-πολλυπρ'!P35</f>
        <v>0</v>
      </c>
      <c r="H35" s="414">
        <f>'5-αντίγρ'!M35</f>
        <v>8.6240999999999985</v>
      </c>
      <c r="I35" s="414">
        <f>'6-μεταγρ'!H35</f>
        <v>0</v>
      </c>
      <c r="J35" s="414">
        <f>'7-προςΔΟΥ'!E35</f>
        <v>6.46</v>
      </c>
      <c r="K35" s="414">
        <v>14.67</v>
      </c>
      <c r="L35" s="438">
        <f t="shared" si="0"/>
        <v>42.286099999999998</v>
      </c>
      <c r="M35" s="438">
        <v>26.12</v>
      </c>
      <c r="N35" s="431">
        <f>M35-P35-'8-κ-15-17'!AF35-'14-βιβλΕσ'!L35-0.5</f>
        <v>23.09</v>
      </c>
      <c r="O35" s="431">
        <f t="shared" ref="O35:O38" si="3">L35-N35</f>
        <v>19.196099999999998</v>
      </c>
      <c r="P35" s="340">
        <f>'1β-ΤΑΧΔΙΚκλπ'!K34</f>
        <v>0.5</v>
      </c>
      <c r="Q35" s="320"/>
      <c r="R35" s="320"/>
      <c r="S35" s="320"/>
      <c r="T35" s="320"/>
      <c r="U35" s="320"/>
      <c r="V35" s="320"/>
      <c r="W35" s="320"/>
      <c r="X35" s="320"/>
      <c r="Y35" s="320"/>
      <c r="Z35" s="73"/>
      <c r="AA35" s="73"/>
    </row>
    <row r="36" spans="1:27" s="5" customFormat="1">
      <c r="A36" s="497" t="s">
        <v>617</v>
      </c>
      <c r="B36" s="492">
        <v>38030</v>
      </c>
      <c r="C36" s="493" t="s">
        <v>544</v>
      </c>
      <c r="D36" s="494"/>
      <c r="E36" s="495">
        <f>'2-δικαιώμ'!M36</f>
        <v>26.121500000000001</v>
      </c>
      <c r="F36" s="495">
        <f>'3-φύλλα2α'!F36</f>
        <v>9.4</v>
      </c>
      <c r="G36" s="495">
        <f>'4-πολλυπρ'!P36</f>
        <v>116.25</v>
      </c>
      <c r="H36" s="494">
        <f>'5-αντίγρ'!M36</f>
        <v>57.493999999999993</v>
      </c>
      <c r="I36" s="494">
        <f>'6-μεταγρ'!H36</f>
        <v>9.69</v>
      </c>
      <c r="J36" s="494">
        <f>'7-προςΔΟΥ'!E36</f>
        <v>6.46</v>
      </c>
      <c r="K36" s="494"/>
      <c r="L36" s="495">
        <f t="shared" si="0"/>
        <v>225.41550000000001</v>
      </c>
      <c r="M36" s="318">
        <v>102.11</v>
      </c>
      <c r="N36" s="319">
        <f>M36-P36-'8-κ-15-17'!AF36-'14-βιβλΕσ'!L36</f>
        <v>91.28</v>
      </c>
      <c r="O36" s="319">
        <f t="shared" si="3"/>
        <v>134.13550000000001</v>
      </c>
      <c r="P36" s="340">
        <f>'1β-ΤΑΧΔΙΚκλπ'!K35</f>
        <v>0.5</v>
      </c>
      <c r="Q36" s="320"/>
      <c r="R36" s="320"/>
      <c r="S36" s="320"/>
      <c r="T36" s="320"/>
      <c r="U36" s="320"/>
      <c r="V36" s="320"/>
      <c r="W36" s="320"/>
      <c r="X36" s="320"/>
      <c r="Y36" s="320"/>
      <c r="Z36" s="73"/>
      <c r="AA36" s="73"/>
    </row>
    <row r="37" spans="1:27" s="5" customFormat="1">
      <c r="A37" s="403"/>
      <c r="B37" s="349"/>
      <c r="C37" s="382" t="s">
        <v>630</v>
      </c>
      <c r="D37" s="409">
        <v>3333.33</v>
      </c>
      <c r="E37" s="318">
        <f>'2-δικαιώμ'!M37</f>
        <v>42.282232</v>
      </c>
      <c r="F37" s="318">
        <f>'3-φύλλα2α'!F37</f>
        <v>11.72</v>
      </c>
      <c r="G37" s="318">
        <f>'4-πολλυπρ'!P37</f>
        <v>0</v>
      </c>
      <c r="H37" s="322">
        <f>'5-αντίγρ'!M37</f>
        <v>0</v>
      </c>
      <c r="I37" s="322">
        <f>'6-μεταγρ'!H37</f>
        <v>0</v>
      </c>
      <c r="J37" s="322">
        <f>'7-προςΔΟΥ'!E37</f>
        <v>6.46</v>
      </c>
      <c r="K37" s="322"/>
      <c r="L37" s="318">
        <f t="shared" si="0"/>
        <v>60.462232</v>
      </c>
      <c r="M37" s="317"/>
      <c r="N37" s="319"/>
      <c r="O37" s="319">
        <f t="shared" si="3"/>
        <v>60.462232</v>
      </c>
      <c r="P37" s="340">
        <f>'1β-ΤΑΧΔΙΚκλπ'!K36</f>
        <v>0</v>
      </c>
      <c r="Q37" s="320"/>
      <c r="R37" s="320"/>
      <c r="S37" s="320"/>
      <c r="T37" s="320"/>
      <c r="U37" s="320"/>
      <c r="V37" s="320"/>
      <c r="W37" s="320"/>
      <c r="X37" s="320"/>
      <c r="Y37" s="320"/>
      <c r="Z37" s="73"/>
      <c r="AA37" s="73"/>
    </row>
    <row r="38" spans="1:27" s="5" customFormat="1">
      <c r="A38" s="403"/>
      <c r="B38" s="349"/>
      <c r="C38" s="382" t="s">
        <v>587</v>
      </c>
      <c r="D38" s="409">
        <v>33333.33</v>
      </c>
      <c r="E38" s="318">
        <f>'2-δικαιώμ'!M38</f>
        <v>348.28223200000008</v>
      </c>
      <c r="F38" s="318">
        <f>'3-φύλλα2α'!F38</f>
        <v>11.72</v>
      </c>
      <c r="G38" s="318">
        <f>'4-πολλυπρ'!P38</f>
        <v>0</v>
      </c>
      <c r="H38" s="322">
        <f>'5-αντίγρ'!M38</f>
        <v>0</v>
      </c>
      <c r="I38" s="322">
        <f>'6-μεταγρ'!H38</f>
        <v>0</v>
      </c>
      <c r="J38" s="322">
        <f>'7-προςΔΟΥ'!E38</f>
        <v>6.46</v>
      </c>
      <c r="K38" s="316"/>
      <c r="L38" s="317">
        <f t="shared" si="0"/>
        <v>366.46223200000009</v>
      </c>
      <c r="M38" s="317"/>
      <c r="N38" s="319"/>
      <c r="O38" s="319">
        <f t="shared" si="3"/>
        <v>366.46223200000009</v>
      </c>
      <c r="P38" s="340">
        <f>'1β-ΤΑΧΔΙΚκλπ'!K37</f>
        <v>0</v>
      </c>
      <c r="Q38" s="320"/>
      <c r="R38" s="320"/>
      <c r="S38" s="320"/>
      <c r="T38" s="320"/>
      <c r="U38" s="320"/>
      <c r="V38" s="320"/>
      <c r="W38" s="320"/>
      <c r="X38" s="320"/>
      <c r="Y38" s="320"/>
      <c r="Z38" s="73"/>
      <c r="AA38" s="73"/>
    </row>
    <row r="39" spans="1:27" s="5" customFormat="1" ht="12" thickBot="1">
      <c r="A39" s="435"/>
      <c r="B39" s="407"/>
      <c r="C39" s="408" t="s">
        <v>588</v>
      </c>
      <c r="D39" s="410">
        <v>11111.11</v>
      </c>
      <c r="E39" s="438">
        <f>'2-δικαιώμ'!M39</f>
        <v>121.61558800000003</v>
      </c>
      <c r="F39" s="438">
        <f>'3-φύλλα2α'!F39</f>
        <v>11.72</v>
      </c>
      <c r="G39" s="438">
        <f>'4-πολλυπρ'!P39</f>
        <v>0</v>
      </c>
      <c r="H39" s="414">
        <f>'5-αντίγρ'!M39</f>
        <v>0</v>
      </c>
      <c r="I39" s="414">
        <f>'6-μεταγρ'!H39</f>
        <v>0</v>
      </c>
      <c r="J39" s="414">
        <f>'7-προςΔΟΥ'!E39</f>
        <v>6.46</v>
      </c>
      <c r="K39" s="414"/>
      <c r="L39" s="438">
        <f t="shared" si="0"/>
        <v>139.79558800000004</v>
      </c>
      <c r="M39" s="438"/>
      <c r="N39" s="431"/>
      <c r="O39" s="431">
        <f t="shared" ref="O39:O42" si="4">L39-N39</f>
        <v>139.79558800000004</v>
      </c>
      <c r="P39" s="340">
        <f>'1β-ΤΑΧΔΙΚκλπ'!K38</f>
        <v>0</v>
      </c>
      <c r="Q39" s="320"/>
      <c r="R39" s="320"/>
      <c r="S39" s="320"/>
      <c r="T39" s="320"/>
      <c r="U39" s="320"/>
      <c r="V39" s="320"/>
      <c r="W39" s="320"/>
      <c r="X39" s="320"/>
      <c r="Y39" s="320"/>
      <c r="Z39" s="73"/>
      <c r="AA39" s="73"/>
    </row>
    <row r="40" spans="1:27" s="5" customFormat="1" ht="12" thickBot="1">
      <c r="A40" s="506" t="s">
        <v>618</v>
      </c>
      <c r="B40" s="507">
        <v>38350</v>
      </c>
      <c r="C40" s="508" t="s">
        <v>545</v>
      </c>
      <c r="D40" s="509">
        <v>18629.93</v>
      </c>
      <c r="E40" s="510">
        <f>'2-δικαιώμ'!M40</f>
        <v>198.30755200000002</v>
      </c>
      <c r="F40" s="510">
        <f>'3-φύλλα2α'!F40</f>
        <v>11.72</v>
      </c>
      <c r="G40" s="510">
        <f>'4-πολλυπρ'!P40</f>
        <v>0</v>
      </c>
      <c r="H40" s="509">
        <f>'5-αντίγρ'!M40</f>
        <v>28.746999999999996</v>
      </c>
      <c r="I40" s="509">
        <f>'6-μεταγρ'!H40</f>
        <v>9.69</v>
      </c>
      <c r="J40" s="509">
        <f>'7-προςΔΟΥ'!E40</f>
        <v>6.46</v>
      </c>
      <c r="K40" s="509"/>
      <c r="L40" s="510">
        <f t="shared" si="0"/>
        <v>254.92455200000001</v>
      </c>
      <c r="M40" s="510">
        <v>422.69</v>
      </c>
      <c r="N40" s="511">
        <f>M40-P40-'8-κ-15-17'!AF40-'14-βιβλΕσ'!L40</f>
        <v>236.9</v>
      </c>
      <c r="O40" s="511">
        <f t="shared" si="4"/>
        <v>18.024552</v>
      </c>
      <c r="P40" s="340">
        <f>'1β-ΤΑΧΔΙΚκλπ'!K39</f>
        <v>3</v>
      </c>
      <c r="Q40" s="320"/>
      <c r="R40" s="320"/>
      <c r="S40" s="320"/>
      <c r="T40" s="320"/>
      <c r="U40" s="320"/>
      <c r="V40" s="320"/>
      <c r="W40" s="320"/>
      <c r="X40" s="320"/>
      <c r="Y40" s="320"/>
      <c r="Z40" s="73"/>
      <c r="AA40" s="73"/>
    </row>
    <row r="41" spans="1:27" s="5" customFormat="1">
      <c r="A41" s="403" t="s">
        <v>628</v>
      </c>
      <c r="B41" s="349">
        <v>38350</v>
      </c>
      <c r="C41" s="382" t="s">
        <v>546</v>
      </c>
      <c r="D41" s="322">
        <v>26827.1</v>
      </c>
      <c r="E41" s="318">
        <f>'2-δικαιώμ'!M41</f>
        <v>281.91868599999998</v>
      </c>
      <c r="F41" s="318">
        <f>'3-φύλλα2α'!F41</f>
        <v>11.72</v>
      </c>
      <c r="G41" s="318">
        <f>'4-πολλυπρ'!P41</f>
        <v>14.65</v>
      </c>
      <c r="H41" s="322">
        <f>'5-αντίγρ'!M41</f>
        <v>28.746999999999996</v>
      </c>
      <c r="I41" s="322">
        <f>'6-μεταγρ'!H41</f>
        <v>9.69</v>
      </c>
      <c r="J41" s="322">
        <f>'7-προςΔΟΥ'!E41</f>
        <v>6.46</v>
      </c>
      <c r="K41" s="322"/>
      <c r="L41" s="318">
        <f t="shared" si="0"/>
        <v>353.18568599999998</v>
      </c>
      <c r="M41" s="318">
        <v>593.98</v>
      </c>
      <c r="N41" s="319">
        <f>M41-P41-'8-κ-15-17'!AF41-'14-βιβλΕσ'!L41</f>
        <v>329.90000000000003</v>
      </c>
      <c r="O41" s="319">
        <f t="shared" ref="O41" si="5">L41-N41</f>
        <v>23.285685999999941</v>
      </c>
      <c r="P41" s="340">
        <f>'1β-ΤΑΧΔΙΚκλπ'!K40</f>
        <v>3</v>
      </c>
      <c r="Q41" s="320"/>
      <c r="R41" s="320"/>
      <c r="S41" s="320"/>
      <c r="T41" s="320"/>
      <c r="U41" s="320"/>
      <c r="V41" s="320"/>
      <c r="W41" s="320"/>
      <c r="X41" s="320"/>
      <c r="Y41" s="320"/>
      <c r="Z41" s="73"/>
      <c r="AA41" s="73"/>
    </row>
    <row r="42" spans="1:27" s="5" customFormat="1">
      <c r="A42" s="403"/>
      <c r="B42" s="349"/>
      <c r="C42" s="382" t="s">
        <v>598</v>
      </c>
      <c r="D42" s="322">
        <v>11206.2</v>
      </c>
      <c r="E42" s="318">
        <f>'2-δικαιώμ'!M42</f>
        <v>122.58550600000001</v>
      </c>
      <c r="F42" s="318">
        <f>'3-φύλλα2α'!F42</f>
        <v>11.72</v>
      </c>
      <c r="G42" s="318">
        <f>'4-πολλυπρ'!P42</f>
        <v>0</v>
      </c>
      <c r="H42" s="322">
        <f>'5-αντίγρ'!M42</f>
        <v>0</v>
      </c>
      <c r="I42" s="322">
        <f>'6-μεταγρ'!H42</f>
        <v>0</v>
      </c>
      <c r="J42" s="322">
        <f>'7-προςΔΟΥ'!E42</f>
        <v>6.46</v>
      </c>
      <c r="K42" s="316"/>
      <c r="L42" s="318">
        <f t="shared" si="0"/>
        <v>140.76550600000002</v>
      </c>
      <c r="M42" s="317"/>
      <c r="N42" s="319"/>
      <c r="O42" s="319">
        <f t="shared" si="4"/>
        <v>140.76550600000002</v>
      </c>
      <c r="P42" s="340">
        <f>'1β-ΤΑΧΔΙΚκλπ'!K41</f>
        <v>0</v>
      </c>
      <c r="Q42" s="320"/>
      <c r="R42" s="320"/>
      <c r="S42" s="320"/>
      <c r="T42" s="320"/>
      <c r="U42" s="320"/>
      <c r="V42" s="320"/>
      <c r="W42" s="320"/>
      <c r="X42" s="320"/>
      <c r="Y42" s="320"/>
      <c r="Z42" s="73"/>
      <c r="AA42" s="73"/>
    </row>
    <row r="43" spans="1:27">
      <c r="A43" s="683" t="s">
        <v>47</v>
      </c>
      <c r="B43" s="684"/>
      <c r="C43" s="684"/>
      <c r="D43" s="685"/>
      <c r="E43" s="367">
        <f t="shared" ref="E43:O43" si="6">SUM(E3:E42)</f>
        <v>1789.7575260000003</v>
      </c>
      <c r="F43" s="367">
        <f t="shared" si="6"/>
        <v>617.25000000000011</v>
      </c>
      <c r="G43" s="367">
        <f t="shared" si="6"/>
        <v>643.68000000000006</v>
      </c>
      <c r="H43" s="367">
        <f t="shared" si="6"/>
        <v>583.56409999999994</v>
      </c>
      <c r="I43" s="367">
        <f t="shared" si="6"/>
        <v>161.5</v>
      </c>
      <c r="J43" s="367">
        <f t="shared" si="6"/>
        <v>129.19999999999993</v>
      </c>
      <c r="K43" s="367">
        <f t="shared" si="6"/>
        <v>29.34</v>
      </c>
      <c r="L43" s="367">
        <f t="shared" si="6"/>
        <v>3954.2916260000002</v>
      </c>
      <c r="M43" s="367">
        <f t="shared" si="6"/>
        <v>1741.63</v>
      </c>
      <c r="N43" s="367">
        <f t="shared" si="6"/>
        <v>1227.4100000000001</v>
      </c>
      <c r="O43" s="367">
        <f t="shared" si="6"/>
        <v>2726.8816260000008</v>
      </c>
    </row>
    <row r="44" spans="1:27">
      <c r="C44" s="9"/>
    </row>
    <row r="45" spans="1:27">
      <c r="C45" s="9"/>
      <c r="D45" s="8"/>
      <c r="P45" s="188" t="s">
        <v>97</v>
      </c>
      <c r="Q45" s="120"/>
      <c r="R45" s="120"/>
      <c r="S45" s="120"/>
      <c r="T45" s="126"/>
      <c r="U45" s="126"/>
      <c r="V45" s="126"/>
      <c r="W45" s="126"/>
      <c r="X45" s="126"/>
      <c r="Z45" s="120"/>
      <c r="AA45" s="120"/>
    </row>
    <row r="46" spans="1:27">
      <c r="C46" s="501" t="s">
        <v>631</v>
      </c>
      <c r="D46" s="8"/>
      <c r="K46" s="202" t="s">
        <v>470</v>
      </c>
      <c r="L46" s="8"/>
      <c r="M46" s="8"/>
      <c r="P46" s="8"/>
      <c r="Q46" s="111" t="s">
        <v>368</v>
      </c>
      <c r="R46" s="111"/>
      <c r="S46" s="111"/>
      <c r="T46" s="122"/>
      <c r="U46" s="126"/>
      <c r="V46" s="126"/>
      <c r="W46" s="126"/>
      <c r="X46" s="126"/>
      <c r="Z46" s="121"/>
      <c r="AA46" s="111"/>
    </row>
    <row r="47" spans="1:27">
      <c r="C47" s="9"/>
      <c r="D47" s="8"/>
      <c r="K47" s="146" t="s">
        <v>222</v>
      </c>
      <c r="L47" s="112"/>
      <c r="M47" s="112"/>
      <c r="P47" s="8"/>
      <c r="Q47" s="111"/>
      <c r="R47" s="111" t="s">
        <v>134</v>
      </c>
      <c r="S47" s="111"/>
      <c r="T47" s="126"/>
      <c r="U47" s="126"/>
      <c r="V47" s="126"/>
      <c r="W47" s="126"/>
      <c r="X47" s="126"/>
      <c r="Z47" s="111"/>
    </row>
    <row r="48" spans="1:27">
      <c r="C48" s="9"/>
      <c r="D48" s="8"/>
      <c r="K48" s="201" t="s">
        <v>223</v>
      </c>
      <c r="P48" s="8"/>
      <c r="S48" s="111" t="s">
        <v>367</v>
      </c>
      <c r="T48" s="90"/>
      <c r="U48" s="90"/>
      <c r="V48" s="90"/>
      <c r="W48" s="90"/>
      <c r="X48" s="90"/>
    </row>
    <row r="49" spans="2:25">
      <c r="C49" s="9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T49" s="111" t="s">
        <v>369</v>
      </c>
      <c r="U49" s="126"/>
      <c r="V49" s="126"/>
      <c r="W49" s="126"/>
      <c r="X49" s="126"/>
    </row>
    <row r="50" spans="2:25">
      <c r="C50" s="9"/>
      <c r="D50" s="357"/>
      <c r="P50" s="8"/>
      <c r="T50" s="90"/>
      <c r="U50" s="126" t="s">
        <v>370</v>
      </c>
      <c r="V50" s="126"/>
      <c r="W50" s="126"/>
      <c r="X50" s="126"/>
    </row>
    <row r="51" spans="2:25">
      <c r="C51" s="9"/>
      <c r="P51" s="8"/>
      <c r="T51" s="90"/>
      <c r="U51" s="90"/>
      <c r="V51" s="126" t="s">
        <v>371</v>
      </c>
      <c r="W51" s="90"/>
      <c r="X51" s="90"/>
    </row>
    <row r="52" spans="2:25">
      <c r="C52" s="9"/>
      <c r="F52" s="356"/>
      <c r="P52" s="8"/>
      <c r="T52" s="90"/>
      <c r="U52" s="90"/>
      <c r="V52" s="90"/>
      <c r="W52" s="203" t="s">
        <v>372</v>
      </c>
      <c r="X52" s="90"/>
    </row>
    <row r="53" spans="2:25">
      <c r="C53" s="9"/>
      <c r="U53" s="126"/>
      <c r="V53" s="126"/>
      <c r="W53" s="90"/>
      <c r="X53" s="91" t="s">
        <v>373</v>
      </c>
      <c r="Y53" s="126"/>
    </row>
    <row r="54" spans="2:25">
      <c r="C54" s="9"/>
      <c r="H54" s="160" t="s">
        <v>577</v>
      </c>
      <c r="I54" s="8" t="s">
        <v>249</v>
      </c>
      <c r="J54" s="389" t="s">
        <v>569</v>
      </c>
      <c r="K54" s="384"/>
      <c r="L54" s="674" t="s">
        <v>513</v>
      </c>
      <c r="M54" s="674"/>
      <c r="N54" s="674"/>
      <c r="O54" s="674"/>
      <c r="P54" s="674"/>
      <c r="Q54" s="674"/>
      <c r="S54" s="111"/>
      <c r="T54" s="126"/>
      <c r="U54" s="126"/>
      <c r="V54" s="126"/>
      <c r="W54" s="126"/>
      <c r="X54" s="126"/>
    </row>
    <row r="55" spans="2:25">
      <c r="B55" s="357" t="s">
        <v>609</v>
      </c>
      <c r="C55" s="90" t="s">
        <v>547</v>
      </c>
      <c r="E55" s="357" t="s">
        <v>609</v>
      </c>
      <c r="F55" s="4">
        <v>82.79</v>
      </c>
      <c r="G55" s="2" t="s">
        <v>314</v>
      </c>
      <c r="H55" s="4">
        <v>0.5</v>
      </c>
      <c r="I55" s="4"/>
      <c r="J55" s="4">
        <v>0.5</v>
      </c>
      <c r="K55" s="4"/>
      <c r="L55" s="4">
        <v>0.5</v>
      </c>
      <c r="M55" s="4">
        <v>3</v>
      </c>
      <c r="N55" s="4"/>
      <c r="O55" s="4"/>
      <c r="P55" s="4"/>
      <c r="Q55" s="4">
        <v>3</v>
      </c>
      <c r="S55" s="2"/>
      <c r="U55" s="126"/>
      <c r="V55" s="126"/>
      <c r="W55" s="90"/>
      <c r="X55" s="91"/>
      <c r="Y55" s="126"/>
    </row>
    <row r="56" spans="2:25">
      <c r="B56" s="385"/>
      <c r="C56" s="361" t="s">
        <v>548</v>
      </c>
      <c r="D56" s="357"/>
      <c r="E56" s="385"/>
      <c r="G56" s="2" t="s">
        <v>362</v>
      </c>
      <c r="H56" s="4"/>
      <c r="I56" s="4"/>
      <c r="J56" s="4"/>
      <c r="K56" s="4"/>
      <c r="L56" s="4"/>
      <c r="M56" s="4">
        <v>8.61</v>
      </c>
      <c r="N56" s="4">
        <v>8.61</v>
      </c>
      <c r="O56" s="4">
        <v>0.86</v>
      </c>
      <c r="P56" s="4">
        <v>0.86</v>
      </c>
      <c r="Q56" s="4">
        <v>8.61</v>
      </c>
      <c r="U56" s="90"/>
      <c r="V56" s="126"/>
      <c r="W56" s="126"/>
      <c r="X56" s="126"/>
      <c r="Y56" s="126"/>
    </row>
    <row r="57" spans="2:25">
      <c r="B57" s="357"/>
      <c r="C57" s="361" t="s">
        <v>549</v>
      </c>
      <c r="D57" s="368"/>
      <c r="E57" s="357"/>
      <c r="G57" s="2" t="s">
        <v>77</v>
      </c>
      <c r="H57" s="4">
        <v>29.35</v>
      </c>
      <c r="I57" s="4">
        <v>0.97</v>
      </c>
      <c r="J57" s="4">
        <v>29.35</v>
      </c>
      <c r="K57" s="4"/>
      <c r="L57" s="4">
        <v>29.35</v>
      </c>
      <c r="M57" s="4"/>
      <c r="N57" s="4"/>
      <c r="O57" s="4"/>
      <c r="P57" s="4"/>
      <c r="Q57" s="4"/>
      <c r="U57" s="90"/>
      <c r="V57" s="90"/>
      <c r="W57" s="203"/>
      <c r="X57" s="90"/>
      <c r="Y57" s="90"/>
    </row>
    <row r="58" spans="2:25">
      <c r="B58" s="2"/>
      <c r="C58" s="361" t="s">
        <v>551</v>
      </c>
      <c r="D58" s="363"/>
      <c r="G58" s="2" t="s">
        <v>514</v>
      </c>
      <c r="H58" s="4"/>
      <c r="I58" s="4"/>
      <c r="J58" s="4"/>
      <c r="K58" s="4"/>
      <c r="L58" s="4"/>
      <c r="M58" s="4">
        <v>2.93</v>
      </c>
      <c r="N58" s="4"/>
      <c r="O58" s="4"/>
      <c r="P58" s="4"/>
      <c r="Q58" s="4">
        <v>2.93</v>
      </c>
      <c r="U58" s="90"/>
      <c r="V58" s="90"/>
      <c r="W58" s="90"/>
      <c r="X58" s="91"/>
      <c r="Y58" s="90"/>
    </row>
    <row r="59" spans="2:25">
      <c r="B59" s="2"/>
      <c r="C59" s="361" t="s">
        <v>550</v>
      </c>
      <c r="D59" s="281"/>
      <c r="G59" s="356" t="s">
        <v>515</v>
      </c>
      <c r="H59" s="4"/>
      <c r="I59" s="4"/>
      <c r="J59" s="4"/>
      <c r="K59" s="4"/>
      <c r="L59" s="4"/>
      <c r="M59" s="4">
        <v>10.56</v>
      </c>
      <c r="N59" s="4"/>
      <c r="O59" s="4"/>
      <c r="P59" s="4"/>
      <c r="Q59" s="4">
        <v>10.56</v>
      </c>
    </row>
    <row r="60" spans="2:25">
      <c r="B60" s="2"/>
      <c r="C60" s="361" t="s">
        <v>619</v>
      </c>
      <c r="D60" s="281"/>
      <c r="G60" s="362" t="s">
        <v>516</v>
      </c>
      <c r="H60" s="4"/>
      <c r="I60" s="4"/>
      <c r="J60" s="4"/>
      <c r="K60" s="4"/>
      <c r="L60" s="4"/>
      <c r="M60" s="4">
        <v>9.4499999999999993</v>
      </c>
      <c r="N60" s="4">
        <v>9.4499999999999993</v>
      </c>
      <c r="O60" s="4"/>
      <c r="P60" s="4"/>
      <c r="Q60" s="4">
        <v>9.4499999999999993</v>
      </c>
    </row>
    <row r="61" spans="2:25">
      <c r="B61" s="2"/>
      <c r="C61" s="361" t="s">
        <v>552</v>
      </c>
      <c r="D61" s="281"/>
      <c r="G61" s="2" t="s">
        <v>517</v>
      </c>
      <c r="H61" s="483">
        <v>11.75</v>
      </c>
      <c r="I61" s="4"/>
      <c r="J61" s="4">
        <v>14.1</v>
      </c>
      <c r="K61" s="4"/>
      <c r="L61" s="4">
        <v>14.1</v>
      </c>
      <c r="M61" s="4">
        <v>17.579999999999998</v>
      </c>
      <c r="N61" s="4"/>
      <c r="O61" s="4"/>
      <c r="P61" s="4"/>
      <c r="Q61" s="4">
        <v>17.579999999999998</v>
      </c>
    </row>
    <row r="62" spans="2:25">
      <c r="B62" s="2"/>
      <c r="C62" s="361" t="s">
        <v>620</v>
      </c>
      <c r="D62" s="281"/>
      <c r="G62" s="2" t="s">
        <v>92</v>
      </c>
      <c r="H62" s="483">
        <v>38.76</v>
      </c>
      <c r="I62" s="4">
        <v>4.4400000000000004</v>
      </c>
      <c r="J62" s="4">
        <v>45.22</v>
      </c>
      <c r="K62" s="4"/>
      <c r="L62" s="4">
        <v>90.44</v>
      </c>
      <c r="M62" s="4"/>
      <c r="N62" s="4"/>
      <c r="O62" s="4"/>
      <c r="P62" s="4"/>
      <c r="Q62" s="4"/>
    </row>
    <row r="63" spans="2:25">
      <c r="B63" s="2"/>
      <c r="C63" s="361" t="s">
        <v>621</v>
      </c>
      <c r="D63" s="281"/>
      <c r="G63" s="191" t="s">
        <v>505</v>
      </c>
      <c r="H63" s="191">
        <v>2.4300000000000002</v>
      </c>
      <c r="I63" s="4"/>
      <c r="J63" s="4"/>
      <c r="K63" s="4"/>
      <c r="L63" s="4"/>
      <c r="M63" s="4"/>
      <c r="N63" s="4"/>
      <c r="O63" s="4"/>
      <c r="P63" s="4"/>
      <c r="Q63" s="4"/>
    </row>
    <row r="64" spans="2:25">
      <c r="B64" s="2"/>
      <c r="C64" s="361" t="s">
        <v>622</v>
      </c>
      <c r="D64" s="281"/>
      <c r="H64" s="160">
        <f>SUM(H55:H63)</f>
        <v>82.79</v>
      </c>
      <c r="I64" s="160">
        <f>SUM(I55:I63)</f>
        <v>5.41</v>
      </c>
      <c r="J64" s="160">
        <f>SUM(J55:J63)</f>
        <v>89.17</v>
      </c>
      <c r="K64" s="160"/>
      <c r="L64" s="160">
        <f>SUM(L55:L63)</f>
        <v>134.38999999999999</v>
      </c>
      <c r="M64" s="160">
        <f t="shared" ref="M64:Q64" si="7">SUM(M55:M63)</f>
        <v>52.129999999999995</v>
      </c>
      <c r="N64" s="160">
        <f t="shared" si="7"/>
        <v>18.059999999999999</v>
      </c>
      <c r="O64" s="160">
        <f t="shared" si="7"/>
        <v>0.86</v>
      </c>
      <c r="P64" s="160">
        <f t="shared" si="7"/>
        <v>0.86</v>
      </c>
      <c r="Q64" s="160">
        <f t="shared" si="7"/>
        <v>52.129999999999995</v>
      </c>
      <c r="R64" s="190">
        <f>SUM(L64:Q64)</f>
        <v>258.43</v>
      </c>
    </row>
    <row r="65" spans="2:18">
      <c r="B65" s="2"/>
      <c r="C65" s="361" t="s">
        <v>623</v>
      </c>
      <c r="D65" s="281"/>
      <c r="H65" s="2">
        <f>F55-H64</f>
        <v>0</v>
      </c>
      <c r="N65" s="4"/>
      <c r="P65" s="2"/>
    </row>
    <row r="66" spans="2:18">
      <c r="B66" s="4"/>
      <c r="C66" s="361" t="s">
        <v>624</v>
      </c>
      <c r="D66" s="281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5"/>
    </row>
    <row r="67" spans="2:18">
      <c r="B67" s="4"/>
      <c r="C67" s="9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5"/>
    </row>
    <row r="68" spans="2:18">
      <c r="B68" s="2"/>
      <c r="C68" s="9"/>
      <c r="H68" s="160" t="s">
        <v>577</v>
      </c>
      <c r="I68" s="8" t="s">
        <v>249</v>
      </c>
      <c r="J68" s="389" t="s">
        <v>569</v>
      </c>
      <c r="K68" s="384"/>
      <c r="L68" s="674" t="s">
        <v>513</v>
      </c>
      <c r="M68" s="674"/>
      <c r="N68" s="674"/>
      <c r="O68" s="674"/>
      <c r="P68" s="674"/>
      <c r="Q68" s="674"/>
    </row>
    <row r="69" spans="2:18">
      <c r="B69" s="357" t="s">
        <v>610</v>
      </c>
      <c r="C69" s="90" t="s">
        <v>547</v>
      </c>
      <c r="E69" s="357" t="s">
        <v>610</v>
      </c>
      <c r="F69" s="4">
        <v>82.79</v>
      </c>
      <c r="G69" s="2" t="s">
        <v>314</v>
      </c>
      <c r="H69" s="4">
        <v>0.5</v>
      </c>
      <c r="I69" s="4"/>
      <c r="J69" s="4">
        <v>0.5</v>
      </c>
      <c r="K69" s="4"/>
      <c r="L69" s="4">
        <v>0.5</v>
      </c>
      <c r="M69" s="4">
        <v>3</v>
      </c>
      <c r="N69" s="4"/>
      <c r="O69" s="4"/>
      <c r="P69" s="4"/>
      <c r="Q69" s="4">
        <v>3</v>
      </c>
    </row>
    <row r="70" spans="2:18">
      <c r="B70" s="385"/>
      <c r="C70" s="361" t="s">
        <v>548</v>
      </c>
      <c r="E70" s="385"/>
      <c r="G70" s="2" t="s">
        <v>362</v>
      </c>
      <c r="H70" s="4"/>
      <c r="I70" s="4"/>
      <c r="J70" s="4"/>
      <c r="K70" s="4"/>
      <c r="L70" s="4"/>
      <c r="M70" s="4">
        <v>8.61</v>
      </c>
      <c r="N70" s="4">
        <v>8.61</v>
      </c>
      <c r="O70" s="4">
        <v>0.86</v>
      </c>
      <c r="P70" s="4">
        <v>0.86</v>
      </c>
      <c r="Q70" s="4">
        <v>8.61</v>
      </c>
    </row>
    <row r="71" spans="2:18">
      <c r="B71" s="357"/>
      <c r="C71" s="361" t="s">
        <v>549</v>
      </c>
      <c r="E71" s="357"/>
      <c r="G71" s="2" t="s">
        <v>77</v>
      </c>
      <c r="H71" s="4">
        <v>29.35</v>
      </c>
      <c r="I71" s="4">
        <v>0.97</v>
      </c>
      <c r="J71" s="4">
        <v>29.35</v>
      </c>
      <c r="K71" s="4"/>
      <c r="L71" s="4">
        <v>29.35</v>
      </c>
      <c r="M71" s="4"/>
      <c r="N71" s="4"/>
      <c r="O71" s="4"/>
      <c r="P71" s="4"/>
      <c r="Q71" s="4"/>
    </row>
    <row r="72" spans="2:18">
      <c r="B72" s="2"/>
      <c r="C72" s="361" t="s">
        <v>551</v>
      </c>
      <c r="G72" s="2" t="s">
        <v>514</v>
      </c>
      <c r="H72" s="4"/>
      <c r="I72" s="4"/>
      <c r="J72" s="4"/>
      <c r="K72" s="4"/>
      <c r="L72" s="4"/>
      <c r="M72" s="4">
        <v>2.93</v>
      </c>
      <c r="N72" s="4"/>
      <c r="O72" s="4"/>
      <c r="P72" s="4"/>
      <c r="Q72" s="4">
        <v>2.93</v>
      </c>
    </row>
    <row r="73" spans="2:18">
      <c r="B73" s="2"/>
      <c r="C73" s="361" t="s">
        <v>550</v>
      </c>
      <c r="G73" s="356" t="s">
        <v>515</v>
      </c>
      <c r="H73" s="4"/>
      <c r="I73" s="4"/>
      <c r="J73" s="4"/>
      <c r="K73" s="4"/>
      <c r="L73" s="4"/>
      <c r="M73" s="4">
        <v>10.56</v>
      </c>
      <c r="N73" s="4"/>
      <c r="O73" s="4"/>
      <c r="P73" s="4"/>
      <c r="Q73" s="4">
        <v>10.56</v>
      </c>
    </row>
    <row r="74" spans="2:18">
      <c r="B74" s="2"/>
      <c r="C74" s="361" t="s">
        <v>619</v>
      </c>
      <c r="G74" s="362" t="s">
        <v>516</v>
      </c>
      <c r="H74" s="4"/>
      <c r="I74" s="4"/>
      <c r="J74" s="4"/>
      <c r="K74" s="4"/>
      <c r="L74" s="4"/>
      <c r="M74" s="4">
        <v>9.4499999999999993</v>
      </c>
      <c r="N74" s="4">
        <v>9.4499999999999993</v>
      </c>
      <c r="O74" s="4"/>
      <c r="P74" s="4"/>
      <c r="Q74" s="4">
        <v>9.4499999999999993</v>
      </c>
    </row>
    <row r="75" spans="2:18">
      <c r="B75" s="2"/>
      <c r="C75" s="361" t="s">
        <v>552</v>
      </c>
      <c r="G75" s="2" t="s">
        <v>517</v>
      </c>
      <c r="H75" s="483">
        <v>11.75</v>
      </c>
      <c r="I75" s="4"/>
      <c r="J75" s="4">
        <v>14.1</v>
      </c>
      <c r="K75" s="4"/>
      <c r="L75" s="4">
        <v>14.1</v>
      </c>
      <c r="M75" s="4">
        <v>17.579999999999998</v>
      </c>
      <c r="N75" s="4"/>
      <c r="O75" s="4"/>
      <c r="P75" s="4"/>
      <c r="Q75" s="4">
        <v>17.579999999999998</v>
      </c>
    </row>
    <row r="76" spans="2:18">
      <c r="B76" s="2"/>
      <c r="C76" s="361" t="s">
        <v>620</v>
      </c>
      <c r="G76" s="2" t="s">
        <v>92</v>
      </c>
      <c r="H76" s="483">
        <v>38.76</v>
      </c>
      <c r="I76" s="4">
        <v>4.97</v>
      </c>
      <c r="J76" s="4">
        <v>45.22</v>
      </c>
      <c r="K76" s="4"/>
      <c r="L76" s="4">
        <v>67.83</v>
      </c>
      <c r="M76" s="4"/>
      <c r="N76" s="4"/>
      <c r="O76" s="4"/>
      <c r="P76" s="4"/>
      <c r="Q76" s="4"/>
    </row>
    <row r="77" spans="2:18">
      <c r="B77" s="2"/>
      <c r="C77" s="361" t="s">
        <v>621</v>
      </c>
      <c r="G77" s="191" t="s">
        <v>505</v>
      </c>
      <c r="H77" s="191">
        <v>2.4300000000000002</v>
      </c>
      <c r="I77" s="4"/>
      <c r="J77" s="4"/>
      <c r="K77" s="4"/>
      <c r="L77" s="4"/>
      <c r="M77" s="4"/>
      <c r="N77" s="4"/>
      <c r="O77" s="4"/>
      <c r="P77" s="4"/>
      <c r="Q77" s="4"/>
    </row>
    <row r="78" spans="2:18">
      <c r="B78" s="2"/>
      <c r="C78" s="361" t="s">
        <v>622</v>
      </c>
      <c r="H78" s="160">
        <f>SUM(H69:H77)</f>
        <v>82.79</v>
      </c>
      <c r="I78" s="160">
        <f>SUM(I69:I77)</f>
        <v>5.9399999999999995</v>
      </c>
      <c r="J78" s="160">
        <f>SUM(J69:J77)</f>
        <v>89.17</v>
      </c>
      <c r="K78" s="160"/>
      <c r="L78" s="160">
        <f>SUM(L69:L77)</f>
        <v>111.78</v>
      </c>
      <c r="M78" s="160">
        <f t="shared" ref="M78" si="8">SUM(M69:M77)</f>
        <v>52.129999999999995</v>
      </c>
      <c r="N78" s="160">
        <f t="shared" ref="N78" si="9">SUM(N69:N77)</f>
        <v>18.059999999999999</v>
      </c>
      <c r="O78" s="160">
        <f t="shared" ref="O78" si="10">SUM(O69:O77)</f>
        <v>0.86</v>
      </c>
      <c r="P78" s="160">
        <f t="shared" ref="P78" si="11">SUM(P69:P77)</f>
        <v>0.86</v>
      </c>
      <c r="Q78" s="160">
        <f t="shared" ref="Q78" si="12">SUM(Q69:Q77)</f>
        <v>52.129999999999995</v>
      </c>
      <c r="R78" s="190">
        <f>SUM(L78:Q78)</f>
        <v>235.82000000000002</v>
      </c>
    </row>
    <row r="79" spans="2:18">
      <c r="B79" s="2"/>
      <c r="C79" s="361" t="s">
        <v>623</v>
      </c>
      <c r="H79" s="2">
        <f>F69-H78</f>
        <v>0</v>
      </c>
      <c r="N79" s="4"/>
      <c r="P79" s="2"/>
    </row>
    <row r="80" spans="2:18">
      <c r="B80" s="2"/>
      <c r="C80" s="361" t="s">
        <v>624</v>
      </c>
    </row>
    <row r="81" spans="2:18">
      <c r="B81" s="2"/>
    </row>
    <row r="82" spans="2:18">
      <c r="B82" s="2"/>
      <c r="H82" s="160" t="s">
        <v>577</v>
      </c>
      <c r="I82" s="8" t="s">
        <v>249</v>
      </c>
      <c r="J82" s="389" t="s">
        <v>569</v>
      </c>
      <c r="L82" s="674" t="s">
        <v>513</v>
      </c>
      <c r="M82" s="674"/>
      <c r="N82" s="674"/>
      <c r="O82" s="674"/>
      <c r="P82" s="674"/>
      <c r="Q82" s="674"/>
    </row>
    <row r="83" spans="2:18">
      <c r="B83" s="357" t="s">
        <v>611</v>
      </c>
      <c r="C83" s="90" t="s">
        <v>570</v>
      </c>
      <c r="E83" s="357" t="s">
        <v>611</v>
      </c>
      <c r="F83" s="4">
        <v>82.79</v>
      </c>
      <c r="G83" s="2" t="s">
        <v>314</v>
      </c>
      <c r="H83" s="4">
        <v>0.5</v>
      </c>
      <c r="I83" s="4"/>
      <c r="J83" s="4">
        <v>0.5</v>
      </c>
      <c r="L83" s="4">
        <v>0.5</v>
      </c>
      <c r="M83" s="4">
        <v>3</v>
      </c>
      <c r="N83" s="4"/>
      <c r="O83" s="4"/>
      <c r="P83" s="4"/>
      <c r="Q83" s="4">
        <v>3</v>
      </c>
    </row>
    <row r="84" spans="2:18">
      <c r="B84" s="385"/>
      <c r="C84" s="361" t="s">
        <v>548</v>
      </c>
      <c r="E84" s="385"/>
      <c r="G84" s="2" t="s">
        <v>362</v>
      </c>
      <c r="H84" s="4"/>
      <c r="I84" s="4"/>
      <c r="J84" s="4"/>
      <c r="L84" s="4"/>
      <c r="M84" s="4">
        <v>8.61</v>
      </c>
      <c r="N84" s="4">
        <v>8.61</v>
      </c>
      <c r="O84" s="4">
        <v>0.86</v>
      </c>
      <c r="P84" s="4">
        <v>0.86</v>
      </c>
      <c r="Q84" s="4">
        <v>8.61</v>
      </c>
    </row>
    <row r="85" spans="2:18">
      <c r="B85" s="357"/>
      <c r="C85" s="361" t="s">
        <v>549</v>
      </c>
      <c r="E85" s="357"/>
      <c r="G85" s="2" t="s">
        <v>77</v>
      </c>
      <c r="H85" s="4">
        <v>29.35</v>
      </c>
      <c r="I85" s="4">
        <v>0.97</v>
      </c>
      <c r="J85" s="4">
        <v>29.35</v>
      </c>
      <c r="L85" s="4">
        <v>29.35</v>
      </c>
      <c r="M85" s="4"/>
      <c r="N85" s="4"/>
      <c r="O85" s="4"/>
      <c r="P85" s="4"/>
      <c r="Q85" s="4"/>
    </row>
    <row r="86" spans="2:18">
      <c r="B86" s="2"/>
      <c r="C86" s="361" t="s">
        <v>551</v>
      </c>
      <c r="G86" s="2" t="s">
        <v>514</v>
      </c>
      <c r="H86" s="4"/>
      <c r="I86" s="4"/>
      <c r="J86" s="4"/>
      <c r="L86" s="4"/>
      <c r="M86" s="4">
        <v>2.93</v>
      </c>
      <c r="N86" s="4"/>
      <c r="O86" s="4"/>
      <c r="P86" s="4"/>
      <c r="Q86" s="4">
        <v>2.93</v>
      </c>
    </row>
    <row r="87" spans="2:18">
      <c r="B87" s="2"/>
      <c r="C87" s="361" t="s">
        <v>550</v>
      </c>
      <c r="G87" s="356" t="s">
        <v>515</v>
      </c>
      <c r="H87" s="4"/>
      <c r="I87" s="4"/>
      <c r="J87" s="4"/>
      <c r="L87" s="4"/>
      <c r="M87" s="4">
        <v>10.56</v>
      </c>
      <c r="N87" s="4"/>
      <c r="O87" s="4"/>
      <c r="P87" s="4"/>
      <c r="Q87" s="4">
        <v>10.56</v>
      </c>
    </row>
    <row r="88" spans="2:18">
      <c r="B88" s="2"/>
      <c r="C88" s="361" t="s">
        <v>619</v>
      </c>
      <c r="G88" s="362" t="s">
        <v>516</v>
      </c>
      <c r="H88" s="4"/>
      <c r="I88" s="4"/>
      <c r="J88" s="4"/>
      <c r="L88" s="4"/>
      <c r="M88" s="4">
        <v>9.4499999999999993</v>
      </c>
      <c r="N88" s="4">
        <v>9.4499999999999993</v>
      </c>
      <c r="O88" s="4"/>
      <c r="P88" s="4"/>
      <c r="Q88" s="4">
        <v>9.4499999999999993</v>
      </c>
    </row>
    <row r="89" spans="2:18">
      <c r="B89" s="2"/>
      <c r="C89" s="361" t="s">
        <v>552</v>
      </c>
      <c r="G89" s="2" t="s">
        <v>517</v>
      </c>
      <c r="H89" s="483">
        <v>11.75</v>
      </c>
      <c r="I89" s="4"/>
      <c r="J89" s="4">
        <v>14.1</v>
      </c>
      <c r="L89" s="4">
        <v>14.1</v>
      </c>
      <c r="M89" s="4">
        <v>17.579999999999998</v>
      </c>
      <c r="N89" s="4"/>
      <c r="O89" s="4"/>
      <c r="P89" s="4"/>
      <c r="Q89" s="4">
        <v>17.579999999999998</v>
      </c>
    </row>
    <row r="90" spans="2:18">
      <c r="B90" s="2"/>
      <c r="C90" s="361" t="s">
        <v>620</v>
      </c>
      <c r="G90" s="2" t="s">
        <v>92</v>
      </c>
      <c r="H90" s="483">
        <v>38.76</v>
      </c>
      <c r="I90" s="4">
        <v>4.97</v>
      </c>
      <c r="J90" s="4">
        <v>45.22</v>
      </c>
      <c r="L90" s="4">
        <v>45.22</v>
      </c>
      <c r="M90" s="4"/>
      <c r="N90" s="4"/>
      <c r="O90" s="4"/>
      <c r="P90" s="4"/>
      <c r="Q90" s="4"/>
    </row>
    <row r="91" spans="2:18">
      <c r="B91" s="2"/>
      <c r="C91" s="361" t="s">
        <v>621</v>
      </c>
      <c r="G91" s="191" t="s">
        <v>505</v>
      </c>
      <c r="H91" s="191">
        <v>2.4300000000000002</v>
      </c>
      <c r="I91" s="4"/>
      <c r="J91" s="4"/>
      <c r="L91" s="4"/>
      <c r="M91" s="4"/>
      <c r="N91" s="4"/>
      <c r="O91" s="4"/>
      <c r="P91" s="4"/>
      <c r="Q91" s="4"/>
    </row>
    <row r="92" spans="2:18">
      <c r="B92" s="2"/>
      <c r="C92" s="361" t="s">
        <v>622</v>
      </c>
      <c r="H92" s="160">
        <f>SUM(H83:H91)</f>
        <v>82.79</v>
      </c>
      <c r="I92" s="160">
        <f>SUM(I83:I91)</f>
        <v>5.9399999999999995</v>
      </c>
      <c r="J92" s="160">
        <f>SUM(J83:J91)</f>
        <v>89.17</v>
      </c>
      <c r="L92" s="160">
        <f>SUM(L83:L91)</f>
        <v>89.17</v>
      </c>
      <c r="M92" s="160">
        <f t="shared" ref="M92:Q92" si="13">SUM(M83:M91)</f>
        <v>52.129999999999995</v>
      </c>
      <c r="N92" s="160">
        <f t="shared" si="13"/>
        <v>18.059999999999999</v>
      </c>
      <c r="O92" s="160">
        <f t="shared" si="13"/>
        <v>0.86</v>
      </c>
      <c r="P92" s="160">
        <f t="shared" si="13"/>
        <v>0.86</v>
      </c>
      <c r="Q92" s="160">
        <f t="shared" si="13"/>
        <v>52.129999999999995</v>
      </c>
      <c r="R92" s="190">
        <f>SUM(L92:Q92)</f>
        <v>213.21000000000004</v>
      </c>
    </row>
    <row r="93" spans="2:18">
      <c r="B93" s="2"/>
      <c r="C93" s="361" t="s">
        <v>623</v>
      </c>
      <c r="H93" s="2">
        <f>F83-H92</f>
        <v>0</v>
      </c>
    </row>
    <row r="94" spans="2:18">
      <c r="B94" s="2"/>
      <c r="C94" s="361" t="s">
        <v>624</v>
      </c>
    </row>
    <row r="95" spans="2:18">
      <c r="B95" s="2"/>
    </row>
    <row r="96" spans="2:18">
      <c r="B96" s="2"/>
      <c r="H96" s="160" t="s">
        <v>577</v>
      </c>
      <c r="I96" s="8" t="s">
        <v>249</v>
      </c>
      <c r="J96" s="389" t="s">
        <v>569</v>
      </c>
      <c r="L96" s="674" t="s">
        <v>513</v>
      </c>
      <c r="M96" s="674"/>
      <c r="N96" s="674"/>
      <c r="O96" s="674"/>
      <c r="P96" s="674"/>
      <c r="Q96" s="674"/>
    </row>
    <row r="97" spans="2:18">
      <c r="B97" s="357" t="s">
        <v>612</v>
      </c>
      <c r="C97" s="90" t="s">
        <v>570</v>
      </c>
      <c r="E97" s="357" t="s">
        <v>612</v>
      </c>
      <c r="F97" s="4">
        <v>82.79</v>
      </c>
      <c r="G97" s="2" t="s">
        <v>314</v>
      </c>
      <c r="H97" s="4">
        <v>0.5</v>
      </c>
      <c r="I97" s="4"/>
      <c r="J97" s="4">
        <v>0.5</v>
      </c>
      <c r="L97" s="4">
        <v>0.5</v>
      </c>
      <c r="M97" s="4">
        <v>3</v>
      </c>
      <c r="N97" s="4"/>
      <c r="O97" s="4"/>
      <c r="P97" s="4"/>
      <c r="Q97" s="4">
        <v>3</v>
      </c>
    </row>
    <row r="98" spans="2:18">
      <c r="B98" s="385"/>
      <c r="C98" s="361" t="s">
        <v>548</v>
      </c>
      <c r="E98" s="385"/>
      <c r="G98" s="2" t="s">
        <v>362</v>
      </c>
      <c r="H98" s="4"/>
      <c r="I98" s="4"/>
      <c r="J98" s="4"/>
      <c r="L98" s="4"/>
      <c r="M98" s="4">
        <v>8.61</v>
      </c>
      <c r="N98" s="4">
        <v>8.61</v>
      </c>
      <c r="O98" s="4">
        <v>0.86</v>
      </c>
      <c r="P98" s="4">
        <v>0.86</v>
      </c>
      <c r="Q98" s="4">
        <v>8.61</v>
      </c>
    </row>
    <row r="99" spans="2:18">
      <c r="B99" s="357"/>
      <c r="C99" s="361" t="s">
        <v>549</v>
      </c>
      <c r="E99" s="357"/>
      <c r="G99" s="2" t="s">
        <v>77</v>
      </c>
      <c r="H99" s="4">
        <v>29.35</v>
      </c>
      <c r="I99" s="4">
        <v>0.97</v>
      </c>
      <c r="J99" s="4">
        <v>29.35</v>
      </c>
      <c r="L99" s="4">
        <v>29.35</v>
      </c>
      <c r="M99" s="4"/>
      <c r="N99" s="4"/>
      <c r="O99" s="4"/>
      <c r="P99" s="4"/>
      <c r="Q99" s="4"/>
    </row>
    <row r="100" spans="2:18">
      <c r="B100" s="2"/>
      <c r="C100" s="361" t="s">
        <v>551</v>
      </c>
      <c r="G100" s="2" t="s">
        <v>514</v>
      </c>
      <c r="H100" s="4"/>
      <c r="I100" s="4"/>
      <c r="J100" s="4"/>
      <c r="L100" s="4"/>
      <c r="M100" s="4">
        <v>2.93</v>
      </c>
      <c r="N100" s="4"/>
      <c r="O100" s="4"/>
      <c r="P100" s="4"/>
      <c r="Q100" s="4">
        <v>2.93</v>
      </c>
    </row>
    <row r="101" spans="2:18">
      <c r="B101" s="2"/>
      <c r="C101" s="361" t="s">
        <v>550</v>
      </c>
      <c r="G101" s="356" t="s">
        <v>515</v>
      </c>
      <c r="H101" s="4"/>
      <c r="I101" s="4"/>
      <c r="J101" s="4"/>
      <c r="L101" s="4"/>
      <c r="M101" s="4">
        <v>10.56</v>
      </c>
      <c r="N101" s="4"/>
      <c r="O101" s="4"/>
      <c r="P101" s="4"/>
      <c r="Q101" s="4">
        <v>10.56</v>
      </c>
    </row>
    <row r="102" spans="2:18">
      <c r="B102" s="2"/>
      <c r="C102" s="361" t="s">
        <v>619</v>
      </c>
      <c r="G102" s="362" t="s">
        <v>516</v>
      </c>
      <c r="H102" s="4"/>
      <c r="I102" s="4"/>
      <c r="J102" s="4"/>
      <c r="L102" s="4"/>
      <c r="M102" s="4">
        <v>9.4499999999999993</v>
      </c>
      <c r="N102" s="4">
        <v>9.4499999999999993</v>
      </c>
      <c r="O102" s="4"/>
      <c r="P102" s="4"/>
      <c r="Q102" s="4">
        <v>9.4499999999999993</v>
      </c>
    </row>
    <row r="103" spans="2:18">
      <c r="B103" s="2"/>
      <c r="C103" s="361" t="s">
        <v>552</v>
      </c>
      <c r="G103" s="2" t="s">
        <v>517</v>
      </c>
      <c r="H103" s="483">
        <v>11.75</v>
      </c>
      <c r="I103" s="4"/>
      <c r="J103" s="4">
        <v>14.1</v>
      </c>
      <c r="L103" s="4">
        <v>14.1</v>
      </c>
      <c r="M103" s="4">
        <v>17.579999999999998</v>
      </c>
      <c r="N103" s="4"/>
      <c r="O103" s="4"/>
      <c r="P103" s="4"/>
      <c r="Q103" s="4">
        <v>17.579999999999998</v>
      </c>
    </row>
    <row r="104" spans="2:18">
      <c r="B104" s="2"/>
      <c r="C104" s="361" t="s">
        <v>620</v>
      </c>
      <c r="G104" s="2" t="s">
        <v>92</v>
      </c>
      <c r="H104" s="483">
        <v>38.76</v>
      </c>
      <c r="I104" s="4">
        <v>4.97</v>
      </c>
      <c r="J104" s="4">
        <v>45.22</v>
      </c>
      <c r="L104" s="4">
        <v>45.22</v>
      </c>
      <c r="M104" s="4"/>
      <c r="N104" s="4"/>
      <c r="O104" s="4"/>
      <c r="P104" s="4"/>
      <c r="Q104" s="4"/>
    </row>
    <row r="105" spans="2:18">
      <c r="B105" s="2"/>
      <c r="C105" s="361" t="s">
        <v>621</v>
      </c>
      <c r="G105" s="191" t="s">
        <v>505</v>
      </c>
      <c r="H105" s="191">
        <v>2.4300000000000002</v>
      </c>
      <c r="I105" s="4"/>
      <c r="J105" s="4"/>
      <c r="L105" s="4"/>
      <c r="M105" s="4"/>
      <c r="N105" s="4"/>
      <c r="O105" s="4"/>
      <c r="P105" s="4"/>
      <c r="Q105" s="4"/>
    </row>
    <row r="106" spans="2:18">
      <c r="B106" s="2"/>
      <c r="C106" s="361" t="s">
        <v>622</v>
      </c>
      <c r="H106" s="160">
        <f>SUM(H97:H105)</f>
        <v>82.79</v>
      </c>
      <c r="I106" s="160">
        <f>SUM(I97:I105)</f>
        <v>5.9399999999999995</v>
      </c>
      <c r="J106" s="160">
        <f>SUM(J97:J105)</f>
        <v>89.17</v>
      </c>
      <c r="L106" s="160">
        <f>SUM(L97:L105)</f>
        <v>89.17</v>
      </c>
      <c r="M106" s="160">
        <f t="shared" ref="M106:Q106" si="14">SUM(M97:M105)</f>
        <v>52.129999999999995</v>
      </c>
      <c r="N106" s="160">
        <f t="shared" si="14"/>
        <v>18.059999999999999</v>
      </c>
      <c r="O106" s="160">
        <f t="shared" si="14"/>
        <v>0.86</v>
      </c>
      <c r="P106" s="160">
        <f t="shared" si="14"/>
        <v>0.86</v>
      </c>
      <c r="Q106" s="160">
        <f t="shared" si="14"/>
        <v>52.129999999999995</v>
      </c>
      <c r="R106" s="190">
        <f>SUM(L106:Q106)</f>
        <v>213.21000000000004</v>
      </c>
    </row>
    <row r="107" spans="2:18">
      <c r="B107" s="2"/>
      <c r="C107" s="361" t="s">
        <v>623</v>
      </c>
      <c r="H107" s="2">
        <f>F97-H106</f>
        <v>0</v>
      </c>
    </row>
    <row r="108" spans="2:18">
      <c r="B108" s="2"/>
      <c r="C108" s="361" t="s">
        <v>624</v>
      </c>
    </row>
    <row r="109" spans="2:18">
      <c r="B109" s="2"/>
    </row>
    <row r="110" spans="2:18">
      <c r="B110" s="2"/>
      <c r="H110" s="160" t="s">
        <v>577</v>
      </c>
      <c r="I110" s="8" t="s">
        <v>249</v>
      </c>
      <c r="J110" s="389" t="s">
        <v>569</v>
      </c>
      <c r="L110" s="674" t="s">
        <v>513</v>
      </c>
      <c r="M110" s="674"/>
      <c r="N110" s="674"/>
      <c r="O110" s="674"/>
      <c r="P110" s="674"/>
      <c r="Q110" s="674"/>
    </row>
    <row r="111" spans="2:18">
      <c r="B111" s="357" t="s">
        <v>613</v>
      </c>
      <c r="C111" s="90" t="s">
        <v>570</v>
      </c>
      <c r="E111" s="357" t="s">
        <v>613</v>
      </c>
      <c r="F111" s="4">
        <v>82.79</v>
      </c>
      <c r="G111" s="2" t="s">
        <v>314</v>
      </c>
      <c r="H111" s="4">
        <v>0.5</v>
      </c>
      <c r="I111" s="4"/>
      <c r="J111" s="4">
        <v>0.5</v>
      </c>
      <c r="L111" s="4">
        <v>0.5</v>
      </c>
      <c r="M111" s="4">
        <v>3</v>
      </c>
      <c r="N111" s="4"/>
      <c r="O111" s="4"/>
      <c r="P111" s="4"/>
      <c r="Q111" s="4">
        <v>3</v>
      </c>
    </row>
    <row r="112" spans="2:18">
      <c r="B112" s="385"/>
      <c r="C112" s="361" t="s">
        <v>548</v>
      </c>
      <c r="E112" s="385"/>
      <c r="G112" s="2" t="s">
        <v>362</v>
      </c>
      <c r="H112" s="4"/>
      <c r="I112" s="4"/>
      <c r="J112" s="4"/>
      <c r="L112" s="4"/>
      <c r="M112" s="4">
        <v>8.61</v>
      </c>
      <c r="N112" s="4">
        <v>8.61</v>
      </c>
      <c r="O112" s="4">
        <v>0.86</v>
      </c>
      <c r="P112" s="4">
        <v>0.86</v>
      </c>
      <c r="Q112" s="4">
        <v>8.61</v>
      </c>
    </row>
    <row r="113" spans="2:18">
      <c r="B113" s="357"/>
      <c r="C113" s="361" t="s">
        <v>549</v>
      </c>
      <c r="E113" s="357"/>
      <c r="G113" s="2" t="s">
        <v>77</v>
      </c>
      <c r="H113" s="4">
        <v>29.35</v>
      </c>
      <c r="I113" s="4">
        <v>0.97</v>
      </c>
      <c r="J113" s="4">
        <v>29.35</v>
      </c>
      <c r="L113" s="4">
        <v>29.35</v>
      </c>
      <c r="M113" s="4"/>
      <c r="N113" s="4"/>
      <c r="O113" s="4"/>
      <c r="P113" s="4"/>
      <c r="Q113" s="4"/>
    </row>
    <row r="114" spans="2:18">
      <c r="B114" s="2"/>
      <c r="C114" s="361" t="s">
        <v>551</v>
      </c>
      <c r="G114" s="2" t="s">
        <v>514</v>
      </c>
      <c r="H114" s="4"/>
      <c r="I114" s="4"/>
      <c r="J114" s="4"/>
      <c r="L114" s="4"/>
      <c r="M114" s="4">
        <v>2.93</v>
      </c>
      <c r="N114" s="4"/>
      <c r="O114" s="4"/>
      <c r="P114" s="4"/>
      <c r="Q114" s="4">
        <v>2.93</v>
      </c>
    </row>
    <row r="115" spans="2:18">
      <c r="B115" s="2"/>
      <c r="C115" s="361" t="s">
        <v>550</v>
      </c>
      <c r="G115" s="356" t="s">
        <v>515</v>
      </c>
      <c r="H115" s="4"/>
      <c r="I115" s="4"/>
      <c r="J115" s="4"/>
      <c r="L115" s="4"/>
      <c r="M115" s="4">
        <v>10.56</v>
      </c>
      <c r="N115" s="4"/>
      <c r="O115" s="4"/>
      <c r="P115" s="4"/>
      <c r="Q115" s="4">
        <v>10.56</v>
      </c>
    </row>
    <row r="116" spans="2:18">
      <c r="B116" s="2"/>
      <c r="C116" s="361" t="s">
        <v>619</v>
      </c>
      <c r="G116" s="362" t="s">
        <v>516</v>
      </c>
      <c r="H116" s="4"/>
      <c r="I116" s="4"/>
      <c r="J116" s="4"/>
      <c r="L116" s="4"/>
      <c r="M116" s="4">
        <v>9.4499999999999993</v>
      </c>
      <c r="N116" s="4">
        <v>9.4499999999999993</v>
      </c>
      <c r="O116" s="4"/>
      <c r="P116" s="4"/>
      <c r="Q116" s="4">
        <v>9.4499999999999993</v>
      </c>
    </row>
    <row r="117" spans="2:18">
      <c r="B117" s="2"/>
      <c r="C117" s="361" t="s">
        <v>552</v>
      </c>
      <c r="G117" s="2" t="s">
        <v>517</v>
      </c>
      <c r="H117" s="483">
        <v>11.75</v>
      </c>
      <c r="I117" s="4"/>
      <c r="J117" s="4">
        <v>14.1</v>
      </c>
      <c r="L117" s="4">
        <v>14.1</v>
      </c>
      <c r="M117" s="4">
        <v>17.579999999999998</v>
      </c>
      <c r="N117" s="4"/>
      <c r="O117" s="4"/>
      <c r="P117" s="4"/>
      <c r="Q117" s="4">
        <v>17.579999999999998</v>
      </c>
    </row>
    <row r="118" spans="2:18">
      <c r="B118" s="2"/>
      <c r="C118" s="361" t="s">
        <v>620</v>
      </c>
      <c r="G118" s="2" t="s">
        <v>92</v>
      </c>
      <c r="H118" s="483">
        <v>38.76</v>
      </c>
      <c r="I118" s="4">
        <v>4.97</v>
      </c>
      <c r="J118" s="4">
        <v>45.22</v>
      </c>
      <c r="L118" s="4">
        <v>45.22</v>
      </c>
      <c r="M118" s="4"/>
      <c r="N118" s="4"/>
      <c r="O118" s="4"/>
      <c r="P118" s="4"/>
      <c r="Q118" s="4"/>
    </row>
    <row r="119" spans="2:18">
      <c r="B119" s="2"/>
      <c r="C119" s="361" t="s">
        <v>621</v>
      </c>
      <c r="G119" s="191" t="s">
        <v>505</v>
      </c>
      <c r="H119" s="191">
        <v>2.4300000000000002</v>
      </c>
      <c r="I119" s="4"/>
      <c r="J119" s="4"/>
      <c r="L119" s="4"/>
      <c r="M119" s="4"/>
      <c r="N119" s="4"/>
      <c r="O119" s="4"/>
      <c r="P119" s="4"/>
      <c r="Q119" s="4"/>
    </row>
    <row r="120" spans="2:18">
      <c r="B120" s="2"/>
      <c r="C120" s="361" t="s">
        <v>622</v>
      </c>
      <c r="H120" s="160">
        <f>SUM(H111:H119)</f>
        <v>82.79</v>
      </c>
      <c r="I120" s="160">
        <f>SUM(I111:I119)</f>
        <v>5.9399999999999995</v>
      </c>
      <c r="J120" s="160">
        <f>SUM(J111:J119)</f>
        <v>89.17</v>
      </c>
      <c r="L120" s="160">
        <f>SUM(L111:L119)</f>
        <v>89.17</v>
      </c>
      <c r="M120" s="160">
        <f t="shared" ref="M120:Q120" si="15">SUM(M111:M119)</f>
        <v>52.129999999999995</v>
      </c>
      <c r="N120" s="160">
        <f t="shared" si="15"/>
        <v>18.059999999999999</v>
      </c>
      <c r="O120" s="160">
        <f t="shared" si="15"/>
        <v>0.86</v>
      </c>
      <c r="P120" s="160">
        <f t="shared" si="15"/>
        <v>0.86</v>
      </c>
      <c r="Q120" s="160">
        <f t="shared" si="15"/>
        <v>52.129999999999995</v>
      </c>
      <c r="R120" s="190">
        <f>SUM(L120:Q120)</f>
        <v>213.21000000000004</v>
      </c>
    </row>
    <row r="121" spans="2:18">
      <c r="B121" s="2"/>
      <c r="C121" s="361" t="s">
        <v>623</v>
      </c>
      <c r="H121" s="2">
        <f>F111-H120</f>
        <v>0</v>
      </c>
    </row>
    <row r="122" spans="2:18">
      <c r="B122" s="2"/>
      <c r="C122" s="361" t="s">
        <v>624</v>
      </c>
    </row>
    <row r="123" spans="2:18">
      <c r="B123" s="2"/>
      <c r="H123" s="160" t="s">
        <v>577</v>
      </c>
      <c r="I123" s="8" t="s">
        <v>249</v>
      </c>
      <c r="J123" s="389" t="s">
        <v>569</v>
      </c>
      <c r="L123" s="158" t="s">
        <v>513</v>
      </c>
      <c r="P123" s="2"/>
      <c r="Q123" s="2"/>
      <c r="R123" s="2"/>
    </row>
    <row r="124" spans="2:18">
      <c r="B124" s="357" t="s">
        <v>614</v>
      </c>
      <c r="C124" s="3" t="s">
        <v>576</v>
      </c>
      <c r="E124" s="357" t="s">
        <v>614</v>
      </c>
      <c r="F124" s="2">
        <v>156.86000000000001</v>
      </c>
      <c r="G124" s="2" t="s">
        <v>314</v>
      </c>
      <c r="H124" s="486"/>
      <c r="I124" s="4"/>
      <c r="J124" s="4">
        <v>3</v>
      </c>
      <c r="L124" s="4">
        <v>0.5</v>
      </c>
      <c r="P124" s="2"/>
      <c r="Q124" s="2"/>
      <c r="R124" s="2"/>
    </row>
    <row r="125" spans="2:18">
      <c r="B125" s="2"/>
      <c r="C125" s="361" t="s">
        <v>575</v>
      </c>
      <c r="G125" s="2" t="s">
        <v>362</v>
      </c>
      <c r="H125" s="4"/>
      <c r="I125" s="4"/>
      <c r="J125" s="4"/>
      <c r="L125" s="4"/>
      <c r="P125" s="2"/>
      <c r="Q125" s="2"/>
      <c r="R125" s="2"/>
    </row>
    <row r="126" spans="2:18">
      <c r="B126" s="2"/>
      <c r="G126" s="2" t="s">
        <v>77</v>
      </c>
      <c r="H126" s="4"/>
      <c r="I126" s="4"/>
      <c r="J126" s="4"/>
      <c r="L126" s="4"/>
      <c r="P126" s="2"/>
      <c r="Q126" s="2"/>
      <c r="R126" s="2"/>
    </row>
    <row r="127" spans="2:18">
      <c r="B127" s="2"/>
      <c r="G127" s="2" t="s">
        <v>514</v>
      </c>
      <c r="H127" s="4">
        <v>2.93</v>
      </c>
      <c r="I127" s="4"/>
      <c r="J127" s="4">
        <v>2.93</v>
      </c>
      <c r="L127" s="4">
        <v>2.93</v>
      </c>
      <c r="P127" s="2"/>
      <c r="Q127" s="2"/>
      <c r="R127" s="2"/>
    </row>
    <row r="128" spans="2:18">
      <c r="B128" s="2"/>
      <c r="G128" s="356" t="s">
        <v>515</v>
      </c>
      <c r="H128" s="483">
        <v>8.8000000000000007</v>
      </c>
      <c r="I128" s="4"/>
      <c r="J128" s="4">
        <v>10.56</v>
      </c>
      <c r="L128" s="4">
        <v>10.56</v>
      </c>
      <c r="P128" s="2"/>
      <c r="Q128" s="2"/>
      <c r="R128" s="2"/>
    </row>
    <row r="129" spans="2:18">
      <c r="B129" s="2"/>
      <c r="G129" s="362" t="s">
        <v>516</v>
      </c>
      <c r="H129" s="4">
        <v>94.62</v>
      </c>
      <c r="I129" s="4">
        <v>16.149999999999999</v>
      </c>
      <c r="J129" s="4">
        <v>94.96</v>
      </c>
      <c r="L129" s="4">
        <v>94.96</v>
      </c>
      <c r="P129" s="2"/>
      <c r="Q129" s="2"/>
      <c r="R129" s="2"/>
    </row>
    <row r="130" spans="2:18">
      <c r="B130" s="2"/>
      <c r="G130" s="2" t="s">
        <v>517</v>
      </c>
      <c r="H130" s="483">
        <v>11.75</v>
      </c>
      <c r="I130" s="4"/>
      <c r="J130" s="4">
        <v>14.65</v>
      </c>
      <c r="L130" s="4">
        <v>14.65</v>
      </c>
      <c r="P130" s="2"/>
      <c r="Q130" s="2"/>
      <c r="R130" s="2"/>
    </row>
    <row r="131" spans="2:18">
      <c r="B131" s="357"/>
      <c r="C131" s="361"/>
      <c r="G131" s="2" t="s">
        <v>92</v>
      </c>
      <c r="H131" s="4">
        <v>38.76</v>
      </c>
      <c r="I131" s="4">
        <v>4.26</v>
      </c>
      <c r="J131" s="4">
        <v>38.76</v>
      </c>
      <c r="L131" s="4">
        <v>38.76</v>
      </c>
      <c r="P131" s="2"/>
      <c r="Q131" s="2"/>
      <c r="R131" s="2"/>
    </row>
    <row r="132" spans="2:18">
      <c r="B132" s="385"/>
      <c r="C132" s="361"/>
      <c r="G132" s="191" t="s">
        <v>505</v>
      </c>
      <c r="H132" s="191"/>
      <c r="I132" s="4"/>
      <c r="J132" s="4"/>
      <c r="L132" s="4"/>
      <c r="P132" s="2"/>
      <c r="Q132" s="2"/>
      <c r="R132" s="2"/>
    </row>
    <row r="133" spans="2:18">
      <c r="B133" s="357"/>
      <c r="C133" s="361"/>
      <c r="H133" s="160">
        <f>SUM(H124:H132)</f>
        <v>156.86000000000001</v>
      </c>
      <c r="I133" s="160">
        <f>SUM(I124:I132)</f>
        <v>20.409999999999997</v>
      </c>
      <c r="J133" s="160">
        <f>SUM(J124:J132)</f>
        <v>164.85999999999999</v>
      </c>
      <c r="L133" s="160">
        <f>SUM(L124:L132)</f>
        <v>162.35999999999999</v>
      </c>
      <c r="P133" s="2"/>
      <c r="Q133" s="2"/>
      <c r="R133" s="2"/>
    </row>
    <row r="134" spans="2:18">
      <c r="B134" s="2"/>
      <c r="C134" s="361"/>
      <c r="H134" s="2">
        <f>F124-H133</f>
        <v>0</v>
      </c>
      <c r="P134" s="2"/>
      <c r="Q134" s="2"/>
      <c r="R134" s="2"/>
    </row>
    <row r="135" spans="2:18">
      <c r="B135" s="2"/>
      <c r="C135" s="361"/>
      <c r="P135" s="2"/>
      <c r="Q135" s="2"/>
      <c r="R135" s="2"/>
    </row>
    <row r="136" spans="2:18">
      <c r="B136" s="2"/>
      <c r="C136" s="361"/>
      <c r="H136" s="160" t="s">
        <v>577</v>
      </c>
      <c r="I136" s="8" t="s">
        <v>249</v>
      </c>
      <c r="J136" s="389" t="s">
        <v>569</v>
      </c>
      <c r="L136" s="490" t="s">
        <v>513</v>
      </c>
      <c r="M136" s="490"/>
      <c r="N136" s="490"/>
      <c r="O136" s="490"/>
      <c r="P136" s="2"/>
      <c r="Q136" s="2"/>
    </row>
    <row r="137" spans="2:18">
      <c r="B137" s="2"/>
      <c r="C137" s="3" t="s">
        <v>582</v>
      </c>
      <c r="E137" s="357" t="s">
        <v>615</v>
      </c>
      <c r="F137" s="4">
        <v>102.11</v>
      </c>
      <c r="G137" s="2" t="s">
        <v>314</v>
      </c>
      <c r="H137" s="498"/>
      <c r="I137" s="4"/>
      <c r="J137" s="4">
        <v>0.5</v>
      </c>
      <c r="L137" s="4">
        <v>0.5</v>
      </c>
      <c r="M137" s="4">
        <v>0.5</v>
      </c>
      <c r="N137" s="4">
        <v>0.5</v>
      </c>
      <c r="O137" s="4">
        <v>0.5</v>
      </c>
      <c r="P137" s="2"/>
      <c r="Q137" s="2"/>
    </row>
    <row r="138" spans="2:18">
      <c r="B138" s="357" t="s">
        <v>615</v>
      </c>
      <c r="C138" s="361" t="s">
        <v>625</v>
      </c>
      <c r="E138" s="385"/>
      <c r="G138" s="2" t="s">
        <v>362</v>
      </c>
      <c r="H138" s="4"/>
      <c r="I138" s="4"/>
      <c r="J138" s="4"/>
      <c r="L138" s="4"/>
      <c r="M138" s="4">
        <v>25.83</v>
      </c>
      <c r="N138" s="4">
        <v>51.67</v>
      </c>
      <c r="O138" s="4">
        <v>86.11</v>
      </c>
      <c r="P138" s="2"/>
      <c r="Q138" s="2"/>
    </row>
    <row r="139" spans="2:18">
      <c r="B139" s="385"/>
      <c r="C139" s="361" t="s">
        <v>626</v>
      </c>
      <c r="D139" s="2" t="s">
        <v>585</v>
      </c>
      <c r="E139" s="357"/>
      <c r="G139" s="2" t="s">
        <v>77</v>
      </c>
      <c r="H139" s="4">
        <v>29.35</v>
      </c>
      <c r="I139" s="4">
        <v>3.23</v>
      </c>
      <c r="J139" s="4">
        <v>29.35</v>
      </c>
      <c r="L139" s="4">
        <v>29.35</v>
      </c>
      <c r="M139" s="4"/>
      <c r="N139" s="4"/>
      <c r="O139" s="4"/>
      <c r="P139" s="2"/>
      <c r="Q139" s="2"/>
    </row>
    <row r="140" spans="2:18">
      <c r="B140" s="357"/>
      <c r="C140" s="361" t="s">
        <v>583</v>
      </c>
      <c r="D140" s="160" t="s">
        <v>586</v>
      </c>
      <c r="G140" s="2" t="s">
        <v>514</v>
      </c>
      <c r="H140" s="4"/>
      <c r="I140" s="4"/>
      <c r="J140" s="4"/>
      <c r="L140" s="4"/>
      <c r="M140" s="4">
        <v>2.93</v>
      </c>
      <c r="N140" s="4">
        <v>2.93</v>
      </c>
      <c r="O140" s="4">
        <v>2.93</v>
      </c>
      <c r="P140" s="2"/>
      <c r="Q140" s="2"/>
    </row>
    <row r="141" spans="2:18">
      <c r="B141" s="2"/>
      <c r="C141" s="361" t="s">
        <v>584</v>
      </c>
      <c r="G141" s="356" t="s">
        <v>515</v>
      </c>
      <c r="H141" s="4"/>
      <c r="I141" s="4"/>
      <c r="J141" s="4"/>
      <c r="L141" s="4"/>
      <c r="M141" s="4">
        <v>10.56</v>
      </c>
      <c r="N141" s="4">
        <v>10.56</v>
      </c>
      <c r="O141" s="4">
        <v>10.56</v>
      </c>
      <c r="P141" s="2"/>
      <c r="Q141" s="2"/>
    </row>
    <row r="142" spans="2:18">
      <c r="B142" s="2"/>
      <c r="C142" s="361"/>
      <c r="G142" s="362" t="s">
        <v>516</v>
      </c>
      <c r="H142" s="4"/>
      <c r="I142" s="4"/>
      <c r="J142" s="4"/>
      <c r="L142" s="4"/>
      <c r="M142" s="4">
        <v>36.119999999999997</v>
      </c>
      <c r="N142" s="4">
        <v>76.12</v>
      </c>
      <c r="O142" s="4">
        <v>129.44999999999999</v>
      </c>
      <c r="P142" s="2"/>
      <c r="Q142" s="2"/>
    </row>
    <row r="143" spans="2:18">
      <c r="B143" s="357"/>
      <c r="G143" s="2" t="s">
        <v>517</v>
      </c>
      <c r="H143" s="4">
        <v>9.4</v>
      </c>
      <c r="I143" s="4"/>
      <c r="J143" s="4">
        <v>9.4</v>
      </c>
      <c r="L143" s="4">
        <v>9.4</v>
      </c>
      <c r="M143" s="4">
        <v>9.4</v>
      </c>
      <c r="N143" s="4">
        <v>9.4</v>
      </c>
      <c r="O143" s="4">
        <v>9.4</v>
      </c>
      <c r="P143" s="2"/>
      <c r="Q143" s="2"/>
    </row>
    <row r="144" spans="2:18">
      <c r="B144" s="2"/>
      <c r="C144" s="361"/>
      <c r="G144" s="2" t="s">
        <v>92</v>
      </c>
      <c r="H144" s="483">
        <v>63.36</v>
      </c>
      <c r="I144" s="4">
        <v>7.11</v>
      </c>
      <c r="J144" s="4">
        <v>64.599999999999994</v>
      </c>
      <c r="L144" s="4">
        <v>64.599999999999994</v>
      </c>
      <c r="M144" s="4"/>
      <c r="N144" s="4"/>
      <c r="O144" s="4"/>
      <c r="P144" s="2"/>
      <c r="Q144" s="2"/>
    </row>
    <row r="145" spans="2:17">
      <c r="B145" s="2"/>
      <c r="G145" s="191" t="s">
        <v>505</v>
      </c>
      <c r="H145" s="191"/>
      <c r="I145" s="4"/>
      <c r="J145" s="4"/>
      <c r="L145" s="4"/>
      <c r="M145" s="4"/>
      <c r="N145" s="4"/>
      <c r="O145" s="4"/>
      <c r="P145" s="2"/>
      <c r="Q145" s="2"/>
    </row>
    <row r="146" spans="2:17">
      <c r="B146" s="2"/>
      <c r="H146" s="160">
        <f>SUM(H137:H145)</f>
        <v>102.11</v>
      </c>
      <c r="I146" s="160">
        <f>SUM(I137:I145)</f>
        <v>10.34</v>
      </c>
      <c r="J146" s="160">
        <f>SUM(J137:J145)</f>
        <v>103.85</v>
      </c>
      <c r="L146" s="160">
        <f>SUM(L137:L145)</f>
        <v>103.85</v>
      </c>
      <c r="M146" s="160">
        <f t="shared" ref="M146:O146" si="16">SUM(M137:M145)</f>
        <v>85.34</v>
      </c>
      <c r="N146" s="160">
        <f t="shared" si="16"/>
        <v>151.18</v>
      </c>
      <c r="O146" s="160">
        <f t="shared" si="16"/>
        <v>238.95000000000002</v>
      </c>
      <c r="P146" s="191">
        <f>SUM(L146:O146)</f>
        <v>579.32000000000005</v>
      </c>
      <c r="Q146" s="4"/>
    </row>
    <row r="147" spans="2:17">
      <c r="B147" s="2"/>
      <c r="H147" s="2">
        <f>F137-H146</f>
        <v>0</v>
      </c>
      <c r="P147" s="2"/>
      <c r="Q147" s="2"/>
    </row>
    <row r="148" spans="2:17">
      <c r="B148" s="357"/>
      <c r="P148" s="2"/>
      <c r="Q148" s="2"/>
    </row>
    <row r="149" spans="2:17">
      <c r="B149" s="357" t="s">
        <v>618</v>
      </c>
      <c r="C149" s="3" t="s">
        <v>627</v>
      </c>
      <c r="E149" s="357" t="s">
        <v>618</v>
      </c>
      <c r="F149" s="2">
        <v>422.69</v>
      </c>
      <c r="H149" s="160" t="s">
        <v>577</v>
      </c>
      <c r="I149" s="8" t="s">
        <v>249</v>
      </c>
      <c r="J149" s="389" t="s">
        <v>569</v>
      </c>
      <c r="L149" s="490" t="s">
        <v>513</v>
      </c>
      <c r="P149" s="2"/>
      <c r="Q149" s="2"/>
    </row>
    <row r="150" spans="2:17">
      <c r="B150" s="2"/>
      <c r="C150" s="361" t="s">
        <v>592</v>
      </c>
      <c r="G150" s="2" t="s">
        <v>314</v>
      </c>
      <c r="H150" s="498"/>
      <c r="I150" s="4"/>
      <c r="J150" s="4">
        <v>3</v>
      </c>
      <c r="L150" s="4">
        <v>0.5</v>
      </c>
      <c r="P150" s="2"/>
      <c r="Q150" s="2"/>
    </row>
    <row r="151" spans="2:17">
      <c r="B151" s="2"/>
      <c r="G151" s="2" t="s">
        <v>362</v>
      </c>
      <c r="H151" s="4">
        <v>144.47999999999999</v>
      </c>
      <c r="I151" s="4"/>
      <c r="J151" s="4">
        <v>144.38</v>
      </c>
      <c r="L151" s="4">
        <v>144.38</v>
      </c>
      <c r="P151" s="2"/>
      <c r="Q151" s="2"/>
    </row>
    <row r="152" spans="2:17">
      <c r="B152" s="8"/>
      <c r="C152" s="88"/>
      <c r="G152" s="2" t="s">
        <v>77</v>
      </c>
      <c r="H152" s="4"/>
      <c r="I152" s="4"/>
      <c r="J152" s="4"/>
      <c r="L152" s="4"/>
      <c r="P152" s="2"/>
      <c r="Q152" s="2"/>
    </row>
    <row r="153" spans="2:17">
      <c r="B153" s="8"/>
      <c r="C153" s="88"/>
      <c r="G153" s="362" t="s">
        <v>514</v>
      </c>
      <c r="H153" s="4">
        <v>2.93</v>
      </c>
      <c r="I153" s="4"/>
      <c r="J153" s="4">
        <v>2.93</v>
      </c>
      <c r="L153" s="2">
        <v>2.93</v>
      </c>
      <c r="P153" s="2"/>
      <c r="Q153" s="2"/>
    </row>
    <row r="154" spans="2:17">
      <c r="B154" s="8"/>
      <c r="C154" s="131"/>
      <c r="G154" s="356" t="s">
        <v>515</v>
      </c>
      <c r="H154" s="483">
        <v>8.8000000000000007</v>
      </c>
      <c r="I154" s="4"/>
      <c r="J154" s="4">
        <v>10.56</v>
      </c>
      <c r="L154" s="4">
        <v>10.56</v>
      </c>
      <c r="P154" s="2"/>
    </row>
    <row r="155" spans="2:17">
      <c r="B155" s="8"/>
      <c r="C155" s="131"/>
      <c r="G155" s="362" t="s">
        <v>516</v>
      </c>
      <c r="H155" s="4">
        <v>219.33</v>
      </c>
      <c r="I155" s="4">
        <v>34.96</v>
      </c>
      <c r="J155" s="4">
        <v>219.68</v>
      </c>
      <c r="L155" s="4">
        <v>219.68</v>
      </c>
      <c r="P155" s="2"/>
    </row>
    <row r="156" spans="2:17">
      <c r="B156" s="8"/>
      <c r="C156" s="131"/>
      <c r="G156" s="2" t="s">
        <v>517</v>
      </c>
      <c r="H156" s="4">
        <v>11.72</v>
      </c>
      <c r="I156" s="4"/>
      <c r="J156" s="4">
        <v>11.72</v>
      </c>
      <c r="L156" s="4">
        <v>11.72</v>
      </c>
      <c r="P156" s="2"/>
    </row>
    <row r="157" spans="2:17">
      <c r="B157" s="8"/>
      <c r="C157" s="131"/>
      <c r="G157" s="2" t="s">
        <v>92</v>
      </c>
      <c r="H157" s="4">
        <v>32.299999999999997</v>
      </c>
      <c r="I157" s="4">
        <v>3.55</v>
      </c>
      <c r="J157" s="4">
        <v>32.299999999999997</v>
      </c>
      <c r="L157" s="4">
        <v>32.299999999999997</v>
      </c>
      <c r="N157" s="2">
        <v>174.38</v>
      </c>
      <c r="P157" s="2"/>
    </row>
    <row r="158" spans="2:17">
      <c r="B158" s="8"/>
      <c r="C158" s="131"/>
      <c r="G158" s="191" t="s">
        <v>505</v>
      </c>
      <c r="H158" s="191">
        <v>3.13</v>
      </c>
      <c r="I158" s="4"/>
      <c r="J158" s="4"/>
      <c r="L158" s="4"/>
      <c r="N158" s="2">
        <v>33.53</v>
      </c>
      <c r="P158" s="2"/>
    </row>
    <row r="159" spans="2:17">
      <c r="B159" s="8"/>
      <c r="C159" s="131"/>
      <c r="H159" s="160">
        <f>SUM(H150:H158)</f>
        <v>422.69000000000005</v>
      </c>
      <c r="I159" s="160">
        <f>SUM(I150:I158)</f>
        <v>38.51</v>
      </c>
      <c r="J159" s="160">
        <f>SUM(J150:J158)</f>
        <v>424.57000000000005</v>
      </c>
      <c r="L159" s="160">
        <f>SUM(L150:L158)</f>
        <v>422.07000000000005</v>
      </c>
      <c r="N159" s="2">
        <f>SUM(N157:N158)</f>
        <v>207.91</v>
      </c>
      <c r="P159" s="2"/>
    </row>
    <row r="160" spans="2:17">
      <c r="B160" s="8"/>
      <c r="C160" s="131"/>
      <c r="H160" s="2">
        <f>F149-H159</f>
        <v>0</v>
      </c>
      <c r="P160" s="2"/>
    </row>
    <row r="161" spans="2:16">
      <c r="B161" s="8"/>
      <c r="C161" s="131"/>
      <c r="P161" s="2"/>
    </row>
    <row r="162" spans="2:16">
      <c r="B162" s="357" t="s">
        <v>628</v>
      </c>
      <c r="C162" s="3" t="s">
        <v>627</v>
      </c>
      <c r="E162" s="357" t="s">
        <v>628</v>
      </c>
      <c r="F162" s="2">
        <v>593.98</v>
      </c>
      <c r="H162" s="160" t="s">
        <v>577</v>
      </c>
      <c r="I162" s="8" t="s">
        <v>249</v>
      </c>
      <c r="J162" s="389" t="s">
        <v>569</v>
      </c>
      <c r="L162" s="674" t="s">
        <v>513</v>
      </c>
      <c r="M162" s="674"/>
      <c r="P162" s="2"/>
    </row>
    <row r="163" spans="2:16">
      <c r="B163" s="2"/>
      <c r="C163" s="361" t="s">
        <v>595</v>
      </c>
      <c r="G163" s="2" t="s">
        <v>314</v>
      </c>
      <c r="H163" s="498"/>
      <c r="I163" s="4"/>
      <c r="J163" s="4">
        <v>3</v>
      </c>
      <c r="L163" s="4">
        <v>0.5</v>
      </c>
      <c r="M163" s="4">
        <v>0.5</v>
      </c>
      <c r="P163" s="2"/>
    </row>
    <row r="164" spans="2:16">
      <c r="B164" s="8"/>
      <c r="C164" s="131"/>
      <c r="G164" s="2" t="s">
        <v>362</v>
      </c>
      <c r="H164" s="4">
        <v>207.91</v>
      </c>
      <c r="I164" s="4"/>
      <c r="J164" s="4">
        <v>207.91</v>
      </c>
      <c r="L164" s="4">
        <v>207.91</v>
      </c>
      <c r="M164" s="4"/>
    </row>
    <row r="165" spans="2:16">
      <c r="B165" s="2"/>
      <c r="G165" s="2" t="s">
        <v>77</v>
      </c>
      <c r="H165" s="4"/>
      <c r="I165" s="4"/>
      <c r="J165" s="4"/>
      <c r="L165" s="4"/>
      <c r="M165" s="4"/>
    </row>
    <row r="166" spans="2:16">
      <c r="B166" s="2"/>
      <c r="G166" s="2" t="s">
        <v>514</v>
      </c>
      <c r="H166" s="4">
        <v>2.93</v>
      </c>
      <c r="I166" s="4"/>
      <c r="J166" s="4">
        <v>2.93</v>
      </c>
      <c r="L166" s="2">
        <v>2.93</v>
      </c>
      <c r="M166" s="2">
        <v>2.93</v>
      </c>
    </row>
    <row r="167" spans="2:16">
      <c r="G167" s="356" t="s">
        <v>515</v>
      </c>
      <c r="H167" s="483">
        <v>8.8000000000000007</v>
      </c>
      <c r="I167" s="4"/>
      <c r="J167" s="4">
        <v>10.56</v>
      </c>
      <c r="L167" s="4">
        <v>10.56</v>
      </c>
      <c r="M167" s="4">
        <v>10.56</v>
      </c>
    </row>
    <row r="168" spans="2:16">
      <c r="G168" s="362" t="s">
        <v>516</v>
      </c>
      <c r="H168" s="4">
        <v>317.7</v>
      </c>
      <c r="I168" s="4">
        <v>49.61</v>
      </c>
      <c r="J168" s="4">
        <v>318.04000000000002</v>
      </c>
      <c r="L168" s="4">
        <v>318.04000000000002</v>
      </c>
      <c r="M168" s="4"/>
    </row>
    <row r="169" spans="2:16">
      <c r="B169" s="8"/>
      <c r="C169" s="88"/>
      <c r="G169" s="2" t="s">
        <v>517</v>
      </c>
      <c r="H169" s="195">
        <v>14.65</v>
      </c>
      <c r="I169" s="4"/>
      <c r="J169" s="4">
        <v>11.72</v>
      </c>
      <c r="L169" s="4">
        <v>11.72</v>
      </c>
      <c r="M169" s="4">
        <v>11.72</v>
      </c>
    </row>
    <row r="170" spans="2:16">
      <c r="B170" s="8"/>
      <c r="C170" s="88"/>
      <c r="G170" s="2" t="s">
        <v>92</v>
      </c>
      <c r="H170" s="195">
        <v>38.76</v>
      </c>
      <c r="I170" s="4">
        <v>3.55</v>
      </c>
      <c r="J170" s="4">
        <v>32.299999999999997</v>
      </c>
      <c r="L170" s="4">
        <v>32.299999999999997</v>
      </c>
      <c r="M170" s="4"/>
    </row>
    <row r="171" spans="2:16">
      <c r="B171" s="8"/>
      <c r="C171" s="88"/>
      <c r="G171" s="191" t="s">
        <v>505</v>
      </c>
      <c r="H171" s="191">
        <v>3.23</v>
      </c>
      <c r="I171" s="4"/>
      <c r="J171" s="4"/>
      <c r="L171" s="4"/>
      <c r="M171" s="4"/>
    </row>
    <row r="172" spans="2:16">
      <c r="B172" s="8"/>
      <c r="C172" s="88"/>
      <c r="H172" s="160">
        <f>SUM(H163:H171)</f>
        <v>593.98</v>
      </c>
      <c r="I172" s="160">
        <f>SUM(I163:I171)</f>
        <v>53.16</v>
      </c>
      <c r="J172" s="160">
        <f>SUM(J163:J171)</f>
        <v>586.46</v>
      </c>
      <c r="L172" s="160">
        <f>SUM(L163:L171)</f>
        <v>583.96</v>
      </c>
      <c r="M172" s="160">
        <f>SUM(M163:M171)</f>
        <v>25.71</v>
      </c>
      <c r="N172" s="191">
        <f>SUM(L172:M172)</f>
        <v>609.67000000000007</v>
      </c>
    </row>
    <row r="173" spans="2:16">
      <c r="B173" s="8"/>
      <c r="C173" s="88"/>
      <c r="H173" s="2">
        <f>F162-H172</f>
        <v>0</v>
      </c>
    </row>
  </sheetData>
  <mergeCells count="15">
    <mergeCell ref="A43:D43"/>
    <mergeCell ref="A1:A2"/>
    <mergeCell ref="B1:B2"/>
    <mergeCell ref="C1:C2"/>
    <mergeCell ref="D1:D2"/>
    <mergeCell ref="L162:M162"/>
    <mergeCell ref="L110:Q110"/>
    <mergeCell ref="E1:K1"/>
    <mergeCell ref="L82:Q82"/>
    <mergeCell ref="L96:Q96"/>
    <mergeCell ref="L54:Q54"/>
    <mergeCell ref="L68:Q68"/>
    <mergeCell ref="N1:O1"/>
    <mergeCell ref="L1:M1"/>
    <mergeCell ref="P1:AA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59"/>
  <sheetViews>
    <sheetView workbookViewId="0">
      <pane ySplit="2" topLeftCell="A3" activePane="bottomLeft" state="frozen"/>
      <selection pane="bottomLeft" activeCell="E50" sqref="E50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26" t="s">
        <v>19</v>
      </c>
      <c r="B1" s="828" t="s">
        <v>347</v>
      </c>
      <c r="C1" s="828" t="s">
        <v>84</v>
      </c>
      <c r="D1" s="830" t="s">
        <v>348</v>
      </c>
      <c r="E1" s="831"/>
      <c r="F1" s="831"/>
      <c r="G1" s="832" t="s">
        <v>318</v>
      </c>
      <c r="H1" s="833"/>
      <c r="I1" s="822" t="s">
        <v>319</v>
      </c>
      <c r="J1" s="822"/>
      <c r="K1" s="246"/>
      <c r="L1" s="247"/>
      <c r="M1" s="823" t="s">
        <v>349</v>
      </c>
      <c r="N1" s="823"/>
      <c r="O1" s="823"/>
      <c r="P1" s="247"/>
      <c r="Q1" s="823" t="s">
        <v>350</v>
      </c>
      <c r="R1" s="823"/>
      <c r="S1" s="823"/>
      <c r="T1" s="823"/>
      <c r="U1" s="248"/>
      <c r="V1" s="824" t="s">
        <v>318</v>
      </c>
      <c r="W1" s="824" t="s">
        <v>351</v>
      </c>
      <c r="X1" s="824" t="s">
        <v>352</v>
      </c>
      <c r="Y1" s="248"/>
      <c r="Z1" s="816" t="s">
        <v>353</v>
      </c>
      <c r="AA1" s="817"/>
      <c r="AB1" s="817"/>
      <c r="AC1" s="817"/>
      <c r="AD1" s="818"/>
    </row>
    <row r="2" spans="1:30" ht="12" thickBot="1">
      <c r="A2" s="827"/>
      <c r="B2" s="829"/>
      <c r="C2" s="829"/>
      <c r="D2" s="196" t="s">
        <v>325</v>
      </c>
      <c r="E2" s="196" t="s">
        <v>331</v>
      </c>
      <c r="F2" s="137" t="s">
        <v>332</v>
      </c>
      <c r="G2" s="197" t="s">
        <v>354</v>
      </c>
      <c r="H2" s="198" t="s">
        <v>355</v>
      </c>
      <c r="I2" s="197" t="s">
        <v>356</v>
      </c>
      <c r="J2" s="199" t="s">
        <v>357</v>
      </c>
      <c r="K2" s="249" t="s">
        <v>358</v>
      </c>
      <c r="L2" s="250"/>
      <c r="M2" s="251" t="s">
        <v>361</v>
      </c>
      <c r="N2" s="251" t="s">
        <v>359</v>
      </c>
      <c r="O2" s="251" t="s">
        <v>360</v>
      </c>
      <c r="P2" s="250"/>
      <c r="Q2" s="252" t="s">
        <v>361</v>
      </c>
      <c r="R2" s="253">
        <v>1.2999999999999999E-2</v>
      </c>
      <c r="S2" s="253">
        <v>6.4999999999999997E-3</v>
      </c>
      <c r="T2" s="254">
        <v>1.25E-3</v>
      </c>
      <c r="U2" s="255"/>
      <c r="V2" s="825"/>
      <c r="W2" s="825"/>
      <c r="X2" s="825"/>
      <c r="Y2" s="255"/>
      <c r="Z2" s="256" t="s">
        <v>361</v>
      </c>
      <c r="AA2" s="256" t="s">
        <v>359</v>
      </c>
      <c r="AB2" s="257" t="s">
        <v>360</v>
      </c>
      <c r="AC2" s="256" t="s">
        <v>351</v>
      </c>
      <c r="AD2" s="256" t="s">
        <v>352</v>
      </c>
    </row>
    <row r="3" spans="1:30" s="17" customFormat="1">
      <c r="A3" s="200" t="str">
        <f>'1-συμβολαια'!A3</f>
        <v>10ο</v>
      </c>
      <c r="B3" s="117" t="str">
        <f>'1-συμβολαια'!C3</f>
        <v>κληρονομιάς ΑΠΟΔΟΧΗ</v>
      </c>
      <c r="C3" s="200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'2-δικαιώμ'!I3</f>
        <v>0</v>
      </c>
      <c r="H3" s="27">
        <f>'2-δικαιώμ'!J3</f>
        <v>1.4675000000000002</v>
      </c>
      <c r="I3" s="27">
        <f>'2-δικαιώμ'!K3</f>
        <v>1.4675000000000002</v>
      </c>
      <c r="J3" s="27">
        <f>'2-δικαιώμ'!L3</f>
        <v>0.29350000000000004</v>
      </c>
      <c r="K3" s="141"/>
      <c r="L3" s="141"/>
      <c r="M3" s="34"/>
      <c r="N3" s="34"/>
      <c r="O3" s="34"/>
      <c r="P3" s="141"/>
      <c r="Q3" s="34"/>
      <c r="R3" s="34"/>
      <c r="S3" s="34"/>
      <c r="T3" s="34"/>
      <c r="U3" s="141"/>
      <c r="V3" s="34">
        <f>'2-δικαιώμ'!I3+'2-δικαιώμ'!J3</f>
        <v>1.4675000000000002</v>
      </c>
      <c r="W3" s="34">
        <f>'2-δικαιώμ'!K3</f>
        <v>1.4675000000000002</v>
      </c>
      <c r="X3" s="34">
        <f>'2-δικαιώμ'!L3</f>
        <v>0.29350000000000004</v>
      </c>
      <c r="Y3" s="141"/>
      <c r="Z3" s="34"/>
      <c r="AA3" s="34"/>
      <c r="AB3" s="34"/>
      <c r="AC3" s="34"/>
      <c r="AD3" s="34"/>
    </row>
    <row r="4" spans="1:30" s="17" customFormat="1">
      <c r="A4" s="200">
        <f>'1-συμβολαια'!A4</f>
        <v>0</v>
      </c>
      <c r="B4" s="117" t="str">
        <f>'1-συμβολαια'!C4</f>
        <v>ΧΡΗΣΙΚΤΗΣΙΑ οικοπέδου &amp; οικοδομής = 1992 αδερφού ΚΛΗΡΟΝΟΜΙΑ άτυπη</v>
      </c>
      <c r="C4" s="200">
        <f>'1-συμβολαια'!D4</f>
        <v>1111.1099999999999</v>
      </c>
      <c r="D4" s="27">
        <f>'8-κ-15-17'!D4</f>
        <v>0</v>
      </c>
      <c r="E4" s="27">
        <f>'8-κ-15-17'!M4</f>
        <v>7.2222150000000003</v>
      </c>
      <c r="F4" s="27">
        <f>'8-κ-15-17'!V4</f>
        <v>1.3888874999999998</v>
      </c>
      <c r="G4" s="27">
        <f>'2-δικαιώμ'!I4</f>
        <v>1.8008351999999996</v>
      </c>
      <c r="H4" s="27">
        <f>'2-δικαιώμ'!J4</f>
        <v>0.14650000000000002</v>
      </c>
      <c r="I4" s="27">
        <f>'2-δικαιώμ'!K4</f>
        <v>1.1469639999999999</v>
      </c>
      <c r="J4" s="27">
        <f>'2-δικαιώμ'!L4</f>
        <v>0.22939279999999998</v>
      </c>
      <c r="K4" s="141"/>
      <c r="L4" s="141"/>
      <c r="M4" s="34"/>
      <c r="N4" s="34"/>
      <c r="O4" s="34"/>
      <c r="P4" s="141"/>
      <c r="Q4" s="34"/>
      <c r="R4" s="34"/>
      <c r="S4" s="34"/>
      <c r="T4" s="34"/>
      <c r="U4" s="141"/>
      <c r="V4" s="34">
        <f>'2-δικαιώμ'!I4+'2-δικαιώμ'!J4</f>
        <v>1.9473351999999997</v>
      </c>
      <c r="W4" s="34">
        <f>'2-δικαιώμ'!K4</f>
        <v>1.1469639999999999</v>
      </c>
      <c r="X4" s="34">
        <f>'2-δικαιώμ'!L4</f>
        <v>0.22939279999999998</v>
      </c>
      <c r="Y4" s="141"/>
      <c r="Z4" s="34"/>
      <c r="AA4" s="34"/>
      <c r="AB4" s="34"/>
      <c r="AC4" s="34"/>
      <c r="AD4" s="34"/>
    </row>
    <row r="5" spans="1:30" s="17" customFormat="1">
      <c r="A5" s="200">
        <f>'1-συμβολαια'!A5</f>
        <v>0</v>
      </c>
      <c r="B5" s="117" t="str">
        <f>'1-συμβολαια'!C5</f>
        <v>ΧΡΗΣΙΚΤΗΣΙΑ οικοπέδων 2'-3' = 1992 αδερφού ΚΛΗΡΟΝΟΜΙΑ άτυπη</v>
      </c>
      <c r="C5" s="200">
        <f>'1-συμβολαια'!D5</f>
        <v>1111.1099999999999</v>
      </c>
      <c r="D5" s="27">
        <f>'8-κ-15-17'!D5</f>
        <v>0</v>
      </c>
      <c r="E5" s="27">
        <f>'8-κ-15-17'!M5</f>
        <v>7.2222150000000003</v>
      </c>
      <c r="F5" s="27">
        <f>'8-κ-15-17'!V5</f>
        <v>1.3888874999999998</v>
      </c>
      <c r="G5" s="27">
        <f>'2-δικαιώμ'!I5</f>
        <v>1.8008351999999996</v>
      </c>
      <c r="H5" s="27">
        <f>'2-δικαιώμ'!J5</f>
        <v>0.14650000000000002</v>
      </c>
      <c r="I5" s="27">
        <f>'2-δικαιώμ'!K5</f>
        <v>1.1469639999999999</v>
      </c>
      <c r="J5" s="27">
        <f>'2-δικαιώμ'!L5</f>
        <v>0.22939279999999998</v>
      </c>
      <c r="K5" s="141"/>
      <c r="L5" s="141"/>
      <c r="M5" s="34"/>
      <c r="N5" s="34"/>
      <c r="O5" s="34"/>
      <c r="P5" s="141"/>
      <c r="Q5" s="34"/>
      <c r="R5" s="34"/>
      <c r="S5" s="34"/>
      <c r="T5" s="34"/>
      <c r="U5" s="141"/>
      <c r="V5" s="34">
        <f>'2-δικαιώμ'!I5+'2-δικαιώμ'!J5</f>
        <v>1.9473351999999997</v>
      </c>
      <c r="W5" s="34">
        <f>'2-δικαιώμ'!K5</f>
        <v>1.1469639999999999</v>
      </c>
      <c r="X5" s="34">
        <f>'2-δικαιώμ'!L5</f>
        <v>0.22939279999999998</v>
      </c>
      <c r="Y5" s="141"/>
      <c r="Z5" s="34"/>
      <c r="AA5" s="34"/>
      <c r="AB5" s="34"/>
      <c r="AC5" s="34"/>
      <c r="AD5" s="34"/>
    </row>
    <row r="6" spans="1:30" s="17" customFormat="1">
      <c r="A6" s="200">
        <f>'1-συμβολαια'!A6</f>
        <v>0</v>
      </c>
      <c r="B6" s="117" t="str">
        <f>'1-συμβολαια'!C6</f>
        <v>ΧΡΗΣΙΚΤΗΣΙΑ αγροτεμαχίου 9' = 1968 μητρός ΚΛΗΡΟΝΟΜΙΑ άτυπη</v>
      </c>
      <c r="C6" s="200">
        <f>'1-συμβολαια'!D6</f>
        <v>111.11</v>
      </c>
      <c r="D6" s="27">
        <f>'8-κ-15-17'!D6</f>
        <v>0</v>
      </c>
      <c r="E6" s="27">
        <f>'8-κ-15-17'!M6</f>
        <v>0.72221500000000005</v>
      </c>
      <c r="F6" s="27">
        <f>'8-κ-15-17'!V6</f>
        <v>0.1388875</v>
      </c>
      <c r="G6" s="27">
        <f>'2-δικαιώμ'!I6</f>
        <v>0.95040000000000002</v>
      </c>
      <c r="H6" s="27">
        <f>'2-δικαιώμ'!J6</f>
        <v>0.14650000000000002</v>
      </c>
      <c r="I6" s="27">
        <f>'2-δικαιώμ'!K6</f>
        <v>0.6745000000000001</v>
      </c>
      <c r="J6" s="27">
        <f>'2-δικαιώμ'!L6</f>
        <v>0.13489999999999999</v>
      </c>
      <c r="K6" s="141"/>
      <c r="L6" s="141"/>
      <c r="M6" s="34"/>
      <c r="N6" s="34"/>
      <c r="O6" s="34"/>
      <c r="P6" s="141"/>
      <c r="Q6" s="34"/>
      <c r="R6" s="34"/>
      <c r="S6" s="34"/>
      <c r="T6" s="34"/>
      <c r="U6" s="141"/>
      <c r="V6" s="34">
        <f>'2-δικαιώμ'!I6+'2-δικαιώμ'!J6</f>
        <v>1.0969</v>
      </c>
      <c r="W6" s="34">
        <f>'2-δικαιώμ'!K6</f>
        <v>0.6745000000000001</v>
      </c>
      <c r="X6" s="34">
        <f>'2-δικαιώμ'!L6</f>
        <v>0.13489999999999999</v>
      </c>
      <c r="Y6" s="141"/>
      <c r="Z6" s="34"/>
      <c r="AA6" s="34"/>
      <c r="AB6" s="34"/>
      <c r="AC6" s="34"/>
      <c r="AD6" s="34"/>
    </row>
    <row r="7" spans="1:30" s="17" customFormat="1">
      <c r="A7" s="200">
        <f>'1-συμβολαια'!A7</f>
        <v>0</v>
      </c>
      <c r="B7" s="117" t="str">
        <f>'1-συμβολαια'!C7</f>
        <v>ΧΡΗΣΙΚΤΗΣΙΑ οικοπέδου 4' = 19?? ΑΓΟΡΑΠΩΛΗΣΙΑ άτυπη</v>
      </c>
      <c r="C7" s="200">
        <f>'1-συμβολαια'!D7</f>
        <v>111.11</v>
      </c>
      <c r="D7" s="27">
        <f>'8-κ-15-17'!D7</f>
        <v>0</v>
      </c>
      <c r="E7" s="27">
        <f>'8-κ-15-17'!M7</f>
        <v>0.72221500000000005</v>
      </c>
      <c r="F7" s="27">
        <f>'8-κ-15-17'!V7</f>
        <v>0.1388875</v>
      </c>
      <c r="G7" s="27">
        <f>'2-δικαιώμ'!I7</f>
        <v>0.95040000000000002</v>
      </c>
      <c r="H7" s="27">
        <f>'2-δικαιώμ'!J7</f>
        <v>0.14650000000000002</v>
      </c>
      <c r="I7" s="27">
        <f>'2-δικαιώμ'!K7</f>
        <v>0.6745000000000001</v>
      </c>
      <c r="J7" s="27">
        <f>'2-δικαιώμ'!L7</f>
        <v>0.13489999999999999</v>
      </c>
      <c r="K7" s="141"/>
      <c r="L7" s="141"/>
      <c r="M7" s="34"/>
      <c r="N7" s="34"/>
      <c r="O7" s="34"/>
      <c r="P7" s="141"/>
      <c r="Q7" s="34"/>
      <c r="R7" s="34"/>
      <c r="S7" s="34"/>
      <c r="T7" s="34"/>
      <c r="U7" s="141"/>
      <c r="V7" s="34">
        <f>'2-δικαιώμ'!I7+'2-δικαιώμ'!J7</f>
        <v>1.0969</v>
      </c>
      <c r="W7" s="34">
        <f>'2-δικαιώμ'!K7</f>
        <v>0.6745000000000001</v>
      </c>
      <c r="X7" s="34">
        <f>'2-δικαιώμ'!L7</f>
        <v>0.13489999999999999</v>
      </c>
      <c r="Y7" s="141"/>
      <c r="Z7" s="34"/>
      <c r="AA7" s="34"/>
      <c r="AB7" s="34"/>
      <c r="AC7" s="34"/>
      <c r="AD7" s="34"/>
    </row>
    <row r="8" spans="1:30" s="17" customFormat="1">
      <c r="A8" s="200">
        <f>'1-συμβολαια'!A8</f>
        <v>0</v>
      </c>
      <c r="B8" s="117" t="str">
        <f>'1-συμβολαια'!C8</f>
        <v>ΧΡΗΣΙΚΤΗΣΙΑ αγροτεμαχίου 8' = 19??? ΑΓΟΡΑΠΩΛΗΣΙΑ άτυπη</v>
      </c>
      <c r="C8" s="200">
        <f>'1-συμβολαια'!D8</f>
        <v>1111.1099999999999</v>
      </c>
      <c r="D8" s="27">
        <f>'8-κ-15-17'!D8</f>
        <v>0</v>
      </c>
      <c r="E8" s="27">
        <f>'8-κ-15-17'!M8</f>
        <v>7.2222150000000003</v>
      </c>
      <c r="F8" s="27">
        <f>'8-κ-15-17'!V8</f>
        <v>1.3888874999999998</v>
      </c>
      <c r="G8" s="27">
        <f>'2-δικαιώμ'!I8</f>
        <v>1.8008351999999996</v>
      </c>
      <c r="H8" s="27">
        <f>'2-δικαιώμ'!J8</f>
        <v>0.14650000000000002</v>
      </c>
      <c r="I8" s="27">
        <f>'2-δικαιώμ'!K8</f>
        <v>1.1469639999999999</v>
      </c>
      <c r="J8" s="27">
        <f>'2-δικαιώμ'!L8</f>
        <v>0.22939279999999998</v>
      </c>
      <c r="K8" s="141"/>
      <c r="L8" s="141"/>
      <c r="M8" s="34"/>
      <c r="N8" s="34"/>
      <c r="O8" s="34"/>
      <c r="P8" s="141"/>
      <c r="Q8" s="34"/>
      <c r="R8" s="34"/>
      <c r="S8" s="34"/>
      <c r="T8" s="34"/>
      <c r="U8" s="141"/>
      <c r="V8" s="34">
        <f>'2-δικαιώμ'!I8+'2-δικαιώμ'!J8</f>
        <v>1.9473351999999997</v>
      </c>
      <c r="W8" s="34">
        <f>'2-δικαιώμ'!K8</f>
        <v>1.1469639999999999</v>
      </c>
      <c r="X8" s="34">
        <f>'2-δικαιώμ'!L8</f>
        <v>0.22939279999999998</v>
      </c>
      <c r="Y8" s="141"/>
      <c r="Z8" s="34"/>
      <c r="AA8" s="34"/>
      <c r="AB8" s="34"/>
      <c r="AC8" s="34"/>
      <c r="AD8" s="34"/>
    </row>
    <row r="9" spans="1:30" s="17" customFormat="1">
      <c r="A9" s="200" t="str">
        <f>'1-συμβολαια'!A9</f>
        <v>11ο</v>
      </c>
      <c r="B9" s="117" t="str">
        <f>'1-συμβολαια'!C9</f>
        <v>κληρονομιάς ΑΠΟΔΟΧΗ</v>
      </c>
      <c r="C9" s="200">
        <f>'1-συμβολαια'!D9</f>
        <v>0</v>
      </c>
      <c r="D9" s="27">
        <f>'8-κ-15-17'!D9</f>
        <v>0</v>
      </c>
      <c r="E9" s="27">
        <f>'8-κ-15-17'!M9</f>
        <v>0</v>
      </c>
      <c r="F9" s="27">
        <f>'8-κ-15-17'!V9</f>
        <v>0</v>
      </c>
      <c r="G9" s="27">
        <f>'2-δικαιώμ'!I9</f>
        <v>0</v>
      </c>
      <c r="H9" s="27">
        <f>'2-δικαιώμ'!J9</f>
        <v>1.4675000000000002</v>
      </c>
      <c r="I9" s="27">
        <f>'2-δικαιώμ'!K9</f>
        <v>1.4675000000000002</v>
      </c>
      <c r="J9" s="27">
        <f>'2-δικαιώμ'!L9</f>
        <v>0.29350000000000004</v>
      </c>
      <c r="K9" s="141"/>
      <c r="L9" s="141"/>
      <c r="M9" s="34"/>
      <c r="N9" s="34"/>
      <c r="O9" s="34"/>
      <c r="P9" s="141"/>
      <c r="Q9" s="34"/>
      <c r="R9" s="34"/>
      <c r="S9" s="34"/>
      <c r="T9" s="34"/>
      <c r="U9" s="141"/>
      <c r="V9" s="34">
        <f>'2-δικαιώμ'!I9+'2-δικαιώμ'!J9</f>
        <v>1.4675000000000002</v>
      </c>
      <c r="W9" s="34">
        <f>'2-δικαιώμ'!K9</f>
        <v>1.4675000000000002</v>
      </c>
      <c r="X9" s="34">
        <f>'2-δικαιώμ'!L9</f>
        <v>0.29350000000000004</v>
      </c>
      <c r="Y9" s="141"/>
      <c r="Z9" s="34"/>
      <c r="AA9" s="34"/>
      <c r="AB9" s="34"/>
      <c r="AC9" s="34"/>
      <c r="AD9" s="34"/>
    </row>
    <row r="10" spans="1:30" s="17" customFormat="1">
      <c r="A10" s="200">
        <f>'1-συμβολαια'!A10</f>
        <v>0</v>
      </c>
      <c r="B10" s="117" t="str">
        <f>'1-συμβολαια'!C10</f>
        <v>ΧΡΗΣΙΚΤΗΣΙΑ οικοπέδου &amp; οικοδομής = 1992 αδερφού ΚΛΗΡΟΝΟΜΙΑ άτυπη</v>
      </c>
      <c r="C10" s="200">
        <f>'1-συμβολαια'!D10</f>
        <v>1111.1099999999999</v>
      </c>
      <c r="D10" s="27">
        <f>'8-κ-15-17'!D10</f>
        <v>0</v>
      </c>
      <c r="E10" s="27">
        <f>'8-κ-15-17'!M10</f>
        <v>7.2222150000000003</v>
      </c>
      <c r="F10" s="27">
        <f>'8-κ-15-17'!V10</f>
        <v>1.3888874999999998</v>
      </c>
      <c r="G10" s="27">
        <f>'2-δικαιώμ'!I10</f>
        <v>1.8008351999999996</v>
      </c>
      <c r="H10" s="27">
        <f>'2-δικαιώμ'!J10</f>
        <v>0.14650000000000002</v>
      </c>
      <c r="I10" s="27">
        <f>'2-δικαιώμ'!K10</f>
        <v>1.1469639999999999</v>
      </c>
      <c r="J10" s="27">
        <f>'2-δικαιώμ'!L10</f>
        <v>0.22939279999999998</v>
      </c>
      <c r="K10" s="141"/>
      <c r="L10" s="141"/>
      <c r="M10" s="34"/>
      <c r="N10" s="34"/>
      <c r="O10" s="34"/>
      <c r="P10" s="141"/>
      <c r="Q10" s="34"/>
      <c r="R10" s="34"/>
      <c r="S10" s="34"/>
      <c r="T10" s="34"/>
      <c r="U10" s="141"/>
      <c r="V10" s="34">
        <f>'2-δικαιώμ'!I10+'2-δικαιώμ'!J10</f>
        <v>1.9473351999999997</v>
      </c>
      <c r="W10" s="34">
        <f>'2-δικαιώμ'!K10</f>
        <v>1.1469639999999999</v>
      </c>
      <c r="X10" s="34">
        <f>'2-δικαιώμ'!L10</f>
        <v>0.22939279999999998</v>
      </c>
      <c r="Y10" s="141"/>
      <c r="Z10" s="34"/>
      <c r="AA10" s="34"/>
      <c r="AB10" s="34"/>
      <c r="AC10" s="34"/>
      <c r="AD10" s="34"/>
    </row>
    <row r="11" spans="1:30" s="17" customFormat="1">
      <c r="A11" s="200">
        <f>'1-συμβολαια'!A11</f>
        <v>0</v>
      </c>
      <c r="B11" s="117" t="str">
        <f>'1-συμβολαια'!C11</f>
        <v>ΧΡΗΣΙΚΤΗΣΙΑ οικοπέδων 2'-3' = 1992 αδερφού ΚΛΗΡΟΝΟΜΙΑ άτυπη</v>
      </c>
      <c r="C11" s="200">
        <f>'1-συμβολαια'!D11</f>
        <v>1111.1099999999999</v>
      </c>
      <c r="D11" s="27">
        <f>'8-κ-15-17'!D11</f>
        <v>0</v>
      </c>
      <c r="E11" s="27">
        <f>'8-κ-15-17'!M11</f>
        <v>7.2222150000000003</v>
      </c>
      <c r="F11" s="27">
        <f>'8-κ-15-17'!V11</f>
        <v>1.3888874999999998</v>
      </c>
      <c r="G11" s="27">
        <f>'2-δικαιώμ'!I11</f>
        <v>1.8008351999999996</v>
      </c>
      <c r="H11" s="27">
        <f>'2-δικαιώμ'!J11</f>
        <v>0.14650000000000002</v>
      </c>
      <c r="I11" s="27">
        <f>'2-δικαιώμ'!K11</f>
        <v>1.1469639999999999</v>
      </c>
      <c r="J11" s="27">
        <f>'2-δικαιώμ'!L11</f>
        <v>0.22939279999999998</v>
      </c>
      <c r="K11" s="141"/>
      <c r="L11" s="141"/>
      <c r="M11" s="34"/>
      <c r="N11" s="34"/>
      <c r="O11" s="34"/>
      <c r="P11" s="141"/>
      <c r="Q11" s="34"/>
      <c r="R11" s="34"/>
      <c r="S11" s="34"/>
      <c r="T11" s="34"/>
      <c r="U11" s="141"/>
      <c r="V11" s="34">
        <f>'2-δικαιώμ'!I11+'2-δικαιώμ'!J11</f>
        <v>1.9473351999999997</v>
      </c>
      <c r="W11" s="34">
        <f>'2-δικαιώμ'!K11</f>
        <v>1.1469639999999999</v>
      </c>
      <c r="X11" s="34">
        <f>'2-δικαιώμ'!L11</f>
        <v>0.22939279999999998</v>
      </c>
      <c r="Y11" s="141"/>
      <c r="Z11" s="34"/>
      <c r="AA11" s="34"/>
      <c r="AB11" s="34"/>
      <c r="AC11" s="34"/>
      <c r="AD11" s="34"/>
    </row>
    <row r="12" spans="1:30" s="17" customFormat="1">
      <c r="A12" s="200">
        <f>'1-συμβολαια'!A12</f>
        <v>0</v>
      </c>
      <c r="B12" s="117" t="str">
        <f>'1-συμβολαια'!C12</f>
        <v>ΧΡΗΣΙΚΤΗΣΙΑ αγροτεμαχίου 9' = 1968 μητρός ΚΛΗΡΟΝΟΜΙΑ άτυπη</v>
      </c>
      <c r="C12" s="200">
        <f>'1-συμβολαια'!D12</f>
        <v>111.11</v>
      </c>
      <c r="D12" s="27">
        <f>'8-κ-15-17'!D12</f>
        <v>0</v>
      </c>
      <c r="E12" s="27">
        <f>'8-κ-15-17'!M12</f>
        <v>0.72221500000000005</v>
      </c>
      <c r="F12" s="27">
        <f>'8-κ-15-17'!V12</f>
        <v>0.1388875</v>
      </c>
      <c r="G12" s="27">
        <f>'2-δικαιώμ'!I12</f>
        <v>0.95040000000000002</v>
      </c>
      <c r="H12" s="27">
        <f>'2-δικαιώμ'!J12</f>
        <v>0.14650000000000002</v>
      </c>
      <c r="I12" s="27">
        <f>'2-δικαιώμ'!K12</f>
        <v>0.6745000000000001</v>
      </c>
      <c r="J12" s="27">
        <f>'2-δικαιώμ'!L12</f>
        <v>0.13489999999999999</v>
      </c>
      <c r="K12" s="141"/>
      <c r="L12" s="141"/>
      <c r="M12" s="34"/>
      <c r="N12" s="34"/>
      <c r="O12" s="34"/>
      <c r="P12" s="141"/>
      <c r="Q12" s="34"/>
      <c r="R12" s="34"/>
      <c r="S12" s="34"/>
      <c r="T12" s="34"/>
      <c r="U12" s="141"/>
      <c r="V12" s="34">
        <f>'2-δικαιώμ'!I12+'2-δικαιώμ'!J12</f>
        <v>1.0969</v>
      </c>
      <c r="W12" s="34">
        <f>'2-δικαιώμ'!K12</f>
        <v>0.6745000000000001</v>
      </c>
      <c r="X12" s="34">
        <f>'2-δικαιώμ'!L12</f>
        <v>0.13489999999999999</v>
      </c>
      <c r="Y12" s="141"/>
      <c r="Z12" s="34"/>
      <c r="AA12" s="34"/>
      <c r="AB12" s="34"/>
      <c r="AC12" s="34"/>
      <c r="AD12" s="34"/>
    </row>
    <row r="13" spans="1:30" s="17" customFormat="1">
      <c r="A13" s="200">
        <f>'1-συμβολαια'!A13</f>
        <v>0</v>
      </c>
      <c r="B13" s="117" t="str">
        <f>'1-συμβολαια'!C13</f>
        <v>ΧΡΗΣΙΚΤΗΣΙΑ οικοπέδου 4' = 19?? ΑΓΟΡΑΠΩΛΗΣΙΑ άτυπη</v>
      </c>
      <c r="C13" s="200">
        <f>'1-συμβολαια'!D13</f>
        <v>111.11</v>
      </c>
      <c r="D13" s="27">
        <f>'8-κ-15-17'!D13</f>
        <v>0</v>
      </c>
      <c r="E13" s="27">
        <f>'8-κ-15-17'!M13</f>
        <v>0.72221500000000005</v>
      </c>
      <c r="F13" s="27">
        <f>'8-κ-15-17'!V13</f>
        <v>0.1388875</v>
      </c>
      <c r="G13" s="27">
        <f>'2-δικαιώμ'!I13</f>
        <v>0.95040000000000002</v>
      </c>
      <c r="H13" s="27">
        <f>'2-δικαιώμ'!J13</f>
        <v>0.14650000000000002</v>
      </c>
      <c r="I13" s="27">
        <f>'2-δικαιώμ'!K13</f>
        <v>0.6745000000000001</v>
      </c>
      <c r="J13" s="27">
        <f>'2-δικαιώμ'!L13</f>
        <v>0.13489999999999999</v>
      </c>
      <c r="K13" s="141"/>
      <c r="L13" s="141"/>
      <c r="M13" s="34"/>
      <c r="N13" s="34"/>
      <c r="O13" s="34"/>
      <c r="P13" s="141"/>
      <c r="Q13" s="34"/>
      <c r="R13" s="34"/>
      <c r="S13" s="34"/>
      <c r="T13" s="34"/>
      <c r="U13" s="141"/>
      <c r="V13" s="34">
        <f>'2-δικαιώμ'!I13+'2-δικαιώμ'!J13</f>
        <v>1.0969</v>
      </c>
      <c r="W13" s="34">
        <f>'2-δικαιώμ'!K13</f>
        <v>0.6745000000000001</v>
      </c>
      <c r="X13" s="34">
        <f>'2-δικαιώμ'!L13</f>
        <v>0.13489999999999999</v>
      </c>
      <c r="Y13" s="141"/>
      <c r="Z13" s="34"/>
      <c r="AA13" s="34"/>
      <c r="AB13" s="34"/>
      <c r="AC13" s="34"/>
      <c r="AD13" s="34"/>
    </row>
    <row r="14" spans="1:30" s="17" customFormat="1">
      <c r="A14" s="200">
        <f>'1-συμβολαια'!A14</f>
        <v>0</v>
      </c>
      <c r="B14" s="117" t="str">
        <f>'1-συμβολαια'!C14</f>
        <v>ΧΡΗΣΙΚΤΗΣΙΑ αγροτεμαχίου 8' = 19??? ΑΓΟΡΑΠΩΛΗΣΙΑ άτυπη</v>
      </c>
      <c r="C14" s="200">
        <f>'1-συμβολαια'!D14</f>
        <v>1111.1099999999999</v>
      </c>
      <c r="D14" s="27">
        <f>'8-κ-15-17'!D14</f>
        <v>0</v>
      </c>
      <c r="E14" s="27">
        <f>'8-κ-15-17'!M14</f>
        <v>7.2222150000000003</v>
      </c>
      <c r="F14" s="27">
        <f>'8-κ-15-17'!V14</f>
        <v>1.3888874999999998</v>
      </c>
      <c r="G14" s="27">
        <f>'2-δικαιώμ'!I14</f>
        <v>1.8008351999999996</v>
      </c>
      <c r="H14" s="27">
        <f>'2-δικαιώμ'!J14</f>
        <v>0.14650000000000002</v>
      </c>
      <c r="I14" s="27">
        <f>'2-δικαιώμ'!K14</f>
        <v>1.1469639999999999</v>
      </c>
      <c r="J14" s="27">
        <f>'2-δικαιώμ'!L14</f>
        <v>0.22939279999999998</v>
      </c>
      <c r="K14" s="141"/>
      <c r="L14" s="141"/>
      <c r="M14" s="34"/>
      <c r="N14" s="34"/>
      <c r="O14" s="34"/>
      <c r="P14" s="141"/>
      <c r="Q14" s="34"/>
      <c r="R14" s="34"/>
      <c r="S14" s="34"/>
      <c r="T14" s="34"/>
      <c r="U14" s="141"/>
      <c r="V14" s="34">
        <f>'2-δικαιώμ'!I14+'2-δικαιώμ'!J14</f>
        <v>1.9473351999999997</v>
      </c>
      <c r="W14" s="34">
        <f>'2-δικαιώμ'!K14</f>
        <v>1.1469639999999999</v>
      </c>
      <c r="X14" s="34">
        <f>'2-δικαιώμ'!L14</f>
        <v>0.22939279999999998</v>
      </c>
      <c r="Y14" s="141"/>
      <c r="Z14" s="34"/>
      <c r="AA14" s="34"/>
      <c r="AB14" s="34"/>
      <c r="AC14" s="34"/>
      <c r="AD14" s="34"/>
    </row>
    <row r="15" spans="1:30" s="17" customFormat="1">
      <c r="A15" s="200" t="str">
        <f>'1-συμβολαια'!A15</f>
        <v>12ο</v>
      </c>
      <c r="B15" s="117" t="str">
        <f>'1-συμβολαια'!C15</f>
        <v>κληρονομιάς ΑΠΟΔΟΧΗ</v>
      </c>
      <c r="C15" s="200">
        <f>'1-συμβολαια'!D15</f>
        <v>0</v>
      </c>
      <c r="D15" s="27">
        <f>'8-κ-15-17'!D15</f>
        <v>0</v>
      </c>
      <c r="E15" s="27">
        <f>'8-κ-15-17'!M15</f>
        <v>0</v>
      </c>
      <c r="F15" s="27">
        <f>'8-κ-15-17'!V15</f>
        <v>0</v>
      </c>
      <c r="G15" s="27">
        <f>'2-δικαιώμ'!I15</f>
        <v>0</v>
      </c>
      <c r="H15" s="27">
        <f>'2-δικαιώμ'!J15</f>
        <v>1.4675000000000002</v>
      </c>
      <c r="I15" s="27">
        <f>'2-δικαιώμ'!K15</f>
        <v>1.4675000000000002</v>
      </c>
      <c r="J15" s="27">
        <f>'2-δικαιώμ'!L15</f>
        <v>0.29350000000000004</v>
      </c>
      <c r="K15" s="141"/>
      <c r="L15" s="141"/>
      <c r="M15" s="34"/>
      <c r="N15" s="34"/>
      <c r="O15" s="34"/>
      <c r="P15" s="141"/>
      <c r="Q15" s="34"/>
      <c r="R15" s="34"/>
      <c r="S15" s="34"/>
      <c r="T15" s="34"/>
      <c r="U15" s="141"/>
      <c r="V15" s="34">
        <f>'2-δικαιώμ'!I15+'2-δικαιώμ'!J15</f>
        <v>1.4675000000000002</v>
      </c>
      <c r="W15" s="34">
        <f>'2-δικαιώμ'!K15</f>
        <v>1.4675000000000002</v>
      </c>
      <c r="X15" s="34">
        <f>'2-δικαιώμ'!L15</f>
        <v>0.29350000000000004</v>
      </c>
      <c r="Y15" s="141"/>
      <c r="Z15" s="34"/>
      <c r="AA15" s="34"/>
      <c r="AB15" s="34"/>
      <c r="AC15" s="34"/>
      <c r="AD15" s="34"/>
    </row>
    <row r="16" spans="1:30" s="17" customFormat="1">
      <c r="A16" s="200">
        <f>'1-συμβολαια'!A16</f>
        <v>0</v>
      </c>
      <c r="B16" s="117" t="str">
        <f>'1-συμβολαια'!C16</f>
        <v>ΧΡΗΣΙΚΤΗΣΙΑ οικοπέδου &amp; οικοδομής = 1992 αδερφού ΚΛΗΡΟΝΟΜΙΑ άτυπη</v>
      </c>
      <c r="C16" s="200">
        <f>'1-συμβολαια'!D16</f>
        <v>1111.1099999999999</v>
      </c>
      <c r="D16" s="27">
        <f>'8-κ-15-17'!D16</f>
        <v>0</v>
      </c>
      <c r="E16" s="27">
        <f>'8-κ-15-17'!M16</f>
        <v>7.2222150000000003</v>
      </c>
      <c r="F16" s="27">
        <f>'8-κ-15-17'!V16</f>
        <v>1.3888874999999998</v>
      </c>
      <c r="G16" s="27">
        <f>'2-δικαιώμ'!I16</f>
        <v>1.8008351999999996</v>
      </c>
      <c r="H16" s="27">
        <f>'2-δικαιώμ'!J16</f>
        <v>0.14650000000000002</v>
      </c>
      <c r="I16" s="27">
        <f>'2-δικαιώμ'!K16</f>
        <v>1.1469639999999999</v>
      </c>
      <c r="J16" s="27">
        <f>'2-δικαιώμ'!L16</f>
        <v>0.22939279999999998</v>
      </c>
      <c r="K16" s="141"/>
      <c r="L16" s="141"/>
      <c r="M16" s="34"/>
      <c r="N16" s="34"/>
      <c r="O16" s="34"/>
      <c r="P16" s="141"/>
      <c r="Q16" s="34"/>
      <c r="R16" s="34"/>
      <c r="S16" s="34"/>
      <c r="T16" s="34"/>
      <c r="U16" s="141"/>
      <c r="V16" s="34">
        <f>'2-δικαιώμ'!I16+'2-δικαιώμ'!J16</f>
        <v>1.9473351999999997</v>
      </c>
      <c r="W16" s="34">
        <f>'2-δικαιώμ'!K16</f>
        <v>1.1469639999999999</v>
      </c>
      <c r="X16" s="34">
        <f>'2-δικαιώμ'!L16</f>
        <v>0.22939279999999998</v>
      </c>
      <c r="Y16" s="141"/>
      <c r="Z16" s="34"/>
      <c r="AA16" s="34"/>
      <c r="AB16" s="34"/>
      <c r="AC16" s="34"/>
      <c r="AD16" s="34"/>
    </row>
    <row r="17" spans="1:30" s="17" customFormat="1">
      <c r="A17" s="200">
        <f>'1-συμβολαια'!A17</f>
        <v>0</v>
      </c>
      <c r="B17" s="117" t="str">
        <f>'1-συμβολαια'!C17</f>
        <v>ΧΡΗΣΙΚΤΗΣΙΑ οικοπέδων 2'-3' = 1992 αδερφού ΚΛΗΡΟΝΟΜΙΑ άτυπη</v>
      </c>
      <c r="C17" s="200">
        <f>'1-συμβολαια'!D17</f>
        <v>1111.1099999999999</v>
      </c>
      <c r="D17" s="27">
        <f>'8-κ-15-17'!D17</f>
        <v>0</v>
      </c>
      <c r="E17" s="27">
        <f>'8-κ-15-17'!M17</f>
        <v>7.2222150000000003</v>
      </c>
      <c r="F17" s="27">
        <f>'8-κ-15-17'!V17</f>
        <v>1.3888874999999998</v>
      </c>
      <c r="G17" s="27">
        <f>'2-δικαιώμ'!I17</f>
        <v>1.8008351999999996</v>
      </c>
      <c r="H17" s="27">
        <f>'2-δικαιώμ'!J17</f>
        <v>0.14650000000000002</v>
      </c>
      <c r="I17" s="27">
        <f>'2-δικαιώμ'!K17</f>
        <v>1.1469639999999999</v>
      </c>
      <c r="J17" s="27">
        <f>'2-δικαιώμ'!L17</f>
        <v>0.22939279999999998</v>
      </c>
      <c r="K17" s="141"/>
      <c r="L17" s="141"/>
      <c r="M17" s="34"/>
      <c r="N17" s="34"/>
      <c r="O17" s="34"/>
      <c r="P17" s="141"/>
      <c r="Q17" s="34"/>
      <c r="R17" s="34"/>
      <c r="S17" s="34"/>
      <c r="T17" s="34"/>
      <c r="U17" s="141"/>
      <c r="V17" s="34">
        <f>'2-δικαιώμ'!I17+'2-δικαιώμ'!J17</f>
        <v>1.9473351999999997</v>
      </c>
      <c r="W17" s="34">
        <f>'2-δικαιώμ'!K17</f>
        <v>1.1469639999999999</v>
      </c>
      <c r="X17" s="34">
        <f>'2-δικαιώμ'!L17</f>
        <v>0.22939279999999998</v>
      </c>
      <c r="Y17" s="141"/>
      <c r="Z17" s="34"/>
      <c r="AA17" s="34"/>
      <c r="AB17" s="34"/>
      <c r="AC17" s="34"/>
      <c r="AD17" s="34"/>
    </row>
    <row r="18" spans="1:30" s="17" customFormat="1">
      <c r="A18" s="200">
        <f>'1-συμβολαια'!A18</f>
        <v>0</v>
      </c>
      <c r="B18" s="117" t="str">
        <f>'1-συμβολαια'!C18</f>
        <v>ΧΡΗΣΙΚΤΗΣΙΑ αγροτεμαχίου 9' = 1968 μητρός ΚΛΗΡΟΝΟΜΙΑ άτυπη</v>
      </c>
      <c r="C18" s="200">
        <f>'1-συμβολαια'!D18</f>
        <v>111.11</v>
      </c>
      <c r="D18" s="27">
        <f>'8-κ-15-17'!D18</f>
        <v>0</v>
      </c>
      <c r="E18" s="27">
        <f>'8-κ-15-17'!M18</f>
        <v>0.72221500000000005</v>
      </c>
      <c r="F18" s="27">
        <f>'8-κ-15-17'!V18</f>
        <v>0.1388875</v>
      </c>
      <c r="G18" s="27">
        <f>'2-δικαιώμ'!I18</f>
        <v>0.95040000000000002</v>
      </c>
      <c r="H18" s="27">
        <f>'2-δικαιώμ'!J18</f>
        <v>0.14650000000000002</v>
      </c>
      <c r="I18" s="27">
        <f>'2-δικαιώμ'!K18</f>
        <v>0.6745000000000001</v>
      </c>
      <c r="J18" s="27">
        <f>'2-δικαιώμ'!L18</f>
        <v>0.13489999999999999</v>
      </c>
      <c r="K18" s="141"/>
      <c r="L18" s="141"/>
      <c r="M18" s="34"/>
      <c r="N18" s="34"/>
      <c r="O18" s="34"/>
      <c r="P18" s="141"/>
      <c r="Q18" s="34"/>
      <c r="R18" s="34"/>
      <c r="S18" s="34"/>
      <c r="T18" s="34"/>
      <c r="U18" s="141"/>
      <c r="V18" s="34">
        <f>'2-δικαιώμ'!I18+'2-δικαιώμ'!J18</f>
        <v>1.0969</v>
      </c>
      <c r="W18" s="34">
        <f>'2-δικαιώμ'!K18</f>
        <v>0.6745000000000001</v>
      </c>
      <c r="X18" s="34">
        <f>'2-δικαιώμ'!L18</f>
        <v>0.13489999999999999</v>
      </c>
      <c r="Y18" s="141"/>
      <c r="Z18" s="34"/>
      <c r="AA18" s="34"/>
      <c r="AB18" s="34"/>
      <c r="AC18" s="34"/>
      <c r="AD18" s="34"/>
    </row>
    <row r="19" spans="1:30" s="17" customFormat="1">
      <c r="A19" s="200">
        <f>'1-συμβολαια'!A19</f>
        <v>0</v>
      </c>
      <c r="B19" s="117" t="str">
        <f>'1-συμβολαια'!C19</f>
        <v>ΧΡΗΣΙΚΤΗΣΙΑ οικοπέδου 4' = 19?? ΑΓΟΡΑΠΩΛΗΣΙΑ άτυπη</v>
      </c>
      <c r="C19" s="200">
        <f>'1-συμβολαια'!D19</f>
        <v>111.11</v>
      </c>
      <c r="D19" s="27">
        <f>'8-κ-15-17'!D19</f>
        <v>0</v>
      </c>
      <c r="E19" s="27">
        <f>'8-κ-15-17'!M19</f>
        <v>0.72221500000000005</v>
      </c>
      <c r="F19" s="27">
        <f>'8-κ-15-17'!V19</f>
        <v>0.1388875</v>
      </c>
      <c r="G19" s="27">
        <f>'2-δικαιώμ'!I19</f>
        <v>0.95040000000000002</v>
      </c>
      <c r="H19" s="27">
        <f>'2-δικαιώμ'!J19</f>
        <v>0.14650000000000002</v>
      </c>
      <c r="I19" s="27">
        <f>'2-δικαιώμ'!K19</f>
        <v>0.6745000000000001</v>
      </c>
      <c r="J19" s="27">
        <f>'2-δικαιώμ'!L19</f>
        <v>0.13489999999999999</v>
      </c>
      <c r="K19" s="141"/>
      <c r="L19" s="141"/>
      <c r="M19" s="34"/>
      <c r="N19" s="34"/>
      <c r="O19" s="34"/>
      <c r="P19" s="141"/>
      <c r="Q19" s="34"/>
      <c r="R19" s="34"/>
      <c r="S19" s="34"/>
      <c r="T19" s="34"/>
      <c r="U19" s="141"/>
      <c r="V19" s="34">
        <f>'2-δικαιώμ'!I19+'2-δικαιώμ'!J19</f>
        <v>1.0969</v>
      </c>
      <c r="W19" s="34">
        <f>'2-δικαιώμ'!K19</f>
        <v>0.6745000000000001</v>
      </c>
      <c r="X19" s="34">
        <f>'2-δικαιώμ'!L19</f>
        <v>0.13489999999999999</v>
      </c>
      <c r="Y19" s="141"/>
      <c r="Z19" s="34"/>
      <c r="AA19" s="34"/>
      <c r="AB19" s="34"/>
      <c r="AC19" s="34"/>
      <c r="AD19" s="34"/>
    </row>
    <row r="20" spans="1:30" s="17" customFormat="1">
      <c r="A20" s="200">
        <f>'1-συμβολαια'!A20</f>
        <v>0</v>
      </c>
      <c r="B20" s="117" t="str">
        <f>'1-συμβολαια'!C20</f>
        <v>ΧΡΗΣΙΚΤΗΣΙΑ αγροτεμαχίου 8' = 19??? ΑΓΟΡΑΠΩΛΗΣΙΑ άτυπη</v>
      </c>
      <c r="C20" s="200">
        <f>'1-συμβολαια'!D20</f>
        <v>1111.1099999999999</v>
      </c>
      <c r="D20" s="27">
        <f>'8-κ-15-17'!D20</f>
        <v>0</v>
      </c>
      <c r="E20" s="27">
        <f>'8-κ-15-17'!M20</f>
        <v>7.2222150000000003</v>
      </c>
      <c r="F20" s="27">
        <f>'8-κ-15-17'!V20</f>
        <v>1.3888874999999998</v>
      </c>
      <c r="G20" s="27">
        <f>'2-δικαιώμ'!I20</f>
        <v>1.8008351999999996</v>
      </c>
      <c r="H20" s="27">
        <f>'2-δικαιώμ'!J20</f>
        <v>0.14650000000000002</v>
      </c>
      <c r="I20" s="27">
        <f>'2-δικαιώμ'!K20</f>
        <v>1.1469639999999999</v>
      </c>
      <c r="J20" s="27">
        <f>'2-δικαιώμ'!L20</f>
        <v>0.22939279999999998</v>
      </c>
      <c r="K20" s="141"/>
      <c r="L20" s="141"/>
      <c r="M20" s="34"/>
      <c r="N20" s="34"/>
      <c r="O20" s="34"/>
      <c r="P20" s="141"/>
      <c r="Q20" s="34"/>
      <c r="R20" s="34"/>
      <c r="S20" s="34"/>
      <c r="T20" s="34"/>
      <c r="U20" s="141"/>
      <c r="V20" s="34">
        <f>'2-δικαιώμ'!I20+'2-δικαιώμ'!J20</f>
        <v>1.9473351999999997</v>
      </c>
      <c r="W20" s="34">
        <f>'2-δικαιώμ'!K20</f>
        <v>1.1469639999999999</v>
      </c>
      <c r="X20" s="34">
        <f>'2-δικαιώμ'!L20</f>
        <v>0.22939279999999998</v>
      </c>
      <c r="Y20" s="141"/>
      <c r="Z20" s="34"/>
      <c r="AA20" s="34"/>
      <c r="AB20" s="34"/>
      <c r="AC20" s="34"/>
      <c r="AD20" s="34"/>
    </row>
    <row r="21" spans="1:30" s="17" customFormat="1">
      <c r="A21" s="200" t="str">
        <f>'1-συμβολαια'!A21</f>
        <v>13ο</v>
      </c>
      <c r="B21" s="117" t="str">
        <f>'1-συμβολαια'!C21</f>
        <v>κληρονομιάς ΑΠΟΔΟΧΗ</v>
      </c>
      <c r="C21" s="200">
        <f>'1-συμβολαια'!D21</f>
        <v>0</v>
      </c>
      <c r="D21" s="27">
        <f>'8-κ-15-17'!D21</f>
        <v>0</v>
      </c>
      <c r="E21" s="27">
        <f>'8-κ-15-17'!M21</f>
        <v>0</v>
      </c>
      <c r="F21" s="27">
        <f>'8-κ-15-17'!V21</f>
        <v>0</v>
      </c>
      <c r="G21" s="27">
        <f>'2-δικαιώμ'!I21</f>
        <v>0</v>
      </c>
      <c r="H21" s="27">
        <f>'2-δικαιώμ'!J21</f>
        <v>1.4675000000000002</v>
      </c>
      <c r="I21" s="27">
        <f>'2-δικαιώμ'!K21</f>
        <v>1.4675000000000002</v>
      </c>
      <c r="J21" s="27">
        <f>'2-δικαιώμ'!L21</f>
        <v>0.29350000000000004</v>
      </c>
      <c r="K21" s="141"/>
      <c r="L21" s="141"/>
      <c r="M21" s="34"/>
      <c r="N21" s="34"/>
      <c r="O21" s="34"/>
      <c r="P21" s="141"/>
      <c r="Q21" s="34"/>
      <c r="R21" s="34"/>
      <c r="S21" s="34"/>
      <c r="T21" s="34"/>
      <c r="U21" s="141"/>
      <c r="V21" s="34">
        <f>'2-δικαιώμ'!I21+'2-δικαιώμ'!J21</f>
        <v>1.4675000000000002</v>
      </c>
      <c r="W21" s="34">
        <f>'2-δικαιώμ'!K21</f>
        <v>1.4675000000000002</v>
      </c>
      <c r="X21" s="34">
        <f>'2-δικαιώμ'!L21</f>
        <v>0.29350000000000004</v>
      </c>
      <c r="Y21" s="141"/>
      <c r="Z21" s="34"/>
      <c r="AA21" s="34"/>
      <c r="AB21" s="34"/>
      <c r="AC21" s="34"/>
      <c r="AD21" s="34"/>
    </row>
    <row r="22" spans="1:30" s="17" customFormat="1">
      <c r="A22" s="200">
        <f>'1-συμβολαια'!A22</f>
        <v>0</v>
      </c>
      <c r="B22" s="117" t="str">
        <f>'1-συμβολαια'!C22</f>
        <v>ΧΡΗΣΙΚΤΗΣΙΑ οικοπέδου &amp; οικοδομής = 1992 αδερφού ΚΛΗΡΟΝΟΜΙΑ άτυπη</v>
      </c>
      <c r="C22" s="200">
        <f>'1-συμβολαια'!D22</f>
        <v>1111.1099999999999</v>
      </c>
      <c r="D22" s="27">
        <f>'8-κ-15-17'!D22</f>
        <v>0</v>
      </c>
      <c r="E22" s="27">
        <f>'8-κ-15-17'!M22</f>
        <v>7.2222150000000003</v>
      </c>
      <c r="F22" s="27">
        <f>'8-κ-15-17'!V22</f>
        <v>1.3888874999999998</v>
      </c>
      <c r="G22" s="27">
        <f>'2-δικαιώμ'!I22</f>
        <v>1.8008351999999996</v>
      </c>
      <c r="H22" s="27">
        <f>'2-δικαιώμ'!J22</f>
        <v>0.14650000000000002</v>
      </c>
      <c r="I22" s="27">
        <f>'2-δικαιώμ'!K22</f>
        <v>1.1469639999999999</v>
      </c>
      <c r="J22" s="27">
        <f>'2-δικαιώμ'!L22</f>
        <v>0.22939279999999998</v>
      </c>
      <c r="K22" s="141"/>
      <c r="L22" s="141"/>
      <c r="M22" s="34"/>
      <c r="N22" s="34"/>
      <c r="O22" s="34"/>
      <c r="P22" s="141"/>
      <c r="Q22" s="34"/>
      <c r="R22" s="34"/>
      <c r="S22" s="34"/>
      <c r="T22" s="34"/>
      <c r="U22" s="141"/>
      <c r="V22" s="34">
        <f>'2-δικαιώμ'!I22+'2-δικαιώμ'!J22</f>
        <v>1.9473351999999997</v>
      </c>
      <c r="W22" s="34">
        <f>'2-δικαιώμ'!K22</f>
        <v>1.1469639999999999</v>
      </c>
      <c r="X22" s="34">
        <f>'2-δικαιώμ'!L22</f>
        <v>0.22939279999999998</v>
      </c>
      <c r="Y22" s="141"/>
      <c r="Z22" s="34"/>
      <c r="AA22" s="34"/>
      <c r="AB22" s="34"/>
      <c r="AC22" s="34"/>
      <c r="AD22" s="34"/>
    </row>
    <row r="23" spans="1:30" s="17" customFormat="1">
      <c r="A23" s="200">
        <f>'1-συμβολαια'!A23</f>
        <v>0</v>
      </c>
      <c r="B23" s="117" t="str">
        <f>'1-συμβολαια'!C23</f>
        <v>ΧΡΗΣΙΚΤΗΣΙΑ οικοπέδων 2'-3' = 1992 αδερφού ΚΛΗΡΟΝΟΜΙΑ άτυπη</v>
      </c>
      <c r="C23" s="200">
        <f>'1-συμβολαια'!D23</f>
        <v>1111.1099999999999</v>
      </c>
      <c r="D23" s="27">
        <f>'8-κ-15-17'!D23</f>
        <v>0</v>
      </c>
      <c r="E23" s="27">
        <f>'8-κ-15-17'!M23</f>
        <v>7.2222150000000003</v>
      </c>
      <c r="F23" s="27">
        <f>'8-κ-15-17'!V23</f>
        <v>1.3888874999999998</v>
      </c>
      <c r="G23" s="27">
        <f>'2-δικαιώμ'!I23</f>
        <v>1.8008351999999996</v>
      </c>
      <c r="H23" s="27">
        <f>'2-δικαιώμ'!J23</f>
        <v>0.14650000000000002</v>
      </c>
      <c r="I23" s="27">
        <f>'2-δικαιώμ'!K23</f>
        <v>1.1469639999999999</v>
      </c>
      <c r="J23" s="27">
        <f>'2-δικαιώμ'!L23</f>
        <v>0.22939279999999998</v>
      </c>
      <c r="K23" s="141"/>
      <c r="L23" s="141"/>
      <c r="M23" s="34"/>
      <c r="N23" s="34"/>
      <c r="O23" s="34"/>
      <c r="P23" s="141"/>
      <c r="Q23" s="34"/>
      <c r="R23" s="34"/>
      <c r="S23" s="34"/>
      <c r="T23" s="34"/>
      <c r="U23" s="141"/>
      <c r="V23" s="34">
        <f>'2-δικαιώμ'!I23+'2-δικαιώμ'!J23</f>
        <v>1.9473351999999997</v>
      </c>
      <c r="W23" s="34">
        <f>'2-δικαιώμ'!K23</f>
        <v>1.1469639999999999</v>
      </c>
      <c r="X23" s="34">
        <f>'2-δικαιώμ'!L23</f>
        <v>0.22939279999999998</v>
      </c>
      <c r="Y23" s="141"/>
      <c r="Z23" s="34"/>
      <c r="AA23" s="34"/>
      <c r="AB23" s="34"/>
      <c r="AC23" s="34"/>
      <c r="AD23" s="34"/>
    </row>
    <row r="24" spans="1:30" s="17" customFormat="1">
      <c r="A24" s="200">
        <f>'1-συμβολαια'!A24</f>
        <v>0</v>
      </c>
      <c r="B24" s="117" t="str">
        <f>'1-συμβολαια'!C24</f>
        <v>ΧΡΗΣΙΚΤΗΣΙΑ αγροτεμαχίου 9' = 1968 μητρός ΚΛΗΡΟΝΟΜΙΑ άτυπη</v>
      </c>
      <c r="C24" s="200">
        <f>'1-συμβολαια'!D24</f>
        <v>111.11</v>
      </c>
      <c r="D24" s="27">
        <f>'8-κ-15-17'!D24</f>
        <v>0</v>
      </c>
      <c r="E24" s="27">
        <f>'8-κ-15-17'!M24</f>
        <v>0.72221500000000005</v>
      </c>
      <c r="F24" s="27">
        <f>'8-κ-15-17'!V24</f>
        <v>0.1388875</v>
      </c>
      <c r="G24" s="27">
        <f>'2-δικαιώμ'!I24</f>
        <v>0.95040000000000002</v>
      </c>
      <c r="H24" s="27">
        <f>'2-δικαιώμ'!J24</f>
        <v>0.14650000000000002</v>
      </c>
      <c r="I24" s="27">
        <f>'2-δικαιώμ'!K24</f>
        <v>0.6745000000000001</v>
      </c>
      <c r="J24" s="27">
        <f>'2-δικαιώμ'!L24</f>
        <v>0.13489999999999999</v>
      </c>
      <c r="K24" s="141"/>
      <c r="L24" s="141"/>
      <c r="M24" s="34"/>
      <c r="N24" s="34"/>
      <c r="O24" s="34"/>
      <c r="P24" s="141"/>
      <c r="Q24" s="34"/>
      <c r="R24" s="34"/>
      <c r="S24" s="34"/>
      <c r="T24" s="34"/>
      <c r="U24" s="141"/>
      <c r="V24" s="34">
        <f>'2-δικαιώμ'!I24+'2-δικαιώμ'!J24</f>
        <v>1.0969</v>
      </c>
      <c r="W24" s="34">
        <f>'2-δικαιώμ'!K24</f>
        <v>0.6745000000000001</v>
      </c>
      <c r="X24" s="34">
        <f>'2-δικαιώμ'!L24</f>
        <v>0.13489999999999999</v>
      </c>
      <c r="Y24" s="141"/>
      <c r="Z24" s="34"/>
      <c r="AA24" s="34"/>
      <c r="AB24" s="34"/>
      <c r="AC24" s="34"/>
      <c r="AD24" s="34"/>
    </row>
    <row r="25" spans="1:30" s="17" customFormat="1">
      <c r="A25" s="200">
        <f>'1-συμβολαια'!A25</f>
        <v>0</v>
      </c>
      <c r="B25" s="117" t="str">
        <f>'1-συμβολαια'!C25</f>
        <v>ΧΡΗΣΙΚΤΗΣΙΑ οικοπέδου 4' = 19?? ΑΓΟΡΑΠΩΛΗΣΙΑ άτυπη</v>
      </c>
      <c r="C25" s="200">
        <f>'1-συμβολαια'!D25</f>
        <v>111.11</v>
      </c>
      <c r="D25" s="27">
        <f>'8-κ-15-17'!D25</f>
        <v>0</v>
      </c>
      <c r="E25" s="27">
        <f>'8-κ-15-17'!M25</f>
        <v>0.72221500000000005</v>
      </c>
      <c r="F25" s="27">
        <f>'8-κ-15-17'!V25</f>
        <v>0.1388875</v>
      </c>
      <c r="G25" s="27">
        <f>'2-δικαιώμ'!I25</f>
        <v>0.95040000000000002</v>
      </c>
      <c r="H25" s="27">
        <f>'2-δικαιώμ'!J25</f>
        <v>0.14650000000000002</v>
      </c>
      <c r="I25" s="27">
        <f>'2-δικαιώμ'!K25</f>
        <v>0.6745000000000001</v>
      </c>
      <c r="J25" s="27">
        <f>'2-δικαιώμ'!L25</f>
        <v>0.13489999999999999</v>
      </c>
      <c r="K25" s="141"/>
      <c r="L25" s="141"/>
      <c r="M25" s="34"/>
      <c r="N25" s="34"/>
      <c r="O25" s="34"/>
      <c r="P25" s="141"/>
      <c r="Q25" s="34"/>
      <c r="R25" s="34"/>
      <c r="S25" s="34"/>
      <c r="T25" s="34"/>
      <c r="U25" s="141"/>
      <c r="V25" s="34">
        <f>'2-δικαιώμ'!I25+'2-δικαιώμ'!J25</f>
        <v>1.0969</v>
      </c>
      <c r="W25" s="34">
        <f>'2-δικαιώμ'!K25</f>
        <v>0.6745000000000001</v>
      </c>
      <c r="X25" s="34">
        <f>'2-δικαιώμ'!L25</f>
        <v>0.13489999999999999</v>
      </c>
      <c r="Y25" s="141"/>
      <c r="Z25" s="34"/>
      <c r="AA25" s="34"/>
      <c r="AB25" s="34"/>
      <c r="AC25" s="34"/>
      <c r="AD25" s="34"/>
    </row>
    <row r="26" spans="1:30" s="17" customFormat="1">
      <c r="A26" s="200">
        <f>'1-συμβολαια'!A26</f>
        <v>0</v>
      </c>
      <c r="B26" s="117" t="str">
        <f>'1-συμβολαια'!C26</f>
        <v>ΧΡΗΣΙΚΤΗΣΙΑ αγροτεμαχίου 8' = 19??? ΑΓΟΡΑΠΩΛΗΣΙΑ άτυπη</v>
      </c>
      <c r="C26" s="200">
        <f>'1-συμβολαια'!D26</f>
        <v>1111.1099999999999</v>
      </c>
      <c r="D26" s="27">
        <f>'8-κ-15-17'!D26</f>
        <v>0</v>
      </c>
      <c r="E26" s="27">
        <f>'8-κ-15-17'!M26</f>
        <v>7.2222150000000003</v>
      </c>
      <c r="F26" s="27">
        <f>'8-κ-15-17'!V26</f>
        <v>1.3888874999999998</v>
      </c>
      <c r="G26" s="27">
        <f>'2-δικαιώμ'!I26</f>
        <v>1.8008351999999996</v>
      </c>
      <c r="H26" s="27">
        <f>'2-δικαιώμ'!J26</f>
        <v>0.14650000000000002</v>
      </c>
      <c r="I26" s="27">
        <f>'2-δικαιώμ'!K26</f>
        <v>1.1469639999999999</v>
      </c>
      <c r="J26" s="27">
        <f>'2-δικαιώμ'!L26</f>
        <v>0.22939279999999998</v>
      </c>
      <c r="K26" s="141"/>
      <c r="L26" s="141"/>
      <c r="M26" s="34"/>
      <c r="N26" s="34"/>
      <c r="O26" s="34"/>
      <c r="P26" s="141"/>
      <c r="Q26" s="34"/>
      <c r="R26" s="34"/>
      <c r="S26" s="34"/>
      <c r="T26" s="34"/>
      <c r="U26" s="141"/>
      <c r="V26" s="34">
        <f>'2-δικαιώμ'!I26+'2-δικαιώμ'!J26</f>
        <v>1.9473351999999997</v>
      </c>
      <c r="W26" s="34">
        <f>'2-δικαιώμ'!K26</f>
        <v>1.1469639999999999</v>
      </c>
      <c r="X26" s="34">
        <f>'2-δικαιώμ'!L26</f>
        <v>0.22939279999999998</v>
      </c>
      <c r="Y26" s="141"/>
      <c r="Z26" s="34"/>
      <c r="AA26" s="34"/>
      <c r="AB26" s="34"/>
      <c r="AC26" s="34"/>
      <c r="AD26" s="34"/>
    </row>
    <row r="27" spans="1:30" s="17" customFormat="1">
      <c r="A27" s="200" t="str">
        <f>'1-συμβολαια'!A27</f>
        <v>14ο</v>
      </c>
      <c r="B27" s="117" t="str">
        <f>'1-συμβολαια'!C27</f>
        <v>κληρονομιάς ΑΠΟΔΟΧΗ</v>
      </c>
      <c r="C27" s="200">
        <f>'1-συμβολαια'!D27</f>
        <v>0</v>
      </c>
      <c r="D27" s="27">
        <f>'8-κ-15-17'!D27</f>
        <v>0</v>
      </c>
      <c r="E27" s="27">
        <f>'8-κ-15-17'!M27</f>
        <v>0</v>
      </c>
      <c r="F27" s="27">
        <f>'8-κ-15-17'!V27</f>
        <v>0</v>
      </c>
      <c r="G27" s="27">
        <f>'2-δικαιώμ'!I27</f>
        <v>0</v>
      </c>
      <c r="H27" s="27">
        <f>'2-δικαιώμ'!J27</f>
        <v>1.4675000000000002</v>
      </c>
      <c r="I27" s="27">
        <f>'2-δικαιώμ'!K27</f>
        <v>1.4675000000000002</v>
      </c>
      <c r="J27" s="27">
        <f>'2-δικαιώμ'!L27</f>
        <v>0.29350000000000004</v>
      </c>
      <c r="K27" s="141"/>
      <c r="L27" s="141"/>
      <c r="M27" s="34"/>
      <c r="N27" s="34"/>
      <c r="O27" s="34"/>
      <c r="P27" s="141"/>
      <c r="Q27" s="34"/>
      <c r="R27" s="34"/>
      <c r="S27" s="34"/>
      <c r="T27" s="34"/>
      <c r="U27" s="141"/>
      <c r="V27" s="34">
        <f>'2-δικαιώμ'!I27+'2-δικαιώμ'!J27</f>
        <v>1.4675000000000002</v>
      </c>
      <c r="W27" s="34">
        <f>'2-δικαιώμ'!K27</f>
        <v>1.4675000000000002</v>
      </c>
      <c r="X27" s="34">
        <f>'2-δικαιώμ'!L27</f>
        <v>0.29350000000000004</v>
      </c>
      <c r="Y27" s="141"/>
      <c r="Z27" s="34"/>
      <c r="AA27" s="34"/>
      <c r="AB27" s="34"/>
      <c r="AC27" s="34"/>
      <c r="AD27" s="34"/>
    </row>
    <row r="28" spans="1:30" s="17" customFormat="1">
      <c r="A28" s="200">
        <f>'1-συμβολαια'!A28</f>
        <v>0</v>
      </c>
      <c r="B28" s="117" t="str">
        <f>'1-συμβολαια'!C28</f>
        <v>ΧΡΗΣΙΚΤΗΣΙΑ οικοπέδου &amp; οικοδομής = 1935 πατρός ΚΛΗΡΟΝΟΜΙΑ άτυπη</v>
      </c>
      <c r="C28" s="200">
        <f>'1-συμβολαια'!D28</f>
        <v>1111.1099999999999</v>
      </c>
      <c r="D28" s="27">
        <f>'8-κ-15-17'!D28</f>
        <v>0</v>
      </c>
      <c r="E28" s="27">
        <f>'8-κ-15-17'!M28</f>
        <v>7.2222150000000003</v>
      </c>
      <c r="F28" s="27">
        <f>'8-κ-15-17'!V28</f>
        <v>1.3888874999999998</v>
      </c>
      <c r="G28" s="27">
        <f>'2-δικαιώμ'!I28</f>
        <v>1.8008351999999996</v>
      </c>
      <c r="H28" s="27">
        <f>'2-δικαιώμ'!J28</f>
        <v>0.14650000000000002</v>
      </c>
      <c r="I28" s="27">
        <f>'2-δικαιώμ'!K28</f>
        <v>1.1469639999999999</v>
      </c>
      <c r="J28" s="27">
        <f>'2-δικαιώμ'!L28</f>
        <v>0.22939279999999998</v>
      </c>
      <c r="K28" s="141"/>
      <c r="L28" s="141"/>
      <c r="M28" s="34"/>
      <c r="N28" s="34"/>
      <c r="O28" s="34"/>
      <c r="P28" s="141"/>
      <c r="Q28" s="34"/>
      <c r="R28" s="34"/>
      <c r="S28" s="34"/>
      <c r="T28" s="34"/>
      <c r="U28" s="141"/>
      <c r="V28" s="34">
        <f>'2-δικαιώμ'!I28+'2-δικαιώμ'!J28</f>
        <v>1.9473351999999997</v>
      </c>
      <c r="W28" s="34">
        <f>'2-δικαιώμ'!K28</f>
        <v>1.1469639999999999</v>
      </c>
      <c r="X28" s="34">
        <f>'2-δικαιώμ'!L28</f>
        <v>0.22939279999999998</v>
      </c>
      <c r="Y28" s="141"/>
      <c r="Z28" s="34"/>
      <c r="AA28" s="34"/>
      <c r="AB28" s="34"/>
      <c r="AC28" s="34"/>
      <c r="AD28" s="34"/>
    </row>
    <row r="29" spans="1:30" s="17" customFormat="1">
      <c r="A29" s="200">
        <f>'1-συμβολαια'!A29</f>
        <v>0</v>
      </c>
      <c r="B29" s="117" t="str">
        <f>'1-συμβολαια'!C29</f>
        <v>ΧΡΗΣΙΚΤΗΣΙΑ οικοπέδων 2'-3' = 1992 αδερφού ΚΛΗΡΟΝΟΜΙΑ άτυπη</v>
      </c>
      <c r="C29" s="200">
        <f>'1-συμβολαια'!D29</f>
        <v>1111.1099999999999</v>
      </c>
      <c r="D29" s="27">
        <f>'8-κ-15-17'!D29</f>
        <v>0</v>
      </c>
      <c r="E29" s="27">
        <f>'8-κ-15-17'!M29</f>
        <v>7.2222150000000003</v>
      </c>
      <c r="F29" s="27">
        <f>'8-κ-15-17'!V29</f>
        <v>1.3888874999999998</v>
      </c>
      <c r="G29" s="27">
        <f>'2-δικαιώμ'!I29</f>
        <v>1.8008351999999996</v>
      </c>
      <c r="H29" s="27">
        <f>'2-δικαιώμ'!J29</f>
        <v>0.14650000000000002</v>
      </c>
      <c r="I29" s="27">
        <f>'2-δικαιώμ'!K29</f>
        <v>1.1469639999999999</v>
      </c>
      <c r="J29" s="27">
        <f>'2-δικαιώμ'!L29</f>
        <v>0.22939279999999998</v>
      </c>
      <c r="K29" s="141"/>
      <c r="L29" s="141"/>
      <c r="M29" s="34"/>
      <c r="N29" s="34"/>
      <c r="O29" s="34"/>
      <c r="P29" s="141"/>
      <c r="Q29" s="34"/>
      <c r="R29" s="34"/>
      <c r="S29" s="34"/>
      <c r="T29" s="34"/>
      <c r="U29" s="141"/>
      <c r="V29" s="34">
        <f>'2-δικαιώμ'!I29+'2-δικαιώμ'!J29</f>
        <v>1.9473351999999997</v>
      </c>
      <c r="W29" s="34">
        <f>'2-δικαιώμ'!K29</f>
        <v>1.1469639999999999</v>
      </c>
      <c r="X29" s="34">
        <f>'2-δικαιώμ'!L29</f>
        <v>0.22939279999999998</v>
      </c>
      <c r="Y29" s="141"/>
      <c r="Z29" s="34"/>
      <c r="AA29" s="34"/>
      <c r="AB29" s="34"/>
      <c r="AC29" s="34"/>
      <c r="AD29" s="34"/>
    </row>
    <row r="30" spans="1:30" s="17" customFormat="1">
      <c r="A30" s="200">
        <f>'1-συμβολαια'!A30</f>
        <v>0</v>
      </c>
      <c r="B30" s="117" t="str">
        <f>'1-συμβολαια'!C30</f>
        <v>ΧΡΗΣΙΚΤΗΣΙΑ αγροτεμαχίου 9' = 1968 μητρός ΚΛΗΡΟΝΟΜΙΑ άτυπη</v>
      </c>
      <c r="C30" s="200">
        <f>'1-συμβολαια'!D30</f>
        <v>111.11</v>
      </c>
      <c r="D30" s="27">
        <f>'8-κ-15-17'!D30</f>
        <v>0</v>
      </c>
      <c r="E30" s="27">
        <f>'8-κ-15-17'!M30</f>
        <v>0.72221500000000005</v>
      </c>
      <c r="F30" s="27">
        <f>'8-κ-15-17'!V30</f>
        <v>0.1388875</v>
      </c>
      <c r="G30" s="27">
        <f>'2-δικαιώμ'!I30</f>
        <v>0.95040000000000002</v>
      </c>
      <c r="H30" s="27">
        <f>'2-δικαιώμ'!J30</f>
        <v>0.14650000000000002</v>
      </c>
      <c r="I30" s="27">
        <f>'2-δικαιώμ'!K30</f>
        <v>0.6745000000000001</v>
      </c>
      <c r="J30" s="27">
        <f>'2-δικαιώμ'!L30</f>
        <v>0.13489999999999999</v>
      </c>
      <c r="K30" s="141"/>
      <c r="L30" s="141"/>
      <c r="M30" s="34"/>
      <c r="N30" s="34"/>
      <c r="O30" s="34"/>
      <c r="P30" s="141"/>
      <c r="Q30" s="34"/>
      <c r="R30" s="34"/>
      <c r="S30" s="34"/>
      <c r="T30" s="34"/>
      <c r="U30" s="141"/>
      <c r="V30" s="34">
        <f>'2-δικαιώμ'!I30+'2-δικαιώμ'!J30</f>
        <v>1.0969</v>
      </c>
      <c r="W30" s="34">
        <f>'2-δικαιώμ'!K30</f>
        <v>0.6745000000000001</v>
      </c>
      <c r="X30" s="34">
        <f>'2-δικαιώμ'!L30</f>
        <v>0.13489999999999999</v>
      </c>
      <c r="Y30" s="141"/>
      <c r="Z30" s="34"/>
      <c r="AA30" s="34"/>
      <c r="AB30" s="34"/>
      <c r="AC30" s="34"/>
      <c r="AD30" s="34"/>
    </row>
    <row r="31" spans="1:30" s="17" customFormat="1">
      <c r="A31" s="200">
        <f>'1-συμβολαια'!A31</f>
        <v>0</v>
      </c>
      <c r="B31" s="117" t="str">
        <f>'1-συμβολαια'!C31</f>
        <v>ΧΡΗΣΙΚΤΗΣΙΑ οικοπέδου 4' = 19?? ΑΓΟΡΑΠΩΛΗΣΙΑ άτυπη</v>
      </c>
      <c r="C31" s="200">
        <f>'1-συμβολαια'!D31</f>
        <v>111.11</v>
      </c>
      <c r="D31" s="27">
        <f>'8-κ-15-17'!D31</f>
        <v>0</v>
      </c>
      <c r="E31" s="27">
        <f>'8-κ-15-17'!M31</f>
        <v>0.72221500000000005</v>
      </c>
      <c r="F31" s="27">
        <f>'8-κ-15-17'!V31</f>
        <v>0.1388875</v>
      </c>
      <c r="G31" s="27">
        <f>'2-δικαιώμ'!I31</f>
        <v>0.95040000000000002</v>
      </c>
      <c r="H31" s="27">
        <f>'2-δικαιώμ'!J31</f>
        <v>0.14650000000000002</v>
      </c>
      <c r="I31" s="27">
        <f>'2-δικαιώμ'!K31</f>
        <v>0.6745000000000001</v>
      </c>
      <c r="J31" s="27">
        <f>'2-δικαιώμ'!L31</f>
        <v>0.13489999999999999</v>
      </c>
      <c r="K31" s="141"/>
      <c r="L31" s="141"/>
      <c r="M31" s="34"/>
      <c r="N31" s="34"/>
      <c r="O31" s="34"/>
      <c r="P31" s="141"/>
      <c r="Q31" s="34"/>
      <c r="R31" s="34"/>
      <c r="S31" s="34"/>
      <c r="T31" s="34"/>
      <c r="U31" s="141"/>
      <c r="V31" s="34">
        <f>'2-δικαιώμ'!I31+'2-δικαιώμ'!J31</f>
        <v>1.0969</v>
      </c>
      <c r="W31" s="34">
        <f>'2-δικαιώμ'!K31</f>
        <v>0.6745000000000001</v>
      </c>
      <c r="X31" s="34">
        <f>'2-δικαιώμ'!L31</f>
        <v>0.13489999999999999</v>
      </c>
      <c r="Y31" s="141"/>
      <c r="Z31" s="34"/>
      <c r="AA31" s="34"/>
      <c r="AB31" s="34"/>
      <c r="AC31" s="34"/>
      <c r="AD31" s="34"/>
    </row>
    <row r="32" spans="1:30" s="17" customFormat="1">
      <c r="A32" s="200">
        <f>'1-συμβολαια'!A32</f>
        <v>0</v>
      </c>
      <c r="B32" s="117" t="str">
        <f>'1-συμβολαια'!C32</f>
        <v>ΧΡΗΣΙΚΤΗΣΙΑ αγροτεμαχίου 8' = 19??? ΑΓΟΡΑΠΩΛΗΣΙΑ άτυπη</v>
      </c>
      <c r="C32" s="200">
        <f>'1-συμβολαια'!D32</f>
        <v>1111.1099999999999</v>
      </c>
      <c r="D32" s="27">
        <f>'8-κ-15-17'!D32</f>
        <v>0</v>
      </c>
      <c r="E32" s="27">
        <f>'8-κ-15-17'!M32</f>
        <v>7.2222150000000003</v>
      </c>
      <c r="F32" s="27">
        <f>'8-κ-15-17'!V32</f>
        <v>1.3888874999999998</v>
      </c>
      <c r="G32" s="27">
        <f>'2-δικαιώμ'!I32</f>
        <v>1.8008351999999996</v>
      </c>
      <c r="H32" s="27">
        <f>'2-δικαιώμ'!J32</f>
        <v>0.14650000000000002</v>
      </c>
      <c r="I32" s="27">
        <f>'2-δικαιώμ'!K32</f>
        <v>1.1469639999999999</v>
      </c>
      <c r="J32" s="27">
        <f>'2-δικαιώμ'!L32</f>
        <v>0.22939279999999998</v>
      </c>
      <c r="K32" s="141"/>
      <c r="L32" s="141"/>
      <c r="M32" s="34"/>
      <c r="N32" s="34"/>
      <c r="O32" s="34"/>
      <c r="P32" s="141"/>
      <c r="Q32" s="34"/>
      <c r="R32" s="34"/>
      <c r="S32" s="34"/>
      <c r="T32" s="34"/>
      <c r="U32" s="141"/>
      <c r="V32" s="34">
        <f>'2-δικαιώμ'!I32+'2-δικαιώμ'!J32</f>
        <v>1.9473351999999997</v>
      </c>
      <c r="W32" s="34">
        <f>'2-δικαιώμ'!K32</f>
        <v>1.1469639999999999</v>
      </c>
      <c r="X32" s="34">
        <f>'2-δικαιώμ'!L32</f>
        <v>0.22939279999999998</v>
      </c>
      <c r="Y32" s="141"/>
      <c r="Z32" s="34"/>
      <c r="AA32" s="34"/>
      <c r="AB32" s="34"/>
      <c r="AC32" s="34"/>
      <c r="AD32" s="34"/>
    </row>
    <row r="33" spans="1:30" s="17" customFormat="1">
      <c r="A33" s="200" t="str">
        <f>'1-συμβολαια'!A33</f>
        <v>15ο</v>
      </c>
      <c r="B33" s="117" t="str">
        <f>'1-συμβολαια'!C33</f>
        <v>αγοραπωλησία τίμημα = Δ.Ο.Υ. =</v>
      </c>
      <c r="C33" s="200">
        <f>'1-συμβολαια'!D33</f>
        <v>8237.2199999999993</v>
      </c>
      <c r="D33" s="27">
        <f>'8-κ-15-17'!D33</f>
        <v>0</v>
      </c>
      <c r="E33" s="27">
        <f>'8-κ-15-17'!M33</f>
        <v>0</v>
      </c>
      <c r="F33" s="27">
        <f>'8-κ-15-17'!V33</f>
        <v>0</v>
      </c>
      <c r="G33" s="27">
        <f>'2-δικαιώμ'!I33</f>
        <v>9.4970339999999993</v>
      </c>
      <c r="H33" s="27">
        <f>'2-δικαιώμ'!J33</f>
        <v>0.14650000000000002</v>
      </c>
      <c r="I33" s="27">
        <f>'2-δικαιώμ'!K33</f>
        <v>5.4226299999999998</v>
      </c>
      <c r="J33" s="27">
        <f>'2-δικαιώμ'!L33</f>
        <v>1.0845259999999999</v>
      </c>
      <c r="K33" s="141"/>
      <c r="L33" s="141"/>
      <c r="M33" s="34"/>
      <c r="N33" s="34"/>
      <c r="O33" s="34"/>
      <c r="P33" s="141"/>
      <c r="Q33" s="34"/>
      <c r="R33" s="34"/>
      <c r="S33" s="34"/>
      <c r="T33" s="34"/>
      <c r="U33" s="141"/>
      <c r="V33" s="34">
        <f>'2-δικαιώμ'!I33+'2-δικαιώμ'!J33</f>
        <v>9.6435339999999989</v>
      </c>
      <c r="W33" s="34">
        <f>'2-δικαιώμ'!K33</f>
        <v>5.4226299999999998</v>
      </c>
      <c r="X33" s="34">
        <f>'2-δικαιώμ'!L33</f>
        <v>1.0845259999999999</v>
      </c>
      <c r="Y33" s="141"/>
      <c r="Z33" s="34"/>
      <c r="AA33" s="34"/>
      <c r="AB33" s="34"/>
      <c r="AC33" s="34"/>
      <c r="AD33" s="34"/>
    </row>
    <row r="34" spans="1:30" s="17" customFormat="1">
      <c r="A34" s="200" t="str">
        <f>'1-συμβολαια'!A34</f>
        <v>16ο</v>
      </c>
      <c r="B34" s="117" t="str">
        <f>'1-συμβολαια'!C34</f>
        <v>πληρεξούσιο</v>
      </c>
      <c r="C34" s="200">
        <f>'1-συμβολαια'!D34</f>
        <v>0</v>
      </c>
      <c r="D34" s="27">
        <f>'8-κ-15-17'!D34</f>
        <v>0</v>
      </c>
      <c r="E34" s="27">
        <f>'8-κ-15-17'!M34</f>
        <v>0</v>
      </c>
      <c r="F34" s="27">
        <f>'8-κ-15-17'!V34</f>
        <v>0</v>
      </c>
      <c r="G34" s="27">
        <f>'2-δικαιώμ'!I34</f>
        <v>0</v>
      </c>
      <c r="H34" s="27">
        <f>'2-δικαιώμ'!J34</f>
        <v>0.44000000000000006</v>
      </c>
      <c r="I34" s="27">
        <f>'2-δικαιώμ'!K34</f>
        <v>0.44000000000000006</v>
      </c>
      <c r="J34" s="27">
        <f>'2-δικαιώμ'!L34</f>
        <v>8.8000000000000009E-2</v>
      </c>
      <c r="K34" s="141"/>
      <c r="L34" s="141"/>
      <c r="M34" s="34"/>
      <c r="N34" s="34"/>
      <c r="O34" s="34"/>
      <c r="P34" s="141"/>
      <c r="Q34" s="34"/>
      <c r="R34" s="34"/>
      <c r="S34" s="34"/>
      <c r="T34" s="34"/>
      <c r="U34" s="141"/>
      <c r="V34" s="34">
        <f>'2-δικαιώμ'!I34+'2-δικαιώμ'!J34</f>
        <v>0.44000000000000006</v>
      </c>
      <c r="W34" s="34">
        <f>'2-δικαιώμ'!K34</f>
        <v>0.44000000000000006</v>
      </c>
      <c r="X34" s="34">
        <f>'2-δικαιώμ'!L34</f>
        <v>8.8000000000000009E-2</v>
      </c>
      <c r="Y34" s="141"/>
      <c r="Z34" s="34"/>
      <c r="AA34" s="34"/>
      <c r="AB34" s="34"/>
      <c r="AC34" s="34"/>
      <c r="AD34" s="34"/>
    </row>
    <row r="35" spans="1:30" s="17" customFormat="1">
      <c r="A35" s="200" t="str">
        <f>'1-συμβολαια'!A35</f>
        <v>17ο</v>
      </c>
      <c r="B35" s="117" t="str">
        <f>'1-συμβολαια'!C35</f>
        <v>πληρεξούσιο</v>
      </c>
      <c r="C35" s="200">
        <f>'1-συμβολαια'!D35</f>
        <v>0</v>
      </c>
      <c r="D35" s="27">
        <f>'8-κ-15-17'!D35</f>
        <v>0</v>
      </c>
      <c r="E35" s="27">
        <f>'8-κ-15-17'!M35</f>
        <v>0</v>
      </c>
      <c r="F35" s="27">
        <f>'8-κ-15-17'!V35</f>
        <v>0</v>
      </c>
      <c r="G35" s="27">
        <f>'2-δικαιώμ'!I35</f>
        <v>0</v>
      </c>
      <c r="H35" s="27">
        <f>'2-δικαιώμ'!J35</f>
        <v>0.44000000000000006</v>
      </c>
      <c r="I35" s="27">
        <f>'2-δικαιώμ'!K35</f>
        <v>0.44000000000000006</v>
      </c>
      <c r="J35" s="27">
        <f>'2-δικαιώμ'!L35</f>
        <v>8.8000000000000009E-2</v>
      </c>
      <c r="K35" s="141"/>
      <c r="L35" s="141"/>
      <c r="M35" s="34"/>
      <c r="N35" s="34"/>
      <c r="O35" s="34"/>
      <c r="P35" s="141"/>
      <c r="Q35" s="34"/>
      <c r="R35" s="34"/>
      <c r="S35" s="34"/>
      <c r="T35" s="34"/>
      <c r="U35" s="141"/>
      <c r="V35" s="34">
        <f>'2-δικαιώμ'!I35+'2-δικαιώμ'!J35</f>
        <v>0.44000000000000006</v>
      </c>
      <c r="W35" s="34">
        <f>'2-δικαιώμ'!K35</f>
        <v>0.44000000000000006</v>
      </c>
      <c r="X35" s="34">
        <f>'2-δικαιώμ'!L35</f>
        <v>8.8000000000000009E-2</v>
      </c>
      <c r="Y35" s="141"/>
      <c r="Z35" s="34"/>
      <c r="AA35" s="34"/>
      <c r="AB35" s="34"/>
      <c r="AC35" s="34"/>
      <c r="AD35" s="34"/>
    </row>
    <row r="36" spans="1:30" s="17" customFormat="1">
      <c r="A36" s="200" t="str">
        <f>'1-συμβολαια'!A36</f>
        <v>18ο</v>
      </c>
      <c r="B36" s="117" t="str">
        <f>'1-συμβολαια'!C36</f>
        <v>αποδοχή κληρονομιάς</v>
      </c>
      <c r="C36" s="200">
        <f>'1-συμβολαια'!D36</f>
        <v>0</v>
      </c>
      <c r="D36" s="27">
        <f>'8-κ-15-17'!D36</f>
        <v>0</v>
      </c>
      <c r="E36" s="27">
        <f>'8-κ-15-17'!M36</f>
        <v>0</v>
      </c>
      <c r="F36" s="27">
        <f>'8-κ-15-17'!V36</f>
        <v>0</v>
      </c>
      <c r="G36" s="27">
        <f>'2-δικαιώμ'!I36</f>
        <v>0</v>
      </c>
      <c r="H36" s="27">
        <f>'2-δικαιώμ'!J36</f>
        <v>1.4675000000000002</v>
      </c>
      <c r="I36" s="27">
        <f>'2-δικαιώμ'!K36</f>
        <v>1.4675000000000002</v>
      </c>
      <c r="J36" s="27">
        <f>'2-δικαιώμ'!L36</f>
        <v>0.29350000000000004</v>
      </c>
      <c r="K36" s="141"/>
      <c r="L36" s="141"/>
      <c r="M36" s="34"/>
      <c r="N36" s="34"/>
      <c r="O36" s="34"/>
      <c r="P36" s="141"/>
      <c r="Q36" s="34"/>
      <c r="R36" s="34"/>
      <c r="S36" s="34"/>
      <c r="T36" s="34"/>
      <c r="U36" s="141"/>
      <c r="V36" s="34">
        <f>'2-δικαιώμ'!I36+'2-δικαιώμ'!J36</f>
        <v>1.4675000000000002</v>
      </c>
      <c r="W36" s="34">
        <f>'2-δικαιώμ'!K36</f>
        <v>1.4675000000000002</v>
      </c>
      <c r="X36" s="34">
        <f>'2-δικαιώμ'!L36</f>
        <v>0.29350000000000004</v>
      </c>
      <c r="Y36" s="141"/>
      <c r="Z36" s="34"/>
      <c r="AA36" s="34"/>
      <c r="AB36" s="34"/>
      <c r="AC36" s="34"/>
      <c r="AD36" s="34"/>
    </row>
    <row r="37" spans="1:30" s="17" customFormat="1">
      <c r="A37" s="200">
        <f>'1-συμβολαια'!A37</f>
        <v>0</v>
      </c>
      <c r="B37" s="117" t="str">
        <f>'1-συμβολαια'!C37</f>
        <v>ΧΡΗΣΙΚΤΗΣΙΑ  αγροτεμαχίου -1 = αναδασμός ΑΛΛΑ πριν ΑΓΟΡΑΠΩΛΗΣΙΑ άτυπος από ;;;??? το 19???</v>
      </c>
      <c r="C37" s="200">
        <f>'1-συμβολαια'!D37</f>
        <v>3333.33</v>
      </c>
      <c r="D37" s="27">
        <f>'8-κ-15-17'!D37</f>
        <v>0</v>
      </c>
      <c r="E37" s="27">
        <f>'8-κ-15-17'!M37</f>
        <v>21.666645000000003</v>
      </c>
      <c r="F37" s="27">
        <f>'8-κ-15-17'!V37</f>
        <v>4.1666625000000002</v>
      </c>
      <c r="G37" s="27">
        <f>'2-δικαιώμ'!I37</f>
        <v>4.2008327999999997</v>
      </c>
      <c r="H37" s="27">
        <f>'2-δικαιώμ'!J37</f>
        <v>0.14650000000000002</v>
      </c>
      <c r="I37" s="27">
        <f>'2-δικαιώμ'!K37</f>
        <v>2.4802960000000001</v>
      </c>
      <c r="J37" s="27">
        <f>'2-δικαιώμ'!L37</f>
        <v>0.49605919999999998</v>
      </c>
      <c r="K37" s="141"/>
      <c r="L37" s="141"/>
      <c r="M37" s="34"/>
      <c r="N37" s="34"/>
      <c r="O37" s="34"/>
      <c r="P37" s="141"/>
      <c r="Q37" s="34"/>
      <c r="R37" s="34"/>
      <c r="S37" s="34"/>
      <c r="T37" s="34"/>
      <c r="U37" s="141"/>
      <c r="V37" s="34">
        <f>'2-δικαιώμ'!I37+'2-δικαιώμ'!J37</f>
        <v>4.3473327999999993</v>
      </c>
      <c r="W37" s="34">
        <f>'2-δικαιώμ'!K37</f>
        <v>2.4802960000000001</v>
      </c>
      <c r="X37" s="34">
        <f>'2-δικαιώμ'!L37</f>
        <v>0.49605919999999998</v>
      </c>
      <c r="Y37" s="141"/>
      <c r="Z37" s="34"/>
      <c r="AA37" s="34"/>
      <c r="AB37" s="34"/>
      <c r="AC37" s="34"/>
      <c r="AD37" s="34"/>
    </row>
    <row r="38" spans="1:30" s="17" customFormat="1">
      <c r="A38" s="200">
        <f>'1-συμβολαια'!A38</f>
        <v>0</v>
      </c>
      <c r="B38" s="117" t="str">
        <f>'1-συμβολαια'!C38</f>
        <v>ΧΡΗΣΙΚΤΗΣΙΑ  οικοπέδου -2 = 19?? ως αγροτεμάχιο με ΑΝΑΔΑΣΜΟ</v>
      </c>
      <c r="C38" s="200">
        <f>'1-συμβολαια'!D38</f>
        <v>33333.33</v>
      </c>
      <c r="D38" s="27">
        <f>'8-κ-15-17'!D38</f>
        <v>0</v>
      </c>
      <c r="E38" s="27">
        <f>'8-κ-15-17'!M38</f>
        <v>216.66664500000002</v>
      </c>
      <c r="F38" s="27">
        <f>'8-κ-15-17'!V38</f>
        <v>41.666662500000001</v>
      </c>
      <c r="G38" s="27">
        <f>'2-δικαιώμ'!I38</f>
        <v>36.600832800000006</v>
      </c>
      <c r="H38" s="27">
        <f>'2-δικαιώμ'!J38</f>
        <v>0.14650000000000002</v>
      </c>
      <c r="I38" s="27">
        <f>'2-δικαιώμ'!K38</f>
        <v>20.480296000000006</v>
      </c>
      <c r="J38" s="27">
        <f>'2-δικαιώμ'!L38</f>
        <v>4.0960592000000009</v>
      </c>
      <c r="K38" s="141"/>
      <c r="L38" s="141"/>
      <c r="M38" s="34"/>
      <c r="N38" s="34"/>
      <c r="O38" s="34"/>
      <c r="P38" s="141"/>
      <c r="Q38" s="34"/>
      <c r="R38" s="34"/>
      <c r="S38" s="34"/>
      <c r="T38" s="34"/>
      <c r="U38" s="141"/>
      <c r="V38" s="34">
        <f>'2-δικαιώμ'!I38+'2-δικαιώμ'!J38</f>
        <v>36.747332800000009</v>
      </c>
      <c r="W38" s="34">
        <f>'2-δικαιώμ'!K38</f>
        <v>20.480296000000006</v>
      </c>
      <c r="X38" s="34">
        <f>'2-δικαιώμ'!L38</f>
        <v>4.0960592000000009</v>
      </c>
      <c r="Y38" s="141"/>
      <c r="Z38" s="34"/>
      <c r="AA38" s="34"/>
      <c r="AB38" s="34"/>
      <c r="AC38" s="34"/>
      <c r="AD38" s="34"/>
    </row>
    <row r="39" spans="1:30" s="17" customFormat="1">
      <c r="A39" s="200">
        <f>'1-συμβολαια'!A39</f>
        <v>0</v>
      </c>
      <c r="B39" s="117" t="str">
        <f>'1-συμβολαια'!C39</f>
        <v>ΧΡΗΣΙΚΤΗΣΙΑ  οικοπέδου -4 = 19?? ;;;???</v>
      </c>
      <c r="C39" s="200">
        <f>'1-συμβολαια'!D39</f>
        <v>11111.11</v>
      </c>
      <c r="D39" s="27">
        <f>'8-κ-15-17'!D39</f>
        <v>0</v>
      </c>
      <c r="E39" s="27">
        <f>'8-κ-15-17'!M39</f>
        <v>72.222215000000006</v>
      </c>
      <c r="F39" s="27">
        <f>'8-κ-15-17'!V39</f>
        <v>13.888887500000001</v>
      </c>
      <c r="G39" s="27">
        <f>'2-δικαιώμ'!I39</f>
        <v>12.600835200000001</v>
      </c>
      <c r="H39" s="27">
        <f>'2-δικαιώμ'!J39</f>
        <v>0.14650000000000002</v>
      </c>
      <c r="I39" s="27">
        <f>'2-δικαιώμ'!K39</f>
        <v>7.1469640000000014</v>
      </c>
      <c r="J39" s="27">
        <f>'2-δικαιώμ'!L39</f>
        <v>1.4293928000000002</v>
      </c>
      <c r="K39" s="141"/>
      <c r="L39" s="141"/>
      <c r="M39" s="34"/>
      <c r="N39" s="34"/>
      <c r="O39" s="34"/>
      <c r="P39" s="141"/>
      <c r="Q39" s="34"/>
      <c r="R39" s="34"/>
      <c r="S39" s="34"/>
      <c r="T39" s="34"/>
      <c r="U39" s="141"/>
      <c r="V39" s="34">
        <f>'2-δικαιώμ'!I39+'2-δικαιώμ'!J39</f>
        <v>12.7473352</v>
      </c>
      <c r="W39" s="34">
        <f>'2-δικαιώμ'!K39</f>
        <v>7.1469640000000014</v>
      </c>
      <c r="X39" s="34">
        <f>'2-δικαιώμ'!L39</f>
        <v>1.4293928000000002</v>
      </c>
      <c r="Y39" s="141"/>
      <c r="Z39" s="34"/>
      <c r="AA39" s="34"/>
      <c r="AB39" s="34"/>
      <c r="AC39" s="34"/>
      <c r="AD39" s="34"/>
    </row>
    <row r="40" spans="1:30" s="17" customFormat="1">
      <c r="A40" s="200" t="str">
        <f>'1-συμβολαια'!A40</f>
        <v>19ο</v>
      </c>
      <c r="B40" s="117" t="str">
        <f>'1-συμβολαια'!C40</f>
        <v>*γονική ΨΙΛΗΣ ΚΥΡΙΟΤΗΤΑΣ</v>
      </c>
      <c r="C40" s="200">
        <f>'1-συμβολαια'!D40</f>
        <v>18629.93</v>
      </c>
      <c r="D40" s="27">
        <f>'8-κ-15-17'!D40</f>
        <v>0</v>
      </c>
      <c r="E40" s="27">
        <f>'8-κ-15-17'!M40</f>
        <v>121.09454500000001</v>
      </c>
      <c r="F40" s="27">
        <f>'8-κ-15-17'!V40</f>
        <v>23.287412500000002</v>
      </c>
      <c r="G40" s="27">
        <f>'2-δικαιώμ'!I40</f>
        <v>20.7211608</v>
      </c>
      <c r="H40" s="27">
        <f>'2-δικαιώμ'!J40</f>
        <v>0.14650000000000002</v>
      </c>
      <c r="I40" s="27">
        <f>'2-δικαιώμ'!K40</f>
        <v>11.658256000000002</v>
      </c>
      <c r="J40" s="27">
        <f>'2-δικαιώμ'!L40</f>
        <v>2.3316512000000005</v>
      </c>
      <c r="K40" s="141"/>
      <c r="L40" s="141"/>
      <c r="M40" s="34"/>
      <c r="N40" s="34"/>
      <c r="O40" s="34"/>
      <c r="P40" s="141"/>
      <c r="Q40" s="34"/>
      <c r="R40" s="34"/>
      <c r="S40" s="34"/>
      <c r="T40" s="34"/>
      <c r="U40" s="141"/>
      <c r="V40" s="34">
        <f>'2-δικαιώμ'!I40+'2-δικαιώμ'!J40</f>
        <v>20.867660799999999</v>
      </c>
      <c r="W40" s="34">
        <f>'2-δικαιώμ'!K40</f>
        <v>11.658256000000002</v>
      </c>
      <c r="X40" s="34">
        <f>'2-δικαιώμ'!L40</f>
        <v>2.3316512000000005</v>
      </c>
      <c r="Y40" s="141"/>
      <c r="Z40" s="34"/>
      <c r="AA40" s="34"/>
      <c r="AB40" s="34"/>
      <c r="AC40" s="34"/>
      <c r="AD40" s="34"/>
    </row>
    <row r="41" spans="1:30" s="17" customFormat="1">
      <c r="A41" s="200" t="str">
        <f>'1-συμβολαια'!A41</f>
        <v>20ο</v>
      </c>
      <c r="B41" s="117" t="str">
        <f>'1-συμβολαια'!C41</f>
        <v>δωρεά</v>
      </c>
      <c r="C41" s="200">
        <f>'1-συμβολαια'!D41</f>
        <v>26827.1</v>
      </c>
      <c r="D41" s="27">
        <f>'8-κ-15-17'!D41</f>
        <v>0</v>
      </c>
      <c r="E41" s="27">
        <f>'8-κ-15-17'!M41</f>
        <v>174.37615</v>
      </c>
      <c r="F41" s="27">
        <f>'8-κ-15-17'!V41</f>
        <v>33.533875000000002</v>
      </c>
      <c r="G41" s="27">
        <f>'2-δικαιώμ'!I41</f>
        <v>29.5741044</v>
      </c>
      <c r="H41" s="27">
        <f>'2-δικαιώμ'!J41</f>
        <v>0.14650000000000002</v>
      </c>
      <c r="I41" s="27">
        <f>'2-δικαιώμ'!K41</f>
        <v>16.576558000000002</v>
      </c>
      <c r="J41" s="27">
        <f>'2-δικαιώμ'!L41</f>
        <v>3.3153116000000002</v>
      </c>
      <c r="K41" s="141"/>
      <c r="L41" s="141"/>
      <c r="M41" s="34"/>
      <c r="N41" s="34"/>
      <c r="O41" s="34"/>
      <c r="P41" s="141"/>
      <c r="Q41" s="34"/>
      <c r="R41" s="34"/>
      <c r="S41" s="34"/>
      <c r="T41" s="34"/>
      <c r="U41" s="141"/>
      <c r="V41" s="34">
        <f>'2-δικαιώμ'!I41+'2-δικαιώμ'!J41</f>
        <v>29.720604399999999</v>
      </c>
      <c r="W41" s="34">
        <f>'2-δικαιώμ'!K41</f>
        <v>16.576558000000002</v>
      </c>
      <c r="X41" s="34">
        <f>'2-δικαιώμ'!L41</f>
        <v>3.3153116000000002</v>
      </c>
      <c r="Y41" s="141"/>
      <c r="Z41" s="34"/>
      <c r="AA41" s="34"/>
      <c r="AB41" s="34"/>
      <c r="AC41" s="34"/>
      <c r="AD41" s="34"/>
    </row>
    <row r="42" spans="1:30" s="17" customFormat="1">
      <c r="A42" s="200">
        <f>'1-συμβολαια'!A42</f>
        <v>0</v>
      </c>
      <c r="B42" s="117" t="str">
        <f>'1-συμβολαια'!C42</f>
        <v>χρησικτησία 1/2 οικοπέδου &amp; οικίας = συζυγου 1972 ΔΩΡΕΑ άτυπος</v>
      </c>
      <c r="C42" s="200">
        <f>'1-συμβολαια'!D42</f>
        <v>11206.2</v>
      </c>
      <c r="D42" s="27">
        <f>'8-κ-15-17'!D42</f>
        <v>0</v>
      </c>
      <c r="E42" s="27">
        <f>'8-κ-15-17'!M42</f>
        <v>72.840300000000013</v>
      </c>
      <c r="F42" s="27">
        <f>'8-κ-15-17'!V42</f>
        <v>14.007750000000001</v>
      </c>
      <c r="G42" s="27">
        <f>'2-δικαιώμ'!I42</f>
        <v>12.7035324</v>
      </c>
      <c r="H42" s="27">
        <f>'2-δικαιώμ'!J42</f>
        <v>0.14650000000000002</v>
      </c>
      <c r="I42" s="27">
        <f>'2-δικαιώμ'!K42</f>
        <v>7.2040180000000014</v>
      </c>
      <c r="J42" s="27">
        <f>'2-δικαιώμ'!L42</f>
        <v>1.4408036000000002</v>
      </c>
      <c r="K42" s="141"/>
      <c r="L42" s="141"/>
      <c r="M42" s="34"/>
      <c r="N42" s="34"/>
      <c r="O42" s="34"/>
      <c r="P42" s="141"/>
      <c r="Q42" s="34"/>
      <c r="R42" s="34"/>
      <c r="S42" s="34"/>
      <c r="T42" s="34"/>
      <c r="U42" s="141"/>
      <c r="V42" s="34">
        <f>'2-δικαιώμ'!I42+'2-δικαιώμ'!J42</f>
        <v>12.8500324</v>
      </c>
      <c r="W42" s="34">
        <f>'2-δικαιώμ'!K42</f>
        <v>7.2040180000000014</v>
      </c>
      <c r="X42" s="34">
        <f>'2-δικαιώμ'!L42</f>
        <v>1.4408036000000002</v>
      </c>
      <c r="Y42" s="141"/>
      <c r="Z42" s="34"/>
      <c r="AA42" s="34"/>
      <c r="AB42" s="34"/>
      <c r="AC42" s="34"/>
      <c r="AD42" s="34"/>
    </row>
    <row r="43" spans="1:30">
      <c r="A43" s="819" t="str">
        <f>'1-συμβολαια'!A43</f>
        <v>σύνολο</v>
      </c>
      <c r="B43" s="820"/>
      <c r="C43" s="821"/>
      <c r="D43" s="300">
        <f t="shared" ref="D43:J43" si="0">SUM(D3:D42)</f>
        <v>0</v>
      </c>
      <c r="E43" s="300">
        <f t="shared" si="0"/>
        <v>794.42187500000023</v>
      </c>
      <c r="F43" s="300">
        <f t="shared" si="0"/>
        <v>152.7734375</v>
      </c>
      <c r="G43" s="300">
        <f t="shared" si="0"/>
        <v>162.41486040000001</v>
      </c>
      <c r="H43" s="300">
        <f t="shared" si="0"/>
        <v>14.372999999999994</v>
      </c>
      <c r="I43" s="300">
        <f t="shared" si="0"/>
        <v>104.60347800000004</v>
      </c>
      <c r="J43" s="300">
        <f t="shared" si="0"/>
        <v>20.920695600000002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6" spans="1:30">
      <c r="B46" s="90"/>
      <c r="D46" s="2"/>
      <c r="E46" s="2"/>
      <c r="F46" s="2"/>
      <c r="G46" s="2"/>
      <c r="H46" s="2"/>
      <c r="I46" s="2"/>
      <c r="J46" s="2"/>
    </row>
    <row r="47" spans="1:30" ht="15.75">
      <c r="B47" s="208" t="s">
        <v>388</v>
      </c>
      <c r="D47" s="2"/>
      <c r="E47" s="2"/>
      <c r="F47" s="2"/>
      <c r="G47" s="128"/>
      <c r="H47" s="283"/>
      <c r="I47" s="284"/>
      <c r="J47" s="5"/>
      <c r="L47" s="285"/>
    </row>
    <row r="48" spans="1:30" ht="12.75">
      <c r="B48" s="209" t="s">
        <v>389</v>
      </c>
      <c r="D48" s="2"/>
      <c r="E48" s="2"/>
      <c r="F48" s="2"/>
      <c r="G48" s="2"/>
      <c r="H48" s="160"/>
      <c r="I48" s="281"/>
      <c r="L48" s="285"/>
    </row>
    <row r="49" spans="2:12" ht="15.75">
      <c r="B49" s="223" t="s">
        <v>390</v>
      </c>
      <c r="D49" s="2"/>
      <c r="E49" s="2"/>
      <c r="F49" s="2"/>
      <c r="G49" s="292"/>
      <c r="H49" s="8"/>
      <c r="I49" s="4"/>
      <c r="J49" s="5"/>
      <c r="L49" s="5"/>
    </row>
    <row r="50" spans="2:12">
      <c r="B50" s="90"/>
      <c r="D50" s="2"/>
      <c r="E50" s="2"/>
      <c r="F50" s="2"/>
      <c r="G50" s="292"/>
      <c r="H50" s="8"/>
      <c r="I50" s="4"/>
    </row>
    <row r="51" spans="2:12">
      <c r="B51" s="90"/>
      <c r="D51" s="2"/>
      <c r="E51" s="2"/>
      <c r="F51" s="2"/>
      <c r="G51" s="292"/>
      <c r="H51" s="8"/>
      <c r="I51" s="4"/>
      <c r="J51" s="5"/>
      <c r="K51" s="5"/>
      <c r="L51" s="5"/>
    </row>
    <row r="52" spans="2:12">
      <c r="B52" s="90"/>
      <c r="D52" s="2"/>
      <c r="E52" s="2"/>
      <c r="F52" s="2"/>
      <c r="G52" s="292"/>
      <c r="H52" s="8"/>
      <c r="I52" s="4"/>
      <c r="J52" s="5"/>
      <c r="K52" s="5"/>
      <c r="L52" s="5"/>
    </row>
    <row r="53" spans="2:12">
      <c r="B53" s="90"/>
      <c r="D53" s="2"/>
      <c r="E53" s="2"/>
      <c r="F53" s="2"/>
      <c r="G53" s="292"/>
      <c r="H53" s="8"/>
      <c r="I53" s="4"/>
      <c r="J53" s="5"/>
      <c r="K53" s="5"/>
      <c r="L53" s="5"/>
    </row>
    <row r="54" spans="2:12">
      <c r="B54" s="90"/>
      <c r="D54" s="2"/>
      <c r="E54" s="2"/>
      <c r="F54" s="2"/>
      <c r="G54" s="292"/>
      <c r="H54" s="8"/>
      <c r="I54" s="4"/>
      <c r="J54" s="5"/>
      <c r="K54" s="5"/>
      <c r="L54" s="5"/>
    </row>
    <row r="55" spans="2:12">
      <c r="B55" s="90"/>
      <c r="D55" s="2"/>
      <c r="E55" s="2"/>
      <c r="F55" s="2"/>
      <c r="G55" s="2"/>
      <c r="H55" s="5"/>
      <c r="I55" s="5"/>
      <c r="J55" s="5"/>
      <c r="K55" s="5"/>
      <c r="L55" s="5"/>
    </row>
    <row r="56" spans="2:12">
      <c r="G56" s="2"/>
      <c r="H56" s="5"/>
      <c r="I56" s="5"/>
      <c r="J56" s="5"/>
      <c r="K56" s="5"/>
      <c r="L56" s="5"/>
    </row>
    <row r="57" spans="2:12">
      <c r="G57" s="2"/>
      <c r="H57" s="5"/>
      <c r="I57" s="5"/>
      <c r="J57" s="5"/>
      <c r="K57" s="5"/>
      <c r="L57" s="5"/>
    </row>
    <row r="58" spans="2:12" ht="15">
      <c r="G58" s="2"/>
      <c r="H58" s="4"/>
      <c r="I58" s="297"/>
      <c r="J58" s="5"/>
      <c r="K58" s="5"/>
      <c r="L58" s="5"/>
    </row>
    <row r="59" spans="2:12" ht="15">
      <c r="G59" s="2"/>
      <c r="H59" s="2"/>
      <c r="I59" s="298"/>
      <c r="K59" s="5"/>
      <c r="L59" s="5"/>
    </row>
  </sheetData>
  <mergeCells count="13">
    <mergeCell ref="Z1:AD1"/>
    <mergeCell ref="A43:C43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53"/>
  <sheetViews>
    <sheetView workbookViewId="0">
      <pane ySplit="2" topLeftCell="A3" activePane="bottomLeft" state="frozen"/>
      <selection pane="bottomLeft" activeCell="L43" sqref="L43"/>
    </sheetView>
  </sheetViews>
  <sheetFormatPr defaultRowHeight="11.25"/>
  <cols>
    <col min="1" max="1" width="10.42578125" style="8" bestFit="1" customWidth="1"/>
    <col min="2" max="2" width="123.85546875" style="90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710" t="s">
        <v>1</v>
      </c>
      <c r="B1" s="712" t="s">
        <v>0</v>
      </c>
      <c r="C1" s="747" t="s">
        <v>7</v>
      </c>
      <c r="D1" s="839" t="s">
        <v>45</v>
      </c>
      <c r="E1" s="840"/>
      <c r="F1" s="840"/>
      <c r="G1" s="841" t="s">
        <v>399</v>
      </c>
      <c r="H1" s="842"/>
      <c r="I1" s="842"/>
      <c r="J1" s="842"/>
      <c r="K1" s="843"/>
      <c r="L1" s="837" t="s">
        <v>57</v>
      </c>
      <c r="M1" s="834" t="s">
        <v>29</v>
      </c>
      <c r="N1" s="835"/>
      <c r="O1" s="835"/>
      <c r="P1" s="835"/>
      <c r="Q1" s="835"/>
      <c r="R1" s="835"/>
      <c r="S1" s="836"/>
    </row>
    <row r="2" spans="1:19" ht="34.5" customHeight="1" thickBot="1">
      <c r="A2" s="711"/>
      <c r="B2" s="713"/>
      <c r="C2" s="748"/>
      <c r="D2" s="220" t="s">
        <v>314</v>
      </c>
      <c r="E2" s="220" t="s">
        <v>398</v>
      </c>
      <c r="F2" s="226" t="s">
        <v>89</v>
      </c>
      <c r="G2" s="224" t="s">
        <v>314</v>
      </c>
      <c r="H2" s="225" t="s">
        <v>318</v>
      </c>
      <c r="I2" s="225" t="s">
        <v>400</v>
      </c>
      <c r="J2" s="225" t="s">
        <v>319</v>
      </c>
      <c r="K2" s="222" t="s">
        <v>33</v>
      </c>
      <c r="L2" s="838"/>
      <c r="M2" s="704"/>
      <c r="N2" s="705"/>
      <c r="O2" s="705"/>
      <c r="P2" s="705"/>
      <c r="Q2" s="705"/>
      <c r="R2" s="705"/>
      <c r="S2" s="706"/>
    </row>
    <row r="3" spans="1:19" s="379" customFormat="1" ht="14.25">
      <c r="A3" s="572" t="str">
        <f>'1-συμβολαια'!A3</f>
        <v>10ο</v>
      </c>
      <c r="B3" s="377" t="str">
        <f>'1-συμβολαια'!C3</f>
        <v>κληρονομιάς ΑΠΟΔΟΧΗ</v>
      </c>
      <c r="C3" s="584">
        <f>'1-συμβολαια'!D3</f>
        <v>0</v>
      </c>
      <c r="D3" s="587"/>
      <c r="E3" s="587"/>
      <c r="F3" s="587"/>
      <c r="G3" s="587"/>
      <c r="H3" s="587"/>
      <c r="I3" s="587"/>
      <c r="J3" s="587"/>
      <c r="K3" s="378"/>
      <c r="L3" s="378"/>
      <c r="M3" s="320"/>
      <c r="N3" s="320" t="s">
        <v>405</v>
      </c>
      <c r="O3" s="320" t="s">
        <v>131</v>
      </c>
      <c r="P3" s="320" t="s">
        <v>406</v>
      </c>
      <c r="Q3" s="320" t="s">
        <v>407</v>
      </c>
      <c r="R3" s="320" t="s">
        <v>408</v>
      </c>
      <c r="S3" s="73"/>
    </row>
    <row r="4" spans="1:19" s="379" customFormat="1" ht="14.25">
      <c r="A4" s="572">
        <f>'1-συμβολαια'!A4</f>
        <v>0</v>
      </c>
      <c r="B4" s="377" t="str">
        <f>'1-συμβολαια'!C4</f>
        <v>ΧΡΗΣΙΚΤΗΣΙΑ οικοπέδου &amp; οικοδομής = 1992 αδερφού ΚΛΗΡΟΝΟΜΙΑ άτυπη</v>
      </c>
      <c r="C4" s="584">
        <f>'1-συμβολαια'!D4</f>
        <v>1111.1099999999999</v>
      </c>
      <c r="D4" s="587"/>
      <c r="E4" s="587"/>
      <c r="F4" s="587"/>
      <c r="G4" s="587"/>
      <c r="H4" s="587"/>
      <c r="I4" s="587"/>
      <c r="J4" s="587"/>
      <c r="K4" s="378"/>
      <c r="L4" s="378">
        <v>3</v>
      </c>
      <c r="M4" s="320" t="s">
        <v>133</v>
      </c>
      <c r="N4" s="320" t="s">
        <v>405</v>
      </c>
      <c r="O4" s="320" t="s">
        <v>131</v>
      </c>
      <c r="P4" s="320" t="s">
        <v>406</v>
      </c>
      <c r="Q4" s="320" t="s">
        <v>407</v>
      </c>
      <c r="R4" s="320" t="s">
        <v>408</v>
      </c>
      <c r="S4" s="73"/>
    </row>
    <row r="5" spans="1:19" s="379" customFormat="1" ht="14.25">
      <c r="A5" s="572">
        <f>'1-συμβολαια'!A5</f>
        <v>0</v>
      </c>
      <c r="B5" s="377" t="str">
        <f>'1-συμβολαια'!C5</f>
        <v>ΧΡΗΣΙΚΤΗΣΙΑ οικοπέδων 2'-3' = 1992 αδερφού ΚΛΗΡΟΝΟΜΙΑ άτυπη</v>
      </c>
      <c r="C5" s="584">
        <f>'1-συμβολαια'!D5</f>
        <v>1111.1099999999999</v>
      </c>
      <c r="D5" s="587"/>
      <c r="E5" s="587"/>
      <c r="F5" s="587"/>
      <c r="G5" s="587"/>
      <c r="H5" s="587"/>
      <c r="I5" s="587"/>
      <c r="J5" s="587"/>
      <c r="K5" s="378"/>
      <c r="L5" s="378">
        <v>3</v>
      </c>
      <c r="M5" s="320" t="s">
        <v>133</v>
      </c>
      <c r="N5" s="320" t="s">
        <v>405</v>
      </c>
      <c r="O5" s="320" t="s">
        <v>131</v>
      </c>
      <c r="P5" s="320" t="s">
        <v>406</v>
      </c>
      <c r="Q5" s="320" t="s">
        <v>407</v>
      </c>
      <c r="R5" s="320" t="s">
        <v>408</v>
      </c>
      <c r="S5" s="73"/>
    </row>
    <row r="6" spans="1:19" s="379" customFormat="1" ht="14.25">
      <c r="A6" s="572">
        <f>'1-συμβολαια'!A6</f>
        <v>0</v>
      </c>
      <c r="B6" s="377" t="str">
        <f>'1-συμβολαια'!C6</f>
        <v>ΧΡΗΣΙΚΤΗΣΙΑ αγροτεμαχίου 9' = 1968 μητρός ΚΛΗΡΟΝΟΜΙΑ άτυπη</v>
      </c>
      <c r="C6" s="584">
        <f>'1-συμβολαια'!D6</f>
        <v>111.11</v>
      </c>
      <c r="D6" s="587"/>
      <c r="E6" s="587"/>
      <c r="F6" s="587"/>
      <c r="G6" s="587"/>
      <c r="H6" s="587"/>
      <c r="I6" s="587"/>
      <c r="J6" s="587"/>
      <c r="K6" s="378"/>
      <c r="L6" s="378">
        <v>3</v>
      </c>
      <c r="M6" s="320" t="s">
        <v>133</v>
      </c>
      <c r="N6" s="320" t="s">
        <v>405</v>
      </c>
      <c r="O6" s="320" t="s">
        <v>131</v>
      </c>
      <c r="P6" s="320" t="s">
        <v>406</v>
      </c>
      <c r="Q6" s="320" t="s">
        <v>407</v>
      </c>
      <c r="R6" s="320" t="s">
        <v>408</v>
      </c>
      <c r="S6" s="73"/>
    </row>
    <row r="7" spans="1:19" s="379" customFormat="1" ht="14.25">
      <c r="A7" s="572">
        <f>'1-συμβολαια'!A7</f>
        <v>0</v>
      </c>
      <c r="B7" s="377" t="str">
        <f>'1-συμβολαια'!C7</f>
        <v>ΧΡΗΣΙΚΤΗΣΙΑ οικοπέδου 4' = 19?? ΑΓΟΡΑΠΩΛΗΣΙΑ άτυπη</v>
      </c>
      <c r="C7" s="584">
        <f>'1-συμβολαια'!D7</f>
        <v>111.11</v>
      </c>
      <c r="D7" s="587"/>
      <c r="E7" s="587"/>
      <c r="F7" s="587"/>
      <c r="G7" s="587"/>
      <c r="H7" s="587"/>
      <c r="I7" s="587"/>
      <c r="J7" s="587"/>
      <c r="K7" s="378"/>
      <c r="L7" s="378">
        <v>3</v>
      </c>
      <c r="M7" s="320" t="s">
        <v>133</v>
      </c>
      <c r="N7" s="320" t="s">
        <v>405</v>
      </c>
      <c r="O7" s="320" t="s">
        <v>131</v>
      </c>
      <c r="P7" s="320" t="s">
        <v>406</v>
      </c>
      <c r="Q7" s="320" t="s">
        <v>407</v>
      </c>
      <c r="R7" s="320" t="s">
        <v>408</v>
      </c>
      <c r="S7" s="73"/>
    </row>
    <row r="8" spans="1:19" s="379" customFormat="1" ht="15" thickBot="1">
      <c r="A8" s="576">
        <f>'1-συμβολαια'!A8</f>
        <v>0</v>
      </c>
      <c r="B8" s="577" t="str">
        <f>'1-συμβολαια'!C8</f>
        <v>ΧΡΗΣΙΚΤΗΣΙΑ αγροτεμαχίου 8' = 19??? ΑΓΟΡΑΠΩΛΗΣΙΑ άτυπη</v>
      </c>
      <c r="C8" s="585">
        <f>'1-συμβολαια'!D8</f>
        <v>1111.1099999999999</v>
      </c>
      <c r="D8" s="589"/>
      <c r="E8" s="589"/>
      <c r="F8" s="589"/>
      <c r="G8" s="589"/>
      <c r="H8" s="589"/>
      <c r="I8" s="589"/>
      <c r="J8" s="589"/>
      <c r="K8" s="590"/>
      <c r="L8" s="590">
        <v>3</v>
      </c>
      <c r="M8" s="595" t="s">
        <v>133</v>
      </c>
      <c r="N8" s="595" t="s">
        <v>405</v>
      </c>
      <c r="O8" s="595" t="s">
        <v>131</v>
      </c>
      <c r="P8" s="595" t="s">
        <v>406</v>
      </c>
      <c r="Q8" s="595" t="s">
        <v>407</v>
      </c>
      <c r="R8" s="595" t="s">
        <v>408</v>
      </c>
      <c r="S8" s="430"/>
    </row>
    <row r="9" spans="1:19" s="379" customFormat="1" ht="14.25">
      <c r="A9" s="574" t="str">
        <f>'1-συμβολαια'!A9</f>
        <v>11ο</v>
      </c>
      <c r="B9" s="575" t="str">
        <f>'1-συμβολαια'!C9</f>
        <v>κληρονομιάς ΑΠΟΔΟΧΗ</v>
      </c>
      <c r="C9" s="584">
        <f>'1-συμβολαια'!D9</f>
        <v>0</v>
      </c>
      <c r="D9" s="588"/>
      <c r="E9" s="588"/>
      <c r="F9" s="588"/>
      <c r="G9" s="588"/>
      <c r="H9" s="588"/>
      <c r="I9" s="588"/>
      <c r="J9" s="588"/>
      <c r="K9" s="378"/>
      <c r="L9" s="378"/>
      <c r="M9" s="596"/>
      <c r="N9" s="596" t="s">
        <v>405</v>
      </c>
      <c r="O9" s="596" t="s">
        <v>131</v>
      </c>
      <c r="P9" s="596" t="s">
        <v>406</v>
      </c>
      <c r="Q9" s="596" t="s">
        <v>407</v>
      </c>
      <c r="R9" s="596" t="s">
        <v>408</v>
      </c>
      <c r="S9" s="428"/>
    </row>
    <row r="10" spans="1:19" s="379" customFormat="1" ht="14.25">
      <c r="A10" s="573">
        <f>'1-συμβολαια'!A10</f>
        <v>0</v>
      </c>
      <c r="B10" s="377" t="str">
        <f>'1-συμβολαια'!C10</f>
        <v>ΧΡΗΣΙΚΤΗΣΙΑ οικοπέδου &amp; οικοδομής = 1992 αδερφού ΚΛΗΡΟΝΟΜΙΑ άτυπη</v>
      </c>
      <c r="C10" s="584">
        <f>'1-συμβολαια'!D10</f>
        <v>1111.1099999999999</v>
      </c>
      <c r="D10" s="587"/>
      <c r="E10" s="587"/>
      <c r="F10" s="587"/>
      <c r="G10" s="587"/>
      <c r="H10" s="587"/>
      <c r="I10" s="587"/>
      <c r="J10" s="587"/>
      <c r="K10" s="378"/>
      <c r="L10" s="378">
        <v>3</v>
      </c>
      <c r="M10" s="320" t="s">
        <v>133</v>
      </c>
      <c r="N10" s="320" t="s">
        <v>405</v>
      </c>
      <c r="O10" s="320" t="s">
        <v>131</v>
      </c>
      <c r="P10" s="320" t="s">
        <v>406</v>
      </c>
      <c r="Q10" s="320" t="s">
        <v>407</v>
      </c>
      <c r="R10" s="320" t="s">
        <v>408</v>
      </c>
      <c r="S10" s="73"/>
    </row>
    <row r="11" spans="1:19" s="379" customFormat="1" ht="14.25">
      <c r="A11" s="573">
        <f>'1-συμβολαια'!A11</f>
        <v>0</v>
      </c>
      <c r="B11" s="377" t="str">
        <f>'1-συμβολαια'!C11</f>
        <v>ΧΡΗΣΙΚΤΗΣΙΑ οικοπέδων 2'-3' = 1992 αδερφού ΚΛΗΡΟΝΟΜΙΑ άτυπη</v>
      </c>
      <c r="C11" s="584">
        <f>'1-συμβολαια'!D11</f>
        <v>1111.1099999999999</v>
      </c>
      <c r="D11" s="587"/>
      <c r="E11" s="587"/>
      <c r="F11" s="587"/>
      <c r="G11" s="587"/>
      <c r="H11" s="587"/>
      <c r="I11" s="587"/>
      <c r="J11" s="587"/>
      <c r="K11" s="378"/>
      <c r="L11" s="378">
        <v>3</v>
      </c>
      <c r="M11" s="320" t="s">
        <v>133</v>
      </c>
      <c r="N11" s="320" t="s">
        <v>405</v>
      </c>
      <c r="O11" s="320" t="s">
        <v>131</v>
      </c>
      <c r="P11" s="320" t="s">
        <v>406</v>
      </c>
      <c r="Q11" s="320" t="s">
        <v>407</v>
      </c>
      <c r="R11" s="320" t="s">
        <v>408</v>
      </c>
      <c r="S11" s="73"/>
    </row>
    <row r="12" spans="1:19" s="379" customFormat="1" ht="14.25">
      <c r="A12" s="573">
        <f>'1-συμβολαια'!A12</f>
        <v>0</v>
      </c>
      <c r="B12" s="377" t="str">
        <f>'1-συμβολαια'!C12</f>
        <v>ΧΡΗΣΙΚΤΗΣΙΑ αγροτεμαχίου 9' = 1968 μητρός ΚΛΗΡΟΝΟΜΙΑ άτυπη</v>
      </c>
      <c r="C12" s="584">
        <f>'1-συμβολαια'!D12</f>
        <v>111.11</v>
      </c>
      <c r="D12" s="587"/>
      <c r="E12" s="587"/>
      <c r="F12" s="587"/>
      <c r="G12" s="587"/>
      <c r="H12" s="587"/>
      <c r="I12" s="587"/>
      <c r="J12" s="587"/>
      <c r="K12" s="378"/>
      <c r="L12" s="378">
        <v>3</v>
      </c>
      <c r="M12" s="320" t="s">
        <v>133</v>
      </c>
      <c r="N12" s="320" t="s">
        <v>405</v>
      </c>
      <c r="O12" s="320" t="s">
        <v>131</v>
      </c>
      <c r="P12" s="320" t="s">
        <v>406</v>
      </c>
      <c r="Q12" s="320" t="s">
        <v>407</v>
      </c>
      <c r="R12" s="320" t="s">
        <v>408</v>
      </c>
      <c r="S12" s="73"/>
    </row>
    <row r="13" spans="1:19" s="379" customFormat="1" ht="14.25">
      <c r="A13" s="573">
        <f>'1-συμβολαια'!A13</f>
        <v>0</v>
      </c>
      <c r="B13" s="377" t="str">
        <f>'1-συμβολαια'!C13</f>
        <v>ΧΡΗΣΙΚΤΗΣΙΑ οικοπέδου 4' = 19?? ΑΓΟΡΑΠΩΛΗΣΙΑ άτυπη</v>
      </c>
      <c r="C13" s="584">
        <f>'1-συμβολαια'!D13</f>
        <v>111.11</v>
      </c>
      <c r="D13" s="587"/>
      <c r="E13" s="587"/>
      <c r="F13" s="587"/>
      <c r="G13" s="587"/>
      <c r="H13" s="587"/>
      <c r="I13" s="587"/>
      <c r="J13" s="587"/>
      <c r="K13" s="378"/>
      <c r="L13" s="378">
        <v>3</v>
      </c>
      <c r="M13" s="320" t="s">
        <v>133</v>
      </c>
      <c r="N13" s="320" t="s">
        <v>405</v>
      </c>
      <c r="O13" s="320" t="s">
        <v>131</v>
      </c>
      <c r="P13" s="320" t="s">
        <v>406</v>
      </c>
      <c r="Q13" s="320" t="s">
        <v>407</v>
      </c>
      <c r="R13" s="320" t="s">
        <v>408</v>
      </c>
      <c r="S13" s="73"/>
    </row>
    <row r="14" spans="1:19" s="379" customFormat="1" ht="15" thickBot="1">
      <c r="A14" s="579">
        <f>'1-συμβολαια'!A14</f>
        <v>0</v>
      </c>
      <c r="B14" s="577" t="str">
        <f>'1-συμβολαια'!C14</f>
        <v>ΧΡΗΣΙΚΤΗΣΙΑ αγροτεμαχίου 8' = 19??? ΑΓΟΡΑΠΩΛΗΣΙΑ άτυπη</v>
      </c>
      <c r="C14" s="585">
        <f>'1-συμβολαια'!D14</f>
        <v>1111.1099999999999</v>
      </c>
      <c r="D14" s="589"/>
      <c r="E14" s="589"/>
      <c r="F14" s="589"/>
      <c r="G14" s="589"/>
      <c r="H14" s="589"/>
      <c r="I14" s="589"/>
      <c r="J14" s="589"/>
      <c r="K14" s="590"/>
      <c r="L14" s="590">
        <v>3</v>
      </c>
      <c r="M14" s="595" t="s">
        <v>133</v>
      </c>
      <c r="N14" s="595" t="s">
        <v>405</v>
      </c>
      <c r="O14" s="595" t="s">
        <v>131</v>
      </c>
      <c r="P14" s="595" t="s">
        <v>406</v>
      </c>
      <c r="Q14" s="595" t="s">
        <v>407</v>
      </c>
      <c r="R14" s="595" t="s">
        <v>408</v>
      </c>
      <c r="S14" s="430"/>
    </row>
    <row r="15" spans="1:19" s="379" customFormat="1" ht="14.25">
      <c r="A15" s="578" t="str">
        <f>'1-συμβολαια'!A15</f>
        <v>12ο</v>
      </c>
      <c r="B15" s="575" t="str">
        <f>'1-συμβολαια'!C15</f>
        <v>κληρονομιάς ΑΠΟΔΟΧΗ</v>
      </c>
      <c r="C15" s="584">
        <f>'1-συμβολαια'!D15</f>
        <v>0</v>
      </c>
      <c r="D15" s="588"/>
      <c r="E15" s="588"/>
      <c r="F15" s="588"/>
      <c r="G15" s="588"/>
      <c r="H15" s="588"/>
      <c r="I15" s="588"/>
      <c r="J15" s="588"/>
      <c r="K15" s="378"/>
      <c r="L15" s="378"/>
      <c r="M15" s="596"/>
      <c r="N15" s="596" t="s">
        <v>405</v>
      </c>
      <c r="O15" s="596" t="s">
        <v>131</v>
      </c>
      <c r="P15" s="596" t="s">
        <v>406</v>
      </c>
      <c r="Q15" s="596" t="s">
        <v>407</v>
      </c>
      <c r="R15" s="596" t="s">
        <v>408</v>
      </c>
      <c r="S15" s="428"/>
    </row>
    <row r="16" spans="1:19" s="379" customFormat="1" ht="14.25">
      <c r="A16" s="572">
        <f>'1-συμβολαια'!A16</f>
        <v>0</v>
      </c>
      <c r="B16" s="377" t="str">
        <f>'1-συμβολαια'!C16</f>
        <v>ΧΡΗΣΙΚΤΗΣΙΑ οικοπέδου &amp; οικοδομής = 1992 αδερφού ΚΛΗΡΟΝΟΜΙΑ άτυπη</v>
      </c>
      <c r="C16" s="584">
        <f>'1-συμβολαια'!D16</f>
        <v>1111.1099999999999</v>
      </c>
      <c r="D16" s="587"/>
      <c r="E16" s="587"/>
      <c r="F16" s="587"/>
      <c r="G16" s="587"/>
      <c r="H16" s="587"/>
      <c r="I16" s="587"/>
      <c r="J16" s="587"/>
      <c r="K16" s="378"/>
      <c r="L16" s="378">
        <v>3</v>
      </c>
      <c r="M16" s="320" t="s">
        <v>133</v>
      </c>
      <c r="N16" s="320" t="s">
        <v>405</v>
      </c>
      <c r="O16" s="320" t="s">
        <v>131</v>
      </c>
      <c r="P16" s="320" t="s">
        <v>406</v>
      </c>
      <c r="Q16" s="320" t="s">
        <v>407</v>
      </c>
      <c r="R16" s="320" t="s">
        <v>408</v>
      </c>
      <c r="S16" s="73"/>
    </row>
    <row r="17" spans="1:19" s="379" customFormat="1" ht="14.25">
      <c r="A17" s="572">
        <f>'1-συμβολαια'!A17</f>
        <v>0</v>
      </c>
      <c r="B17" s="377" t="str">
        <f>'1-συμβολαια'!C17</f>
        <v>ΧΡΗΣΙΚΤΗΣΙΑ οικοπέδων 2'-3' = 1992 αδερφού ΚΛΗΡΟΝΟΜΙΑ άτυπη</v>
      </c>
      <c r="C17" s="584">
        <f>'1-συμβολαια'!D17</f>
        <v>1111.1099999999999</v>
      </c>
      <c r="D17" s="587"/>
      <c r="E17" s="587"/>
      <c r="F17" s="587"/>
      <c r="G17" s="587"/>
      <c r="H17" s="587"/>
      <c r="I17" s="587"/>
      <c r="J17" s="587"/>
      <c r="K17" s="378"/>
      <c r="L17" s="378">
        <v>3</v>
      </c>
      <c r="M17" s="320" t="s">
        <v>133</v>
      </c>
      <c r="N17" s="320" t="s">
        <v>405</v>
      </c>
      <c r="O17" s="320" t="s">
        <v>131</v>
      </c>
      <c r="P17" s="320" t="s">
        <v>406</v>
      </c>
      <c r="Q17" s="320" t="s">
        <v>407</v>
      </c>
      <c r="R17" s="320" t="s">
        <v>408</v>
      </c>
      <c r="S17" s="73"/>
    </row>
    <row r="18" spans="1:19" s="379" customFormat="1" ht="14.25">
      <c r="A18" s="572">
        <f>'1-συμβολαια'!A18</f>
        <v>0</v>
      </c>
      <c r="B18" s="377" t="str">
        <f>'1-συμβολαια'!C18</f>
        <v>ΧΡΗΣΙΚΤΗΣΙΑ αγροτεμαχίου 9' = 1968 μητρός ΚΛΗΡΟΝΟΜΙΑ άτυπη</v>
      </c>
      <c r="C18" s="584">
        <f>'1-συμβολαια'!D18</f>
        <v>111.11</v>
      </c>
      <c r="D18" s="587"/>
      <c r="E18" s="587"/>
      <c r="F18" s="587"/>
      <c r="G18" s="587"/>
      <c r="H18" s="587"/>
      <c r="I18" s="587"/>
      <c r="J18" s="587"/>
      <c r="K18" s="378"/>
      <c r="L18" s="378">
        <v>3</v>
      </c>
      <c r="M18" s="320" t="s">
        <v>133</v>
      </c>
      <c r="N18" s="320" t="s">
        <v>405</v>
      </c>
      <c r="O18" s="320" t="s">
        <v>131</v>
      </c>
      <c r="P18" s="320" t="s">
        <v>406</v>
      </c>
      <c r="Q18" s="320" t="s">
        <v>407</v>
      </c>
      <c r="R18" s="320" t="s">
        <v>408</v>
      </c>
      <c r="S18" s="73"/>
    </row>
    <row r="19" spans="1:19" s="379" customFormat="1" ht="14.25">
      <c r="A19" s="572">
        <f>'1-συμβολαια'!A19</f>
        <v>0</v>
      </c>
      <c r="B19" s="377" t="str">
        <f>'1-συμβολαια'!C19</f>
        <v>ΧΡΗΣΙΚΤΗΣΙΑ οικοπέδου 4' = 19?? ΑΓΟΡΑΠΩΛΗΣΙΑ άτυπη</v>
      </c>
      <c r="C19" s="584">
        <f>'1-συμβολαια'!D19</f>
        <v>111.11</v>
      </c>
      <c r="D19" s="587"/>
      <c r="E19" s="587"/>
      <c r="F19" s="587"/>
      <c r="G19" s="587"/>
      <c r="H19" s="587"/>
      <c r="I19" s="587"/>
      <c r="J19" s="587"/>
      <c r="K19" s="378"/>
      <c r="L19" s="378">
        <v>3</v>
      </c>
      <c r="M19" s="320" t="s">
        <v>133</v>
      </c>
      <c r="N19" s="320" t="s">
        <v>405</v>
      </c>
      <c r="O19" s="320" t="s">
        <v>131</v>
      </c>
      <c r="P19" s="320" t="s">
        <v>406</v>
      </c>
      <c r="Q19" s="320" t="s">
        <v>407</v>
      </c>
      <c r="R19" s="320" t="s">
        <v>408</v>
      </c>
      <c r="S19" s="73"/>
    </row>
    <row r="20" spans="1:19" s="379" customFormat="1" ht="15" thickBot="1">
      <c r="A20" s="576">
        <f>'1-συμβολαια'!A20</f>
        <v>0</v>
      </c>
      <c r="B20" s="577" t="str">
        <f>'1-συμβολαια'!C20</f>
        <v>ΧΡΗΣΙΚΤΗΣΙΑ αγροτεμαχίου 8' = 19??? ΑΓΟΡΑΠΩΛΗΣΙΑ άτυπη</v>
      </c>
      <c r="C20" s="585">
        <f>'1-συμβολαια'!D20</f>
        <v>1111.1099999999999</v>
      </c>
      <c r="D20" s="589"/>
      <c r="E20" s="589"/>
      <c r="F20" s="589"/>
      <c r="G20" s="589"/>
      <c r="H20" s="589"/>
      <c r="I20" s="589"/>
      <c r="J20" s="589"/>
      <c r="K20" s="590"/>
      <c r="L20" s="590">
        <v>3</v>
      </c>
      <c r="M20" s="595" t="s">
        <v>133</v>
      </c>
      <c r="N20" s="595" t="s">
        <v>405</v>
      </c>
      <c r="O20" s="595" t="s">
        <v>131</v>
      </c>
      <c r="P20" s="595" t="s">
        <v>406</v>
      </c>
      <c r="Q20" s="595" t="s">
        <v>407</v>
      </c>
      <c r="R20" s="595" t="s">
        <v>408</v>
      </c>
      <c r="S20" s="430"/>
    </row>
    <row r="21" spans="1:19" s="379" customFormat="1" ht="14.25">
      <c r="A21" s="574" t="str">
        <f>'1-συμβολαια'!A21</f>
        <v>13ο</v>
      </c>
      <c r="B21" s="575" t="str">
        <f>'1-συμβολαια'!C21</f>
        <v>κληρονομιάς ΑΠΟΔΟΧΗ</v>
      </c>
      <c r="C21" s="584">
        <f>'1-συμβολαια'!D21</f>
        <v>0</v>
      </c>
      <c r="D21" s="588"/>
      <c r="E21" s="588"/>
      <c r="F21" s="588"/>
      <c r="G21" s="588"/>
      <c r="H21" s="588"/>
      <c r="I21" s="588"/>
      <c r="J21" s="588"/>
      <c r="K21" s="378"/>
      <c r="L21" s="378"/>
      <c r="M21" s="596"/>
      <c r="N21" s="596" t="s">
        <v>405</v>
      </c>
      <c r="O21" s="596" t="s">
        <v>131</v>
      </c>
      <c r="P21" s="596" t="s">
        <v>406</v>
      </c>
      <c r="Q21" s="596" t="s">
        <v>407</v>
      </c>
      <c r="R21" s="596" t="s">
        <v>408</v>
      </c>
      <c r="S21" s="428"/>
    </row>
    <row r="22" spans="1:19" s="379" customFormat="1" ht="14.25">
      <c r="A22" s="573">
        <f>'1-συμβολαια'!A22</f>
        <v>0</v>
      </c>
      <c r="B22" s="377" t="str">
        <f>'1-συμβολαια'!C22</f>
        <v>ΧΡΗΣΙΚΤΗΣΙΑ οικοπέδου &amp; οικοδομής = 1992 αδερφού ΚΛΗΡΟΝΟΜΙΑ άτυπη</v>
      </c>
      <c r="C22" s="584">
        <f>'1-συμβολαια'!D22</f>
        <v>1111.1099999999999</v>
      </c>
      <c r="D22" s="587"/>
      <c r="E22" s="587"/>
      <c r="F22" s="587"/>
      <c r="G22" s="587"/>
      <c r="H22" s="587"/>
      <c r="I22" s="587"/>
      <c r="J22" s="587"/>
      <c r="K22" s="378"/>
      <c r="L22" s="378">
        <v>3</v>
      </c>
      <c r="M22" s="320" t="s">
        <v>133</v>
      </c>
      <c r="N22" s="320" t="s">
        <v>405</v>
      </c>
      <c r="O22" s="320" t="s">
        <v>131</v>
      </c>
      <c r="P22" s="320" t="s">
        <v>406</v>
      </c>
      <c r="Q22" s="320" t="s">
        <v>407</v>
      </c>
      <c r="R22" s="320" t="s">
        <v>408</v>
      </c>
      <c r="S22" s="73"/>
    </row>
    <row r="23" spans="1:19" s="379" customFormat="1" ht="14.25">
      <c r="A23" s="573">
        <f>'1-συμβολαια'!A23</f>
        <v>0</v>
      </c>
      <c r="B23" s="377" t="str">
        <f>'1-συμβολαια'!C23</f>
        <v>ΧΡΗΣΙΚΤΗΣΙΑ οικοπέδων 2'-3' = 1992 αδερφού ΚΛΗΡΟΝΟΜΙΑ άτυπη</v>
      </c>
      <c r="C23" s="584">
        <f>'1-συμβολαια'!D23</f>
        <v>1111.1099999999999</v>
      </c>
      <c r="D23" s="587"/>
      <c r="E23" s="587"/>
      <c r="F23" s="587"/>
      <c r="G23" s="587"/>
      <c r="H23" s="587"/>
      <c r="I23" s="587"/>
      <c r="J23" s="587"/>
      <c r="K23" s="378"/>
      <c r="L23" s="378">
        <v>3</v>
      </c>
      <c r="M23" s="320" t="s">
        <v>133</v>
      </c>
      <c r="N23" s="320" t="s">
        <v>405</v>
      </c>
      <c r="O23" s="320" t="s">
        <v>131</v>
      </c>
      <c r="P23" s="320" t="s">
        <v>406</v>
      </c>
      <c r="Q23" s="320" t="s">
        <v>407</v>
      </c>
      <c r="R23" s="320" t="s">
        <v>408</v>
      </c>
      <c r="S23" s="73"/>
    </row>
    <row r="24" spans="1:19" s="379" customFormat="1" ht="14.25">
      <c r="A24" s="573">
        <f>'1-συμβολαια'!A24</f>
        <v>0</v>
      </c>
      <c r="B24" s="377" t="str">
        <f>'1-συμβολαια'!C24</f>
        <v>ΧΡΗΣΙΚΤΗΣΙΑ αγροτεμαχίου 9' = 1968 μητρός ΚΛΗΡΟΝΟΜΙΑ άτυπη</v>
      </c>
      <c r="C24" s="584">
        <f>'1-συμβολαια'!D24</f>
        <v>111.11</v>
      </c>
      <c r="D24" s="587"/>
      <c r="E24" s="587"/>
      <c r="F24" s="587"/>
      <c r="G24" s="587"/>
      <c r="H24" s="587"/>
      <c r="I24" s="587"/>
      <c r="J24" s="587"/>
      <c r="K24" s="378"/>
      <c r="L24" s="378">
        <v>3</v>
      </c>
      <c r="M24" s="320" t="s">
        <v>133</v>
      </c>
      <c r="N24" s="320" t="s">
        <v>405</v>
      </c>
      <c r="O24" s="320" t="s">
        <v>131</v>
      </c>
      <c r="P24" s="320" t="s">
        <v>406</v>
      </c>
      <c r="Q24" s="320" t="s">
        <v>407</v>
      </c>
      <c r="R24" s="320" t="s">
        <v>408</v>
      </c>
      <c r="S24" s="73"/>
    </row>
    <row r="25" spans="1:19" s="379" customFormat="1" ht="14.25">
      <c r="A25" s="573">
        <f>'1-συμβολαια'!A25</f>
        <v>0</v>
      </c>
      <c r="B25" s="377" t="str">
        <f>'1-συμβολαια'!C25</f>
        <v>ΧΡΗΣΙΚΤΗΣΙΑ οικοπέδου 4' = 19?? ΑΓΟΡΑΠΩΛΗΣΙΑ άτυπη</v>
      </c>
      <c r="C25" s="584">
        <f>'1-συμβολαια'!D25</f>
        <v>111.11</v>
      </c>
      <c r="D25" s="587"/>
      <c r="E25" s="587"/>
      <c r="F25" s="587"/>
      <c r="G25" s="587"/>
      <c r="H25" s="587"/>
      <c r="I25" s="587"/>
      <c r="J25" s="587"/>
      <c r="K25" s="378"/>
      <c r="L25" s="378">
        <v>3</v>
      </c>
      <c r="M25" s="320" t="s">
        <v>133</v>
      </c>
      <c r="N25" s="320" t="s">
        <v>405</v>
      </c>
      <c r="O25" s="320" t="s">
        <v>131</v>
      </c>
      <c r="P25" s="320" t="s">
        <v>406</v>
      </c>
      <c r="Q25" s="320" t="s">
        <v>407</v>
      </c>
      <c r="R25" s="320" t="s">
        <v>408</v>
      </c>
      <c r="S25" s="73"/>
    </row>
    <row r="26" spans="1:19" s="379" customFormat="1" ht="15" thickBot="1">
      <c r="A26" s="579">
        <f>'1-συμβολαια'!A26</f>
        <v>0</v>
      </c>
      <c r="B26" s="577" t="str">
        <f>'1-συμβολαια'!C26</f>
        <v>ΧΡΗΣΙΚΤΗΣΙΑ αγροτεμαχίου 8' = 19??? ΑΓΟΡΑΠΩΛΗΣΙΑ άτυπη</v>
      </c>
      <c r="C26" s="585">
        <f>'1-συμβολαια'!D26</f>
        <v>1111.1099999999999</v>
      </c>
      <c r="D26" s="589"/>
      <c r="E26" s="589"/>
      <c r="F26" s="589"/>
      <c r="G26" s="589"/>
      <c r="H26" s="589"/>
      <c r="I26" s="589"/>
      <c r="J26" s="589"/>
      <c r="K26" s="590"/>
      <c r="L26" s="590">
        <v>3</v>
      </c>
      <c r="M26" s="595" t="s">
        <v>133</v>
      </c>
      <c r="N26" s="595" t="s">
        <v>405</v>
      </c>
      <c r="O26" s="595" t="s">
        <v>131</v>
      </c>
      <c r="P26" s="595" t="s">
        <v>406</v>
      </c>
      <c r="Q26" s="595" t="s">
        <v>407</v>
      </c>
      <c r="R26" s="595" t="s">
        <v>408</v>
      </c>
      <c r="S26" s="430"/>
    </row>
    <row r="27" spans="1:19" s="379" customFormat="1" ht="14.25">
      <c r="A27" s="578" t="str">
        <f>'1-συμβολαια'!A27</f>
        <v>14ο</v>
      </c>
      <c r="B27" s="575" t="str">
        <f>'1-συμβολαια'!C27</f>
        <v>κληρονομιάς ΑΠΟΔΟΧΗ</v>
      </c>
      <c r="C27" s="584">
        <f>'1-συμβολαια'!D27</f>
        <v>0</v>
      </c>
      <c r="D27" s="588"/>
      <c r="E27" s="588"/>
      <c r="F27" s="588"/>
      <c r="G27" s="588"/>
      <c r="H27" s="588"/>
      <c r="I27" s="588"/>
      <c r="J27" s="588"/>
      <c r="K27" s="378"/>
      <c r="L27" s="378"/>
      <c r="M27" s="596"/>
      <c r="N27" s="596" t="s">
        <v>405</v>
      </c>
      <c r="O27" s="596" t="s">
        <v>131</v>
      </c>
      <c r="P27" s="596" t="s">
        <v>406</v>
      </c>
      <c r="Q27" s="596" t="s">
        <v>407</v>
      </c>
      <c r="R27" s="596" t="s">
        <v>408</v>
      </c>
      <c r="S27" s="428"/>
    </row>
    <row r="28" spans="1:19" s="379" customFormat="1" ht="14.25">
      <c r="A28" s="572">
        <f>'1-συμβολαια'!A28</f>
        <v>0</v>
      </c>
      <c r="B28" s="377" t="str">
        <f>'1-συμβολαια'!C28</f>
        <v>ΧΡΗΣΙΚΤΗΣΙΑ οικοπέδου &amp; οικοδομής = 1935 πατρός ΚΛΗΡΟΝΟΜΙΑ άτυπη</v>
      </c>
      <c r="C28" s="584">
        <f>'1-συμβολαια'!D28</f>
        <v>1111.1099999999999</v>
      </c>
      <c r="D28" s="587"/>
      <c r="E28" s="587"/>
      <c r="F28" s="587"/>
      <c r="G28" s="587"/>
      <c r="H28" s="587"/>
      <c r="I28" s="587"/>
      <c r="J28" s="587"/>
      <c r="K28" s="378"/>
      <c r="L28" s="378">
        <v>3</v>
      </c>
      <c r="M28" s="320" t="s">
        <v>133</v>
      </c>
      <c r="N28" s="320" t="s">
        <v>405</v>
      </c>
      <c r="O28" s="320" t="s">
        <v>131</v>
      </c>
      <c r="P28" s="320" t="s">
        <v>406</v>
      </c>
      <c r="Q28" s="320" t="s">
        <v>407</v>
      </c>
      <c r="R28" s="320" t="s">
        <v>408</v>
      </c>
      <c r="S28" s="73"/>
    </row>
    <row r="29" spans="1:19" s="379" customFormat="1" ht="14.25">
      <c r="A29" s="572">
        <f>'1-συμβολαια'!A29</f>
        <v>0</v>
      </c>
      <c r="B29" s="377" t="str">
        <f>'1-συμβολαια'!C29</f>
        <v>ΧΡΗΣΙΚΤΗΣΙΑ οικοπέδων 2'-3' = 1992 αδερφού ΚΛΗΡΟΝΟΜΙΑ άτυπη</v>
      </c>
      <c r="C29" s="584">
        <f>'1-συμβολαια'!D29</f>
        <v>1111.1099999999999</v>
      </c>
      <c r="D29" s="587"/>
      <c r="E29" s="587"/>
      <c r="F29" s="587"/>
      <c r="G29" s="587"/>
      <c r="H29" s="587"/>
      <c r="I29" s="587"/>
      <c r="J29" s="587"/>
      <c r="K29" s="378"/>
      <c r="L29" s="378">
        <v>3</v>
      </c>
      <c r="M29" s="320" t="s">
        <v>133</v>
      </c>
      <c r="N29" s="320" t="s">
        <v>405</v>
      </c>
      <c r="O29" s="320" t="s">
        <v>131</v>
      </c>
      <c r="P29" s="320" t="s">
        <v>406</v>
      </c>
      <c r="Q29" s="320" t="s">
        <v>407</v>
      </c>
      <c r="R29" s="320" t="s">
        <v>408</v>
      </c>
      <c r="S29" s="73"/>
    </row>
    <row r="30" spans="1:19" s="379" customFormat="1" ht="14.25">
      <c r="A30" s="572">
        <f>'1-συμβολαια'!A30</f>
        <v>0</v>
      </c>
      <c r="B30" s="377" t="str">
        <f>'1-συμβολαια'!C30</f>
        <v>ΧΡΗΣΙΚΤΗΣΙΑ αγροτεμαχίου 9' = 1968 μητρός ΚΛΗΡΟΝΟΜΙΑ άτυπη</v>
      </c>
      <c r="C30" s="584">
        <f>'1-συμβολαια'!D30</f>
        <v>111.11</v>
      </c>
      <c r="D30" s="587"/>
      <c r="E30" s="587"/>
      <c r="F30" s="587"/>
      <c r="G30" s="587"/>
      <c r="H30" s="587"/>
      <c r="I30" s="587"/>
      <c r="J30" s="587"/>
      <c r="K30" s="378"/>
      <c r="L30" s="378">
        <v>3</v>
      </c>
      <c r="M30" s="320" t="s">
        <v>133</v>
      </c>
      <c r="N30" s="320" t="s">
        <v>405</v>
      </c>
      <c r="O30" s="320" t="s">
        <v>131</v>
      </c>
      <c r="P30" s="320" t="s">
        <v>406</v>
      </c>
      <c r="Q30" s="320" t="s">
        <v>407</v>
      </c>
      <c r="R30" s="320" t="s">
        <v>408</v>
      </c>
      <c r="S30" s="73"/>
    </row>
    <row r="31" spans="1:19" s="379" customFormat="1" ht="14.25">
      <c r="A31" s="572">
        <f>'1-συμβολαια'!A31</f>
        <v>0</v>
      </c>
      <c r="B31" s="377" t="str">
        <f>'1-συμβολαια'!C31</f>
        <v>ΧΡΗΣΙΚΤΗΣΙΑ οικοπέδου 4' = 19?? ΑΓΟΡΑΠΩΛΗΣΙΑ άτυπη</v>
      </c>
      <c r="C31" s="584">
        <f>'1-συμβολαια'!D31</f>
        <v>111.11</v>
      </c>
      <c r="D31" s="587"/>
      <c r="E31" s="587"/>
      <c r="F31" s="587"/>
      <c r="G31" s="587"/>
      <c r="H31" s="587"/>
      <c r="I31" s="587"/>
      <c r="J31" s="587"/>
      <c r="K31" s="378"/>
      <c r="L31" s="378">
        <v>3</v>
      </c>
      <c r="M31" s="320" t="s">
        <v>133</v>
      </c>
      <c r="N31" s="320" t="s">
        <v>405</v>
      </c>
      <c r="O31" s="320" t="s">
        <v>131</v>
      </c>
      <c r="P31" s="320" t="s">
        <v>406</v>
      </c>
      <c r="Q31" s="320" t="s">
        <v>407</v>
      </c>
      <c r="R31" s="320" t="s">
        <v>408</v>
      </c>
      <c r="S31" s="73"/>
    </row>
    <row r="32" spans="1:19" s="379" customFormat="1" ht="15" thickBot="1">
      <c r="A32" s="576">
        <f>'1-συμβολαια'!A32</f>
        <v>0</v>
      </c>
      <c r="B32" s="577" t="str">
        <f>'1-συμβολαια'!C32</f>
        <v>ΧΡΗΣΙΚΤΗΣΙΑ αγροτεμαχίου 8' = 19??? ΑΓΟΡΑΠΩΛΗΣΙΑ άτυπη</v>
      </c>
      <c r="C32" s="585">
        <f>'1-συμβολαια'!D32</f>
        <v>1111.1099999999999</v>
      </c>
      <c r="D32" s="589"/>
      <c r="E32" s="589"/>
      <c r="F32" s="589"/>
      <c r="G32" s="589"/>
      <c r="H32" s="589"/>
      <c r="I32" s="589"/>
      <c r="J32" s="589"/>
      <c r="K32" s="590"/>
      <c r="L32" s="590">
        <v>3</v>
      </c>
      <c r="M32" s="595" t="s">
        <v>133</v>
      </c>
      <c r="N32" s="595" t="s">
        <v>405</v>
      </c>
      <c r="O32" s="595" t="s">
        <v>131</v>
      </c>
      <c r="P32" s="595" t="s">
        <v>406</v>
      </c>
      <c r="Q32" s="595" t="s">
        <v>407</v>
      </c>
      <c r="R32" s="595" t="s">
        <v>408</v>
      </c>
      <c r="S32" s="430"/>
    </row>
    <row r="33" spans="1:25" s="379" customFormat="1" ht="14.25">
      <c r="A33" s="580" t="str">
        <f>'1-συμβολαια'!A33</f>
        <v>15ο</v>
      </c>
      <c r="B33" s="575" t="str">
        <f>'1-συμβολαια'!C33</f>
        <v>αγοραπωλησία τίμημα = Δ.Ο.Υ. =</v>
      </c>
      <c r="C33" s="584">
        <f>'1-συμβολαια'!D33</f>
        <v>8237.2199999999993</v>
      </c>
      <c r="D33" s="588"/>
      <c r="E33" s="588"/>
      <c r="F33" s="588"/>
      <c r="G33" s="588"/>
      <c r="H33" s="588"/>
      <c r="I33" s="588"/>
      <c r="J33" s="588"/>
      <c r="K33" s="378"/>
      <c r="L33" s="378">
        <v>3</v>
      </c>
      <c r="M33" s="596" t="s">
        <v>133</v>
      </c>
      <c r="N33" s="596" t="s">
        <v>405</v>
      </c>
      <c r="O33" s="596" t="s">
        <v>131</v>
      </c>
      <c r="P33" s="596" t="s">
        <v>406</v>
      </c>
      <c r="Q33" s="596" t="s">
        <v>407</v>
      </c>
      <c r="R33" s="596" t="s">
        <v>408</v>
      </c>
      <c r="S33" s="428"/>
    </row>
    <row r="34" spans="1:25" s="379" customFormat="1" ht="14.25">
      <c r="A34" s="399" t="str">
        <f>'1-συμβολαια'!A34</f>
        <v>16ο</v>
      </c>
      <c r="B34" s="377" t="str">
        <f>'1-συμβολαια'!C34</f>
        <v>πληρεξούσιο</v>
      </c>
      <c r="C34" s="584">
        <f>'1-συμβολαια'!D34</f>
        <v>0</v>
      </c>
      <c r="D34" s="587"/>
      <c r="E34" s="587"/>
      <c r="F34" s="587"/>
      <c r="G34" s="401">
        <v>0.5</v>
      </c>
      <c r="H34" s="587"/>
      <c r="I34" s="587"/>
      <c r="J34" s="587"/>
      <c r="K34" s="378"/>
      <c r="L34" s="378">
        <v>0.5</v>
      </c>
      <c r="M34" s="320" t="s">
        <v>133</v>
      </c>
      <c r="N34" s="320"/>
      <c r="O34" s="320" t="s">
        <v>131</v>
      </c>
      <c r="P34" s="320" t="s">
        <v>406</v>
      </c>
      <c r="Q34" s="320" t="s">
        <v>407</v>
      </c>
      <c r="R34" s="320" t="s">
        <v>408</v>
      </c>
      <c r="S34" s="73"/>
    </row>
    <row r="35" spans="1:25" s="379" customFormat="1" ht="15" thickBot="1">
      <c r="A35" s="581" t="str">
        <f>'1-συμβολαια'!A35</f>
        <v>17ο</v>
      </c>
      <c r="B35" s="577" t="str">
        <f>'1-συμβολαια'!C35</f>
        <v>πληρεξούσιο</v>
      </c>
      <c r="C35" s="585">
        <f>'1-συμβολαια'!D35</f>
        <v>0</v>
      </c>
      <c r="D35" s="589"/>
      <c r="E35" s="589"/>
      <c r="F35" s="589"/>
      <c r="G35" s="590">
        <v>0.5</v>
      </c>
      <c r="H35" s="589"/>
      <c r="I35" s="589"/>
      <c r="J35" s="589"/>
      <c r="K35" s="590"/>
      <c r="L35" s="590">
        <v>0.5</v>
      </c>
      <c r="M35" s="595" t="s">
        <v>133</v>
      </c>
      <c r="N35" s="595"/>
      <c r="O35" s="595" t="s">
        <v>131</v>
      </c>
      <c r="P35" s="595" t="s">
        <v>406</v>
      </c>
      <c r="Q35" s="595" t="s">
        <v>407</v>
      </c>
      <c r="R35" s="595" t="s">
        <v>408</v>
      </c>
      <c r="S35" s="430"/>
    </row>
    <row r="36" spans="1:25" s="379" customFormat="1" ht="14.25">
      <c r="A36" s="578" t="str">
        <f>'1-συμβολαια'!A36</f>
        <v>18ο</v>
      </c>
      <c r="B36" s="575" t="str">
        <f>'1-συμβολαια'!C36</f>
        <v>αποδοχή κληρονομιάς</v>
      </c>
      <c r="C36" s="584">
        <f>'1-συμβολαια'!D36</f>
        <v>0</v>
      </c>
      <c r="D36" s="588"/>
      <c r="E36" s="588"/>
      <c r="F36" s="588"/>
      <c r="G36" s="378">
        <v>0.5</v>
      </c>
      <c r="H36" s="588"/>
      <c r="I36" s="588"/>
      <c r="J36" s="588"/>
      <c r="K36" s="378"/>
      <c r="L36" s="378">
        <v>0.5</v>
      </c>
      <c r="M36" s="596" t="s">
        <v>133</v>
      </c>
      <c r="N36" s="596"/>
      <c r="O36" s="596" t="s">
        <v>131</v>
      </c>
      <c r="P36" s="596" t="s">
        <v>406</v>
      </c>
      <c r="Q36" s="596" t="s">
        <v>407</v>
      </c>
      <c r="R36" s="596" t="s">
        <v>408</v>
      </c>
      <c r="S36" s="428"/>
    </row>
    <row r="37" spans="1:25" s="379" customFormat="1" ht="14.25">
      <c r="A37" s="572">
        <f>'1-συμβολαια'!A37</f>
        <v>0</v>
      </c>
      <c r="B37" s="377" t="str">
        <f>'1-συμβολαια'!C37</f>
        <v>ΧΡΗΣΙΚΤΗΣΙΑ  αγροτεμαχίου -1 = αναδασμός ΑΛΛΑ πριν ΑΓΟΡΑΠΩΛΗΣΙΑ άτυπος από ;;;??? το 19???</v>
      </c>
      <c r="C37" s="584">
        <f>'1-συμβολαια'!D37</f>
        <v>3333.33</v>
      </c>
      <c r="D37" s="587"/>
      <c r="E37" s="587"/>
      <c r="F37" s="587"/>
      <c r="G37" s="401"/>
      <c r="H37" s="587"/>
      <c r="I37" s="587"/>
      <c r="J37" s="587"/>
      <c r="K37" s="378"/>
      <c r="L37" s="378">
        <v>3</v>
      </c>
      <c r="M37" s="320" t="s">
        <v>133</v>
      </c>
      <c r="N37" s="320" t="s">
        <v>405</v>
      </c>
      <c r="O37" s="320" t="s">
        <v>131</v>
      </c>
      <c r="P37" s="320" t="s">
        <v>406</v>
      </c>
      <c r="Q37" s="320" t="s">
        <v>407</v>
      </c>
      <c r="R37" s="320" t="s">
        <v>408</v>
      </c>
      <c r="S37" s="73"/>
    </row>
    <row r="38" spans="1:25" s="379" customFormat="1" ht="14.25">
      <c r="A38" s="572">
        <f>'1-συμβολαια'!A38</f>
        <v>0</v>
      </c>
      <c r="B38" s="377" t="str">
        <f>'1-συμβολαια'!C38</f>
        <v>ΧΡΗΣΙΚΤΗΣΙΑ  οικοπέδου -2 = 19?? ως αγροτεμάχιο με ΑΝΑΔΑΣΜΟ</v>
      </c>
      <c r="C38" s="584">
        <f>'1-συμβολαια'!D38</f>
        <v>33333.33</v>
      </c>
      <c r="D38" s="587"/>
      <c r="E38" s="587"/>
      <c r="F38" s="587"/>
      <c r="G38" s="401"/>
      <c r="H38" s="587"/>
      <c r="I38" s="587"/>
      <c r="J38" s="587"/>
      <c r="K38" s="378"/>
      <c r="L38" s="378">
        <v>3</v>
      </c>
      <c r="M38" s="320" t="s">
        <v>133</v>
      </c>
      <c r="N38" s="320" t="s">
        <v>405</v>
      </c>
      <c r="O38" s="320" t="s">
        <v>131</v>
      </c>
      <c r="P38" s="320" t="s">
        <v>406</v>
      </c>
      <c r="Q38" s="320" t="s">
        <v>407</v>
      </c>
      <c r="R38" s="320" t="s">
        <v>408</v>
      </c>
      <c r="S38" s="73"/>
    </row>
    <row r="39" spans="1:25" s="379" customFormat="1" ht="15" thickBot="1">
      <c r="A39" s="576">
        <f>'1-συμβολαια'!A39</f>
        <v>0</v>
      </c>
      <c r="B39" s="577" t="str">
        <f>'1-συμβολαια'!C39</f>
        <v>ΧΡΗΣΙΚΤΗΣΙΑ  οικοπέδου -4 = 19?? ;;;???</v>
      </c>
      <c r="C39" s="585">
        <f>'1-συμβολαια'!D39</f>
        <v>11111.11</v>
      </c>
      <c r="D39" s="589"/>
      <c r="E39" s="589"/>
      <c r="F39" s="589"/>
      <c r="G39" s="590"/>
      <c r="H39" s="589"/>
      <c r="I39" s="589"/>
      <c r="J39" s="589"/>
      <c r="K39" s="590"/>
      <c r="L39" s="590">
        <v>3</v>
      </c>
      <c r="M39" s="595" t="s">
        <v>133</v>
      </c>
      <c r="N39" s="595" t="s">
        <v>405</v>
      </c>
      <c r="O39" s="595" t="s">
        <v>131</v>
      </c>
      <c r="P39" s="595" t="s">
        <v>406</v>
      </c>
      <c r="Q39" s="595" t="s">
        <v>407</v>
      </c>
      <c r="R39" s="595" t="s">
        <v>408</v>
      </c>
      <c r="S39" s="73"/>
    </row>
    <row r="40" spans="1:25" s="379" customFormat="1" ht="15" thickBot="1">
      <c r="A40" s="582" t="str">
        <f>'1-συμβολαια'!A40</f>
        <v>19ο</v>
      </c>
      <c r="B40" s="583" t="str">
        <f>'1-συμβολαια'!C40</f>
        <v>*γονική ΨΙΛΗΣ ΚΥΡΙΟΤΗΤΑΣ</v>
      </c>
      <c r="C40" s="586">
        <f>'1-συμβολαια'!D40</f>
        <v>18629.93</v>
      </c>
      <c r="D40" s="593"/>
      <c r="E40" s="593"/>
      <c r="F40" s="593"/>
      <c r="G40" s="594">
        <v>3</v>
      </c>
      <c r="H40" s="593"/>
      <c r="I40" s="593"/>
      <c r="J40" s="593"/>
      <c r="K40" s="594"/>
      <c r="L40" s="597">
        <v>3</v>
      </c>
      <c r="M40" s="598" t="s">
        <v>133</v>
      </c>
      <c r="N40" s="598"/>
      <c r="O40" s="598" t="s">
        <v>131</v>
      </c>
      <c r="P40" s="598" t="s">
        <v>406</v>
      </c>
      <c r="Q40" s="598" t="s">
        <v>407</v>
      </c>
      <c r="R40" s="598" t="s">
        <v>408</v>
      </c>
      <c r="S40" s="430"/>
    </row>
    <row r="41" spans="1:25" s="379" customFormat="1" ht="14.25">
      <c r="A41" s="578" t="str">
        <f>'1-συμβολαια'!A41</f>
        <v>20ο</v>
      </c>
      <c r="B41" s="575" t="str">
        <f>'1-συμβολαια'!C41</f>
        <v>δωρεά</v>
      </c>
      <c r="C41" s="584">
        <f>'1-συμβολαια'!D41</f>
        <v>26827.1</v>
      </c>
      <c r="D41" s="588"/>
      <c r="E41" s="588"/>
      <c r="F41" s="588"/>
      <c r="G41" s="378">
        <v>3</v>
      </c>
      <c r="H41" s="588"/>
      <c r="I41" s="588"/>
      <c r="J41" s="588"/>
      <c r="K41" s="378"/>
      <c r="L41" s="378">
        <v>3</v>
      </c>
      <c r="M41" s="596" t="s">
        <v>133</v>
      </c>
      <c r="N41" s="596"/>
      <c r="O41" s="596" t="s">
        <v>131</v>
      </c>
      <c r="P41" s="596" t="s">
        <v>406</v>
      </c>
      <c r="Q41" s="596" t="s">
        <v>407</v>
      </c>
      <c r="R41" s="596" t="s">
        <v>408</v>
      </c>
      <c r="S41" s="428"/>
    </row>
    <row r="42" spans="1:25" s="379" customFormat="1" ht="15" thickBot="1">
      <c r="A42" s="576">
        <f>'1-συμβολαια'!A42</f>
        <v>0</v>
      </c>
      <c r="B42" s="577" t="str">
        <f>'1-συμβολαια'!C42</f>
        <v>χρησικτησία 1/2 οικοπέδου &amp; οικίας = συζυγου 1972 ΔΩΡΕΑ άτυπος</v>
      </c>
      <c r="C42" s="585">
        <f>'1-συμβολαια'!D42</f>
        <v>11206.2</v>
      </c>
      <c r="D42" s="589"/>
      <c r="E42" s="589"/>
      <c r="F42" s="589"/>
      <c r="G42" s="590"/>
      <c r="H42" s="589"/>
      <c r="I42" s="589"/>
      <c r="J42" s="589"/>
      <c r="K42" s="590"/>
      <c r="L42" s="590">
        <v>3</v>
      </c>
      <c r="M42" s="595" t="s">
        <v>133</v>
      </c>
      <c r="N42" s="595" t="s">
        <v>405</v>
      </c>
      <c r="O42" s="595" t="s">
        <v>131</v>
      </c>
      <c r="P42" s="595" t="s">
        <v>406</v>
      </c>
      <c r="Q42" s="595" t="s">
        <v>407</v>
      </c>
      <c r="R42" s="595" t="s">
        <v>408</v>
      </c>
      <c r="S42" s="73"/>
    </row>
    <row r="43" spans="1:25" ht="15.75">
      <c r="A43" s="726" t="s">
        <v>56</v>
      </c>
      <c r="B43" s="727"/>
      <c r="C43" s="727"/>
      <c r="D43" s="591">
        <f t="shared" ref="D43:L43" si="0">SUM(D3:D42)</f>
        <v>0</v>
      </c>
      <c r="E43" s="591">
        <f t="shared" si="0"/>
        <v>0</v>
      </c>
      <c r="F43" s="591">
        <f t="shared" si="0"/>
        <v>0</v>
      </c>
      <c r="G43" s="592">
        <f t="shared" si="0"/>
        <v>7.5</v>
      </c>
      <c r="H43" s="592">
        <f t="shared" si="0"/>
        <v>0</v>
      </c>
      <c r="I43" s="592">
        <f t="shared" si="0"/>
        <v>0</v>
      </c>
      <c r="J43" s="592">
        <f t="shared" si="0"/>
        <v>0</v>
      </c>
      <c r="K43" s="592">
        <f t="shared" si="0"/>
        <v>0</v>
      </c>
      <c r="L43" s="592">
        <f t="shared" si="0"/>
        <v>97.5</v>
      </c>
    </row>
    <row r="44" spans="1:25" ht="15.75">
      <c r="M44" s="118" t="s">
        <v>101</v>
      </c>
      <c r="N44" s="128"/>
      <c r="O44" s="128"/>
      <c r="P44" s="128"/>
      <c r="Q44" s="128"/>
      <c r="R44" s="128"/>
      <c r="S44" s="128"/>
      <c r="T44" s="115"/>
      <c r="U44" s="115"/>
      <c r="V44" s="115"/>
      <c r="W44" s="115"/>
      <c r="X44" s="5"/>
    </row>
    <row r="45" spans="1:25" ht="15.75">
      <c r="M45" s="221"/>
      <c r="N45" s="118" t="s">
        <v>401</v>
      </c>
      <c r="O45" s="221"/>
      <c r="P45" s="221"/>
      <c r="Q45" s="221"/>
      <c r="R45" s="221"/>
      <c r="S45" s="221"/>
      <c r="T45" s="221"/>
      <c r="U45" s="221"/>
      <c r="V45" s="221"/>
      <c r="W45" s="228"/>
      <c r="X45" s="228"/>
      <c r="Y45" s="228"/>
    </row>
    <row r="46" spans="1:25" ht="15.75">
      <c r="M46" s="228"/>
      <c r="N46" s="228"/>
      <c r="O46" s="128" t="s">
        <v>102</v>
      </c>
      <c r="P46" s="128"/>
      <c r="Q46" s="128"/>
      <c r="R46" s="128"/>
      <c r="S46" s="128"/>
      <c r="T46" s="128"/>
      <c r="U46" s="128"/>
      <c r="V46" s="128"/>
      <c r="W46" s="128"/>
      <c r="X46" s="228"/>
      <c r="Y46" s="227"/>
    </row>
    <row r="47" spans="1:25" ht="15.75">
      <c r="M47" s="228"/>
      <c r="N47" s="228"/>
      <c r="O47" s="228"/>
      <c r="P47" s="229" t="s">
        <v>402</v>
      </c>
      <c r="Q47" s="228"/>
      <c r="R47" s="228"/>
      <c r="S47" s="229"/>
      <c r="T47" s="229"/>
      <c r="U47" s="229"/>
      <c r="V47" s="229"/>
      <c r="W47" s="229"/>
      <c r="X47" s="229"/>
      <c r="Y47" s="227"/>
    </row>
    <row r="48" spans="1:25" ht="15.75">
      <c r="M48" s="228"/>
      <c r="N48" s="228"/>
      <c r="O48" s="228"/>
      <c r="P48" s="228"/>
      <c r="Q48" s="128" t="s">
        <v>403</v>
      </c>
      <c r="R48" s="128"/>
      <c r="S48" s="128"/>
      <c r="T48" s="229"/>
      <c r="U48" s="229"/>
      <c r="V48" s="128"/>
      <c r="W48" s="128"/>
      <c r="X48" s="128"/>
      <c r="Y48" s="227"/>
    </row>
    <row r="49" spans="13:25" ht="15.75">
      <c r="M49" s="228"/>
      <c r="N49" s="228"/>
      <c r="O49" s="228"/>
      <c r="P49" s="228"/>
      <c r="Q49" s="228"/>
      <c r="R49" s="229" t="s">
        <v>404</v>
      </c>
      <c r="S49" s="229"/>
      <c r="T49" s="229"/>
      <c r="U49" s="229"/>
      <c r="V49" s="229"/>
      <c r="W49" s="229"/>
      <c r="X49" s="229"/>
      <c r="Y49" s="227"/>
    </row>
    <row r="50" spans="13:25" ht="15.75">
      <c r="T50" s="119"/>
      <c r="Y50" s="227"/>
    </row>
    <row r="51" spans="13:25" ht="15.75">
      <c r="T51" s="119"/>
    </row>
    <row r="52" spans="13:25" ht="15.75">
      <c r="T52" s="119"/>
    </row>
    <row r="53" spans="13:25" ht="15.75">
      <c r="T53" s="119"/>
    </row>
  </sheetData>
  <mergeCells count="8">
    <mergeCell ref="M1:S2"/>
    <mergeCell ref="L1:L2"/>
    <mergeCell ref="A43:C43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72"/>
  <sheetViews>
    <sheetView workbookViewId="0">
      <pane ySplit="2" topLeftCell="A24" activePane="bottomLeft" state="frozen"/>
      <selection pane="bottomLeft" activeCell="R41" sqref="R41"/>
    </sheetView>
  </sheetViews>
  <sheetFormatPr defaultRowHeight="15"/>
  <cols>
    <col min="1" max="1" width="11.5703125" style="102" bestFit="1" customWidth="1"/>
    <col min="2" max="2" width="101.28515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710" t="s">
        <v>1</v>
      </c>
      <c r="B1" s="844" t="s">
        <v>0</v>
      </c>
      <c r="C1" s="846" t="s">
        <v>140</v>
      </c>
      <c r="D1" s="846"/>
      <c r="E1" s="846"/>
      <c r="F1" s="847" t="s">
        <v>29</v>
      </c>
      <c r="G1" s="848"/>
      <c r="H1" s="848"/>
      <c r="I1" s="848"/>
      <c r="J1" s="848"/>
      <c r="K1" s="848"/>
      <c r="L1" s="848"/>
      <c r="M1" s="848"/>
      <c r="N1" s="848"/>
      <c r="O1" s="848"/>
      <c r="P1" s="848"/>
      <c r="Q1" s="848"/>
      <c r="R1" s="848"/>
      <c r="S1" s="848"/>
      <c r="T1" s="848"/>
      <c r="U1" s="848"/>
      <c r="V1" s="849"/>
    </row>
    <row r="2" spans="1:22" ht="16.5" thickBot="1">
      <c r="A2" s="711"/>
      <c r="B2" s="845"/>
      <c r="C2" s="100" t="s">
        <v>23</v>
      </c>
      <c r="D2" s="105" t="s">
        <v>9</v>
      </c>
      <c r="E2" s="106" t="s">
        <v>33</v>
      </c>
      <c r="F2" s="272">
        <v>61</v>
      </c>
      <c r="G2" s="272">
        <v>62</v>
      </c>
      <c r="H2" s="272">
        <v>63</v>
      </c>
      <c r="I2" s="273">
        <v>64</v>
      </c>
      <c r="J2" s="274" t="s">
        <v>431</v>
      </c>
      <c r="K2" s="274" t="s">
        <v>432</v>
      </c>
      <c r="L2" s="274" t="s">
        <v>433</v>
      </c>
      <c r="M2" s="275">
        <v>65</v>
      </c>
      <c r="N2" s="276" t="s">
        <v>434</v>
      </c>
      <c r="O2" s="276" t="s">
        <v>435</v>
      </c>
      <c r="P2" s="276" t="s">
        <v>436</v>
      </c>
      <c r="Q2" s="276" t="s">
        <v>437</v>
      </c>
      <c r="R2" s="276" t="s">
        <v>438</v>
      </c>
      <c r="S2" s="272">
        <v>67</v>
      </c>
      <c r="T2" s="163"/>
      <c r="U2" s="163"/>
      <c r="V2" s="271"/>
    </row>
    <row r="3" spans="1:22" s="125" customFormat="1">
      <c r="A3" s="599" t="str">
        <f>'1-συμβολαια'!A3</f>
        <v>10ο</v>
      </c>
      <c r="B3" s="352" t="str">
        <f>'1-συμβολαια'!C3</f>
        <v>κληρονομιάς ΑΠΟΔΟΧΗ</v>
      </c>
      <c r="C3" s="335"/>
      <c r="D3" s="353"/>
      <c r="E3" s="353">
        <f t="shared" ref="E3" si="0">C3-D3</f>
        <v>0</v>
      </c>
      <c r="F3" s="333"/>
      <c r="G3" s="333"/>
      <c r="H3" s="354"/>
      <c r="I3" s="355"/>
      <c r="J3" s="355"/>
      <c r="K3" s="355"/>
      <c r="L3" s="355"/>
      <c r="M3" s="355"/>
      <c r="N3" s="333"/>
      <c r="O3" s="333"/>
      <c r="P3" s="333"/>
      <c r="Q3" s="333"/>
      <c r="R3" s="333"/>
      <c r="S3" s="333"/>
      <c r="T3" s="333"/>
      <c r="U3" s="333"/>
      <c r="V3" s="333"/>
    </row>
    <row r="4" spans="1:22" s="125" customFormat="1">
      <c r="A4" s="599">
        <f>'1-συμβολαια'!A4</f>
        <v>0</v>
      </c>
      <c r="B4" s="352" t="str">
        <f>'1-συμβολαια'!C4</f>
        <v>ΧΡΗΣΙΚΤΗΣΙΑ οικοπέδου &amp; οικοδομής = 1992 αδερφού ΚΛΗΡΟΝΟΜΙΑ άτυπη</v>
      </c>
      <c r="C4" s="335">
        <f>'1-συμβολαια'!L4</f>
        <v>43.655588000000002</v>
      </c>
      <c r="D4" s="353"/>
      <c r="E4" s="353">
        <f t="shared" ref="E4:E29" si="1">C4-D4</f>
        <v>43.655588000000002</v>
      </c>
      <c r="F4" s="333">
        <v>61</v>
      </c>
      <c r="G4" s="333">
        <v>62</v>
      </c>
      <c r="H4" s="354"/>
      <c r="I4" s="355"/>
      <c r="J4" s="355">
        <v>1</v>
      </c>
      <c r="K4" s="355"/>
      <c r="L4" s="355"/>
      <c r="M4" s="355"/>
      <c r="N4" s="333"/>
      <c r="O4" s="333"/>
      <c r="P4" s="333"/>
      <c r="Q4" s="333"/>
      <c r="R4" s="333"/>
      <c r="S4" s="333"/>
      <c r="T4" s="333"/>
      <c r="U4" s="333"/>
      <c r="V4" s="333"/>
    </row>
    <row r="5" spans="1:22" s="125" customFormat="1">
      <c r="A5" s="599">
        <f>'1-συμβολαια'!A5</f>
        <v>0</v>
      </c>
      <c r="B5" s="352" t="str">
        <f>'1-συμβολαια'!C5</f>
        <v>ΧΡΗΣΙΚΤΗΣΙΑ οικοπέδων 2'-3' = 1992 αδερφού ΚΛΗΡΟΝΟΜΙΑ άτυπη</v>
      </c>
      <c r="C5" s="335">
        <f>'1-συμβολαια'!L5</f>
        <v>43.655588000000002</v>
      </c>
      <c r="D5" s="353"/>
      <c r="E5" s="353">
        <f t="shared" si="1"/>
        <v>43.655588000000002</v>
      </c>
      <c r="F5" s="333">
        <v>61</v>
      </c>
      <c r="G5" s="333">
        <v>62</v>
      </c>
      <c r="H5" s="354"/>
      <c r="I5" s="355"/>
      <c r="J5" s="355">
        <v>1</v>
      </c>
      <c r="K5" s="355"/>
      <c r="L5" s="355"/>
      <c r="M5" s="355"/>
      <c r="N5" s="333"/>
      <c r="O5" s="333"/>
      <c r="P5" s="333"/>
      <c r="Q5" s="333"/>
      <c r="R5" s="333"/>
      <c r="S5" s="333"/>
      <c r="T5" s="333"/>
      <c r="U5" s="333"/>
      <c r="V5" s="333"/>
    </row>
    <row r="6" spans="1:22" s="125" customFormat="1">
      <c r="A6" s="599">
        <f>'1-συμβολαια'!A6</f>
        <v>0</v>
      </c>
      <c r="B6" s="352" t="str">
        <f>'1-συμβολαια'!C6</f>
        <v>ΧΡΗΣΙΚΤΗΣΙΑ αγροτεμαχίου 9' = 1968 μητρός ΚΛΗΡΟΝΟΜΙΑ άτυπη</v>
      </c>
      <c r="C6" s="335">
        <f>'1-συμβολαια'!L6</f>
        <v>35.623699999999999</v>
      </c>
      <c r="D6" s="353"/>
      <c r="E6" s="353">
        <f t="shared" si="1"/>
        <v>35.623699999999999</v>
      </c>
      <c r="F6" s="333">
        <v>61</v>
      </c>
      <c r="G6" s="333">
        <v>62</v>
      </c>
      <c r="H6" s="354"/>
      <c r="I6" s="355"/>
      <c r="J6" s="355">
        <v>1</v>
      </c>
      <c r="K6" s="355"/>
      <c r="L6" s="355"/>
      <c r="M6" s="355"/>
      <c r="N6" s="333"/>
      <c r="O6" s="333"/>
      <c r="P6" s="333"/>
      <c r="Q6" s="333"/>
      <c r="R6" s="333"/>
      <c r="S6" s="333"/>
      <c r="T6" s="333"/>
      <c r="U6" s="333"/>
      <c r="V6" s="333"/>
    </row>
    <row r="7" spans="1:22" s="125" customFormat="1">
      <c r="A7" s="599">
        <f>'1-συμβολαια'!A7</f>
        <v>0</v>
      </c>
      <c r="B7" s="352" t="str">
        <f>'1-συμβολαια'!C7</f>
        <v>ΧΡΗΣΙΚΤΗΣΙΑ οικοπέδου 4' = 19?? ΑΓΟΡΑΠΩΛΗΣΙΑ άτυπη</v>
      </c>
      <c r="C7" s="335">
        <f>'1-συμβολαια'!L7</f>
        <v>35.623699999999999</v>
      </c>
      <c r="D7" s="353"/>
      <c r="E7" s="353">
        <f t="shared" si="1"/>
        <v>35.623699999999999</v>
      </c>
      <c r="F7" s="333">
        <v>61</v>
      </c>
      <c r="G7" s="333">
        <v>62</v>
      </c>
      <c r="H7" s="354"/>
      <c r="I7" s="355"/>
      <c r="J7" s="355"/>
      <c r="K7" s="355"/>
      <c r="L7" s="355"/>
      <c r="M7" s="355"/>
      <c r="N7" s="333"/>
      <c r="O7" s="333">
        <v>1</v>
      </c>
      <c r="P7" s="333"/>
      <c r="Q7" s="333"/>
      <c r="R7" s="333"/>
      <c r="S7" s="333"/>
      <c r="T7" s="333"/>
      <c r="U7" s="333"/>
      <c r="V7" s="333"/>
    </row>
    <row r="8" spans="1:22" s="125" customFormat="1" ht="15.75" thickBot="1">
      <c r="A8" s="604">
        <f>'1-συμβολαια'!A8</f>
        <v>0</v>
      </c>
      <c r="B8" s="605" t="str">
        <f>'1-συμβολαια'!C8</f>
        <v>ΧΡΗΣΙΚΤΗΣΙΑ αγροτεμαχίου 8' = 19??? ΑΓΟΡΑΠΩΛΗΣΙΑ άτυπη</v>
      </c>
      <c r="C8" s="606">
        <f>'1-συμβολαια'!L8</f>
        <v>43.655588000000002</v>
      </c>
      <c r="D8" s="606"/>
      <c r="E8" s="606">
        <f t="shared" si="1"/>
        <v>43.655588000000002</v>
      </c>
      <c r="F8" s="505">
        <v>61</v>
      </c>
      <c r="G8" s="505">
        <v>62</v>
      </c>
      <c r="H8" s="607"/>
      <c r="I8" s="608"/>
      <c r="J8" s="608"/>
      <c r="K8" s="608"/>
      <c r="L8" s="608"/>
      <c r="M8" s="608"/>
      <c r="N8" s="505"/>
      <c r="O8" s="505">
        <v>1</v>
      </c>
      <c r="P8" s="505"/>
      <c r="Q8" s="505"/>
      <c r="R8" s="505"/>
      <c r="S8" s="505"/>
      <c r="T8" s="505"/>
      <c r="U8" s="333"/>
      <c r="V8" s="333"/>
    </row>
    <row r="9" spans="1:22" s="125" customFormat="1">
      <c r="A9" s="600" t="str">
        <f>'1-συμβολαια'!A9</f>
        <v>11ο</v>
      </c>
      <c r="B9" s="601" t="str">
        <f>'1-συμβολαια'!C9</f>
        <v>κληρονομιάς ΑΠΟΔΟΧΗ</v>
      </c>
      <c r="C9" s="353"/>
      <c r="D9" s="353"/>
      <c r="E9" s="353"/>
      <c r="F9" s="503"/>
      <c r="G9" s="503"/>
      <c r="H9" s="602"/>
      <c r="I9" s="603"/>
      <c r="J9" s="603"/>
      <c r="K9" s="603"/>
      <c r="L9" s="603"/>
      <c r="M9" s="603"/>
      <c r="N9" s="503"/>
      <c r="O9" s="503"/>
      <c r="P9" s="503"/>
      <c r="Q9" s="503"/>
      <c r="R9" s="503"/>
      <c r="S9" s="503"/>
      <c r="T9" s="503"/>
      <c r="U9" s="333"/>
      <c r="V9" s="333"/>
    </row>
    <row r="10" spans="1:22" s="125" customFormat="1">
      <c r="A10" s="448">
        <f>'1-συμβολαια'!A10</f>
        <v>0</v>
      </c>
      <c r="B10" s="352" t="str">
        <f>'1-συμβολαια'!C10</f>
        <v>ΧΡΗΣΙΚΤΗΣΙΑ οικοπέδου &amp; οικοδομής = 1992 αδερφού ΚΛΗΡΟΝΟΜΙΑ άτυπη</v>
      </c>
      <c r="C10" s="335">
        <f>'1-συμβολαια'!L10</f>
        <v>37.195588000000001</v>
      </c>
      <c r="D10" s="353"/>
      <c r="E10" s="353">
        <f t="shared" si="1"/>
        <v>37.195588000000001</v>
      </c>
      <c r="F10" s="333">
        <v>61</v>
      </c>
      <c r="G10" s="333">
        <v>62</v>
      </c>
      <c r="H10" s="354"/>
      <c r="I10" s="355"/>
      <c r="J10" s="355">
        <v>1</v>
      </c>
      <c r="K10" s="355"/>
      <c r="L10" s="355"/>
      <c r="M10" s="355"/>
      <c r="N10" s="333"/>
      <c r="O10" s="333"/>
      <c r="P10" s="333"/>
      <c r="Q10" s="333"/>
      <c r="R10" s="333"/>
      <c r="S10" s="333"/>
      <c r="T10" s="333"/>
      <c r="U10" s="333"/>
      <c r="V10" s="333"/>
    </row>
    <row r="11" spans="1:22" s="125" customFormat="1">
      <c r="A11" s="448">
        <f>'1-συμβολαια'!A11</f>
        <v>0</v>
      </c>
      <c r="B11" s="352" t="str">
        <f>'1-συμβολαια'!C11</f>
        <v>ΧΡΗΣΙΚΤΗΣΙΑ οικοπέδων 2'-3' = 1992 αδερφού ΚΛΗΡΟΝΟΜΙΑ άτυπη</v>
      </c>
      <c r="C11" s="335">
        <f>'1-συμβολαια'!L11</f>
        <v>37.195588000000001</v>
      </c>
      <c r="D11" s="353"/>
      <c r="E11" s="353">
        <f t="shared" si="1"/>
        <v>37.195588000000001</v>
      </c>
      <c r="F11" s="333">
        <v>61</v>
      </c>
      <c r="G11" s="333">
        <v>62</v>
      </c>
      <c r="H11" s="354"/>
      <c r="I11" s="355"/>
      <c r="J11" s="355">
        <v>1</v>
      </c>
      <c r="K11" s="355"/>
      <c r="L11" s="355"/>
      <c r="M11" s="355"/>
      <c r="N11" s="333"/>
      <c r="O11" s="333"/>
      <c r="P11" s="333"/>
      <c r="Q11" s="333"/>
      <c r="R11" s="333"/>
      <c r="S11" s="333"/>
      <c r="T11" s="333"/>
      <c r="U11" s="333"/>
      <c r="V11" s="333"/>
    </row>
    <row r="12" spans="1:22" s="125" customFormat="1">
      <c r="A12" s="448">
        <f>'1-συμβολαια'!A12</f>
        <v>0</v>
      </c>
      <c r="B12" s="352" t="str">
        <f>'1-συμβολαια'!C12</f>
        <v>ΧΡΗΣΙΚΤΗΣΙΑ αγροτεμαχίου 9' = 1968 μητρός ΚΛΗΡΟΝΟΜΙΑ άτυπη</v>
      </c>
      <c r="C12" s="335">
        <f>'1-συμβολαια'!L12</f>
        <v>29.163700000000002</v>
      </c>
      <c r="D12" s="353"/>
      <c r="E12" s="353">
        <f t="shared" si="1"/>
        <v>29.163700000000002</v>
      </c>
      <c r="F12" s="333">
        <v>61</v>
      </c>
      <c r="G12" s="333">
        <v>62</v>
      </c>
      <c r="H12" s="354"/>
      <c r="I12" s="355"/>
      <c r="J12" s="355">
        <v>1</v>
      </c>
      <c r="K12" s="355"/>
      <c r="L12" s="355"/>
      <c r="M12" s="355"/>
      <c r="N12" s="333"/>
      <c r="O12" s="333"/>
      <c r="P12" s="333"/>
      <c r="Q12" s="333"/>
      <c r="R12" s="333"/>
      <c r="S12" s="333"/>
      <c r="T12" s="333"/>
      <c r="U12" s="333"/>
      <c r="V12" s="333"/>
    </row>
    <row r="13" spans="1:22" s="125" customFormat="1">
      <c r="A13" s="448">
        <f>'1-συμβολαια'!A13</f>
        <v>0</v>
      </c>
      <c r="B13" s="352" t="str">
        <f>'1-συμβολαια'!C13</f>
        <v>ΧΡΗΣΙΚΤΗΣΙΑ οικοπέδου 4' = 19?? ΑΓΟΡΑΠΩΛΗΣΙΑ άτυπη</v>
      </c>
      <c r="C13" s="335">
        <f>'1-συμβολαια'!L13</f>
        <v>29.163700000000002</v>
      </c>
      <c r="D13" s="353"/>
      <c r="E13" s="353">
        <f t="shared" si="1"/>
        <v>29.163700000000002</v>
      </c>
      <c r="F13" s="333">
        <v>61</v>
      </c>
      <c r="G13" s="333">
        <v>62</v>
      </c>
      <c r="H13" s="354"/>
      <c r="I13" s="355"/>
      <c r="J13" s="355"/>
      <c r="K13" s="355"/>
      <c r="L13" s="355"/>
      <c r="M13" s="355"/>
      <c r="N13" s="333"/>
      <c r="O13" s="333">
        <v>1</v>
      </c>
      <c r="P13" s="333"/>
      <c r="Q13" s="333"/>
      <c r="R13" s="333"/>
      <c r="S13" s="333"/>
      <c r="T13" s="333"/>
      <c r="U13" s="333"/>
      <c r="V13" s="333"/>
    </row>
    <row r="14" spans="1:22" s="125" customFormat="1" ht="15.75" thickBot="1">
      <c r="A14" s="610">
        <f>'1-συμβολαια'!A14</f>
        <v>0</v>
      </c>
      <c r="B14" s="605" t="str">
        <f>'1-συμβολαια'!C14</f>
        <v>ΧΡΗΣΙΚΤΗΣΙΑ αγροτεμαχίου 8' = 19??? ΑΓΟΡΑΠΩΛΗΣΙΑ άτυπη</v>
      </c>
      <c r="C14" s="606">
        <f>'1-συμβολαια'!L14</f>
        <v>37.195588000000001</v>
      </c>
      <c r="D14" s="606"/>
      <c r="E14" s="606">
        <f t="shared" si="1"/>
        <v>37.195588000000001</v>
      </c>
      <c r="F14" s="505">
        <v>61</v>
      </c>
      <c r="G14" s="505">
        <v>62</v>
      </c>
      <c r="H14" s="607"/>
      <c r="I14" s="608"/>
      <c r="J14" s="608"/>
      <c r="K14" s="608"/>
      <c r="L14" s="608"/>
      <c r="M14" s="608"/>
      <c r="N14" s="505"/>
      <c r="O14" s="505">
        <v>1</v>
      </c>
      <c r="P14" s="505"/>
      <c r="Q14" s="505"/>
      <c r="R14" s="505"/>
      <c r="S14" s="505"/>
      <c r="T14" s="505"/>
      <c r="U14" s="333"/>
      <c r="V14" s="333"/>
    </row>
    <row r="15" spans="1:22" s="125" customFormat="1">
      <c r="A15" s="609" t="str">
        <f>'1-συμβολαια'!A15</f>
        <v>12ο</v>
      </c>
      <c r="B15" s="601" t="str">
        <f>'1-συμβολαια'!C15</f>
        <v>κληρονομιάς ΑΠΟΔΟΧΗ</v>
      </c>
      <c r="C15" s="353"/>
      <c r="D15" s="353"/>
      <c r="E15" s="353"/>
      <c r="F15" s="503"/>
      <c r="G15" s="503"/>
      <c r="H15" s="602"/>
      <c r="I15" s="603"/>
      <c r="J15" s="603"/>
      <c r="K15" s="603"/>
      <c r="L15" s="603"/>
      <c r="M15" s="603"/>
      <c r="N15" s="503"/>
      <c r="O15" s="503"/>
      <c r="P15" s="503"/>
      <c r="Q15" s="503"/>
      <c r="R15" s="503"/>
      <c r="S15" s="503"/>
      <c r="T15" s="503"/>
      <c r="U15" s="333"/>
      <c r="V15" s="333"/>
    </row>
    <row r="16" spans="1:22" s="125" customFormat="1">
      <c r="A16" s="599">
        <f>'1-συμβολαια'!A16</f>
        <v>0</v>
      </c>
      <c r="B16" s="352" t="str">
        <f>'1-συμβολαια'!C16</f>
        <v>ΧΡΗΣΙΚΤΗΣΙΑ οικοπέδου &amp; οικοδομής = 1992 αδερφού ΚΛΗΡΟΝΟΜΙΑ άτυπη</v>
      </c>
      <c r="C16" s="335">
        <f>'1-συμβολαια'!L16</f>
        <v>37.195588000000001</v>
      </c>
      <c r="D16" s="353"/>
      <c r="E16" s="353">
        <f t="shared" si="1"/>
        <v>37.195588000000001</v>
      </c>
      <c r="F16" s="333">
        <v>61</v>
      </c>
      <c r="G16" s="333">
        <v>62</v>
      </c>
      <c r="H16" s="354"/>
      <c r="I16" s="355"/>
      <c r="J16" s="355">
        <v>1</v>
      </c>
      <c r="K16" s="355"/>
      <c r="L16" s="355"/>
      <c r="M16" s="355"/>
      <c r="N16" s="333"/>
      <c r="O16" s="333"/>
      <c r="P16" s="333"/>
      <c r="Q16" s="333"/>
      <c r="R16" s="333"/>
      <c r="S16" s="333"/>
      <c r="T16" s="333"/>
      <c r="U16" s="333"/>
      <c r="V16" s="333"/>
    </row>
    <row r="17" spans="1:22" s="125" customFormat="1">
      <c r="A17" s="599">
        <f>'1-συμβολαια'!A17</f>
        <v>0</v>
      </c>
      <c r="B17" s="352" t="str">
        <f>'1-συμβολαια'!C17</f>
        <v>ΧΡΗΣΙΚΤΗΣΙΑ οικοπέδων 2'-3' = 1992 αδερφού ΚΛΗΡΟΝΟΜΙΑ άτυπη</v>
      </c>
      <c r="C17" s="335">
        <f>'1-συμβολαια'!L17</f>
        <v>37.195588000000001</v>
      </c>
      <c r="D17" s="353"/>
      <c r="E17" s="353">
        <f t="shared" si="1"/>
        <v>37.195588000000001</v>
      </c>
      <c r="F17" s="333">
        <v>61</v>
      </c>
      <c r="G17" s="333">
        <v>62</v>
      </c>
      <c r="H17" s="354"/>
      <c r="I17" s="355"/>
      <c r="J17" s="355">
        <v>1</v>
      </c>
      <c r="K17" s="355"/>
      <c r="L17" s="355"/>
      <c r="M17" s="355"/>
      <c r="N17" s="333"/>
      <c r="O17" s="333"/>
      <c r="P17" s="333"/>
      <c r="Q17" s="333"/>
      <c r="R17" s="333"/>
      <c r="S17" s="333"/>
      <c r="T17" s="333"/>
      <c r="U17" s="333"/>
      <c r="V17" s="333"/>
    </row>
    <row r="18" spans="1:22" s="125" customFormat="1">
      <c r="A18" s="599">
        <f>'1-συμβολαια'!A18</f>
        <v>0</v>
      </c>
      <c r="B18" s="352" t="str">
        <f>'1-συμβολαια'!C18</f>
        <v>ΧΡΗΣΙΚΤΗΣΙΑ αγροτεμαχίου 9' = 1968 μητρός ΚΛΗΡΟΝΟΜΙΑ άτυπη</v>
      </c>
      <c r="C18" s="335">
        <f>'1-συμβολαια'!L18</f>
        <v>29.163700000000002</v>
      </c>
      <c r="D18" s="353"/>
      <c r="E18" s="353">
        <f t="shared" si="1"/>
        <v>29.163700000000002</v>
      </c>
      <c r="F18" s="333">
        <v>61</v>
      </c>
      <c r="G18" s="333">
        <v>62</v>
      </c>
      <c r="H18" s="354"/>
      <c r="I18" s="355"/>
      <c r="J18" s="355">
        <v>1</v>
      </c>
      <c r="K18" s="355"/>
      <c r="L18" s="355"/>
      <c r="M18" s="355"/>
      <c r="N18" s="333"/>
      <c r="O18" s="333"/>
      <c r="P18" s="333"/>
      <c r="Q18" s="333"/>
      <c r="R18" s="333"/>
      <c r="S18" s="333"/>
      <c r="T18" s="333"/>
      <c r="U18" s="333"/>
      <c r="V18" s="333"/>
    </row>
    <row r="19" spans="1:22" s="125" customFormat="1">
      <c r="A19" s="599">
        <f>'1-συμβολαια'!A19</f>
        <v>0</v>
      </c>
      <c r="B19" s="352" t="str">
        <f>'1-συμβολαια'!C19</f>
        <v>ΧΡΗΣΙΚΤΗΣΙΑ οικοπέδου 4' = 19?? ΑΓΟΡΑΠΩΛΗΣΙΑ άτυπη</v>
      </c>
      <c r="C19" s="335">
        <f>'1-συμβολαια'!L19</f>
        <v>29.163700000000002</v>
      </c>
      <c r="D19" s="353"/>
      <c r="E19" s="353">
        <f t="shared" si="1"/>
        <v>29.163700000000002</v>
      </c>
      <c r="F19" s="333">
        <v>61</v>
      </c>
      <c r="G19" s="333">
        <v>62</v>
      </c>
      <c r="H19" s="354"/>
      <c r="I19" s="355"/>
      <c r="J19" s="355"/>
      <c r="K19" s="355"/>
      <c r="L19" s="355"/>
      <c r="M19" s="355"/>
      <c r="N19" s="333"/>
      <c r="O19" s="333">
        <v>1</v>
      </c>
      <c r="P19" s="333"/>
      <c r="Q19" s="333"/>
      <c r="R19" s="333"/>
      <c r="S19" s="333"/>
      <c r="T19" s="333"/>
      <c r="U19" s="333"/>
      <c r="V19" s="333"/>
    </row>
    <row r="20" spans="1:22" s="125" customFormat="1" ht="15.75" thickBot="1">
      <c r="A20" s="604">
        <f>'1-συμβολαια'!A20</f>
        <v>0</v>
      </c>
      <c r="B20" s="605" t="str">
        <f>'1-συμβολαια'!C20</f>
        <v>ΧΡΗΣΙΚΤΗΣΙΑ αγροτεμαχίου 8' = 19??? ΑΓΟΡΑΠΩΛΗΣΙΑ άτυπη</v>
      </c>
      <c r="C20" s="606">
        <f>'1-συμβολαια'!L20</f>
        <v>37.195588000000001</v>
      </c>
      <c r="D20" s="606"/>
      <c r="E20" s="606">
        <f t="shared" si="1"/>
        <v>37.195588000000001</v>
      </c>
      <c r="F20" s="505">
        <v>61</v>
      </c>
      <c r="G20" s="505">
        <v>62</v>
      </c>
      <c r="H20" s="607"/>
      <c r="I20" s="608"/>
      <c r="J20" s="608"/>
      <c r="K20" s="608"/>
      <c r="L20" s="608"/>
      <c r="M20" s="608"/>
      <c r="N20" s="505"/>
      <c r="O20" s="505">
        <v>1</v>
      </c>
      <c r="P20" s="505"/>
      <c r="Q20" s="505"/>
      <c r="R20" s="505"/>
      <c r="S20" s="505"/>
      <c r="T20" s="505"/>
      <c r="U20" s="333"/>
      <c r="V20" s="333"/>
    </row>
    <row r="21" spans="1:22" s="125" customFormat="1">
      <c r="A21" s="600" t="str">
        <f>'1-συμβολαια'!A21</f>
        <v>13ο</v>
      </c>
      <c r="B21" s="601" t="str">
        <f>'1-συμβολαια'!C21</f>
        <v>κληρονομιάς ΑΠΟΔΟΧΗ</v>
      </c>
      <c r="C21" s="353"/>
      <c r="D21" s="353"/>
      <c r="E21" s="353"/>
      <c r="F21" s="503"/>
      <c r="G21" s="503"/>
      <c r="H21" s="602"/>
      <c r="I21" s="603"/>
      <c r="J21" s="603"/>
      <c r="K21" s="603"/>
      <c r="L21" s="603"/>
      <c r="M21" s="603"/>
      <c r="N21" s="503"/>
      <c r="O21" s="503"/>
      <c r="P21" s="503"/>
      <c r="Q21" s="503"/>
      <c r="R21" s="503"/>
      <c r="S21" s="503"/>
      <c r="T21" s="503"/>
      <c r="U21" s="333"/>
      <c r="V21" s="333"/>
    </row>
    <row r="22" spans="1:22" s="125" customFormat="1">
      <c r="A22" s="448">
        <f>'1-συμβολαια'!A22</f>
        <v>0</v>
      </c>
      <c r="B22" s="352" t="str">
        <f>'1-συμβολαια'!C22</f>
        <v>ΧΡΗΣΙΚΤΗΣΙΑ οικοπέδου &amp; οικοδομής = 1992 αδερφού ΚΛΗΡΟΝΟΜΙΑ άτυπη</v>
      </c>
      <c r="C22" s="335">
        <f>'1-συμβολαια'!L22</f>
        <v>37.195588000000001</v>
      </c>
      <c r="D22" s="353"/>
      <c r="E22" s="353">
        <f t="shared" si="1"/>
        <v>37.195588000000001</v>
      </c>
      <c r="F22" s="333">
        <v>61</v>
      </c>
      <c r="G22" s="333">
        <v>62</v>
      </c>
      <c r="H22" s="354"/>
      <c r="I22" s="355"/>
      <c r="J22" s="355">
        <v>1</v>
      </c>
      <c r="K22" s="355"/>
      <c r="L22" s="355"/>
      <c r="M22" s="355"/>
      <c r="N22" s="333"/>
      <c r="O22" s="333"/>
      <c r="P22" s="333"/>
      <c r="Q22" s="333"/>
      <c r="R22" s="333"/>
      <c r="S22" s="333"/>
      <c r="T22" s="333"/>
      <c r="U22" s="333"/>
      <c r="V22" s="333"/>
    </row>
    <row r="23" spans="1:22" s="125" customFormat="1">
      <c r="A23" s="448">
        <f>'1-συμβολαια'!A23</f>
        <v>0</v>
      </c>
      <c r="B23" s="352" t="str">
        <f>'1-συμβολαια'!C23</f>
        <v>ΧΡΗΣΙΚΤΗΣΙΑ οικοπέδων 2'-3' = 1992 αδερφού ΚΛΗΡΟΝΟΜΙΑ άτυπη</v>
      </c>
      <c r="C23" s="335">
        <f>'1-συμβολαια'!L23</f>
        <v>37.195588000000001</v>
      </c>
      <c r="D23" s="353"/>
      <c r="E23" s="353">
        <f t="shared" si="1"/>
        <v>37.195588000000001</v>
      </c>
      <c r="F23" s="333">
        <v>61</v>
      </c>
      <c r="G23" s="333">
        <v>62</v>
      </c>
      <c r="H23" s="354"/>
      <c r="I23" s="355"/>
      <c r="J23" s="355">
        <v>1</v>
      </c>
      <c r="K23" s="355"/>
      <c r="L23" s="355"/>
      <c r="M23" s="355"/>
      <c r="N23" s="333"/>
      <c r="O23" s="333"/>
      <c r="P23" s="333"/>
      <c r="Q23" s="333"/>
      <c r="R23" s="333"/>
      <c r="S23" s="333"/>
      <c r="T23" s="333"/>
      <c r="U23" s="333"/>
      <c r="V23" s="333"/>
    </row>
    <row r="24" spans="1:22" s="125" customFormat="1">
      <c r="A24" s="448">
        <f>'1-συμβολαια'!A24</f>
        <v>0</v>
      </c>
      <c r="B24" s="352" t="str">
        <f>'1-συμβολαια'!C24</f>
        <v>ΧΡΗΣΙΚΤΗΣΙΑ αγροτεμαχίου 9' = 1968 μητρός ΚΛΗΡΟΝΟΜΙΑ άτυπη</v>
      </c>
      <c r="C24" s="335">
        <f>'1-συμβολαια'!L24</f>
        <v>29.163700000000002</v>
      </c>
      <c r="D24" s="353"/>
      <c r="E24" s="353">
        <f t="shared" si="1"/>
        <v>29.163700000000002</v>
      </c>
      <c r="F24" s="333">
        <v>61</v>
      </c>
      <c r="G24" s="333">
        <v>62</v>
      </c>
      <c r="H24" s="354"/>
      <c r="I24" s="355"/>
      <c r="J24" s="355">
        <v>1</v>
      </c>
      <c r="K24" s="355"/>
      <c r="L24" s="355"/>
      <c r="M24" s="355"/>
      <c r="N24" s="333"/>
      <c r="O24" s="333"/>
      <c r="P24" s="333"/>
      <c r="Q24" s="333"/>
      <c r="R24" s="333"/>
      <c r="S24" s="333"/>
      <c r="T24" s="333"/>
      <c r="U24" s="333"/>
      <c r="V24" s="333"/>
    </row>
    <row r="25" spans="1:22" s="125" customFormat="1">
      <c r="A25" s="448">
        <f>'1-συμβολαια'!A25</f>
        <v>0</v>
      </c>
      <c r="B25" s="352" t="str">
        <f>'1-συμβολαια'!C25</f>
        <v>ΧΡΗΣΙΚΤΗΣΙΑ οικοπέδου 4' = 19?? ΑΓΟΡΑΠΩΛΗΣΙΑ άτυπη</v>
      </c>
      <c r="C25" s="335">
        <f>'1-συμβολαια'!L25</f>
        <v>29.163700000000002</v>
      </c>
      <c r="D25" s="353"/>
      <c r="E25" s="353">
        <f t="shared" si="1"/>
        <v>29.163700000000002</v>
      </c>
      <c r="F25" s="333">
        <v>61</v>
      </c>
      <c r="G25" s="333">
        <v>62</v>
      </c>
      <c r="H25" s="354"/>
      <c r="I25" s="355"/>
      <c r="J25" s="355"/>
      <c r="K25" s="355"/>
      <c r="L25" s="355"/>
      <c r="M25" s="355"/>
      <c r="N25" s="333"/>
      <c r="O25" s="333">
        <v>1</v>
      </c>
      <c r="P25" s="333"/>
      <c r="Q25" s="333"/>
      <c r="R25" s="333"/>
      <c r="S25" s="333"/>
      <c r="T25" s="333"/>
      <c r="U25" s="333"/>
      <c r="V25" s="333"/>
    </row>
    <row r="26" spans="1:22" s="125" customFormat="1" ht="15.75" thickBot="1">
      <c r="A26" s="610">
        <f>'1-συμβολαια'!A26</f>
        <v>0</v>
      </c>
      <c r="B26" s="605" t="str">
        <f>'1-συμβολαια'!C26</f>
        <v>ΧΡΗΣΙΚΤΗΣΙΑ αγροτεμαχίου 8' = 19??? ΑΓΟΡΑΠΩΛΗΣΙΑ άτυπη</v>
      </c>
      <c r="C26" s="606">
        <f>'1-συμβολαια'!L26</f>
        <v>37.195588000000001</v>
      </c>
      <c r="D26" s="606"/>
      <c r="E26" s="606">
        <f t="shared" si="1"/>
        <v>37.195588000000001</v>
      </c>
      <c r="F26" s="505">
        <v>61</v>
      </c>
      <c r="G26" s="505">
        <v>62</v>
      </c>
      <c r="H26" s="607"/>
      <c r="I26" s="608"/>
      <c r="J26" s="608"/>
      <c r="K26" s="608"/>
      <c r="L26" s="608"/>
      <c r="M26" s="608"/>
      <c r="N26" s="505"/>
      <c r="O26" s="505">
        <v>1</v>
      </c>
      <c r="P26" s="505"/>
      <c r="Q26" s="505"/>
      <c r="R26" s="505"/>
      <c r="S26" s="505"/>
      <c r="T26" s="505"/>
      <c r="U26" s="333"/>
      <c r="V26" s="333"/>
    </row>
    <row r="27" spans="1:22" s="125" customFormat="1">
      <c r="A27" s="609" t="str">
        <f>'1-συμβολαια'!A27</f>
        <v>14ο</v>
      </c>
      <c r="B27" s="601" t="str">
        <f>'1-συμβολαια'!C27</f>
        <v>κληρονομιάς ΑΠΟΔΟΧΗ</v>
      </c>
      <c r="C27" s="353"/>
      <c r="D27" s="353"/>
      <c r="E27" s="353"/>
      <c r="F27" s="503"/>
      <c r="G27" s="503"/>
      <c r="H27" s="602"/>
      <c r="I27" s="603"/>
      <c r="J27" s="603"/>
      <c r="K27" s="603"/>
      <c r="L27" s="603"/>
      <c r="M27" s="603"/>
      <c r="N27" s="503"/>
      <c r="O27" s="503"/>
      <c r="P27" s="503"/>
      <c r="Q27" s="503"/>
      <c r="R27" s="503"/>
      <c r="S27" s="503"/>
      <c r="T27" s="503"/>
      <c r="U27" s="333"/>
      <c r="V27" s="333"/>
    </row>
    <row r="28" spans="1:22" s="125" customFormat="1">
      <c r="A28" s="599">
        <f>'1-συμβολαια'!A28</f>
        <v>0</v>
      </c>
      <c r="B28" s="352" t="str">
        <f>'1-συμβολαια'!C28</f>
        <v>ΧΡΗΣΙΚΤΗΣΙΑ οικοπέδου &amp; οικοδομής = 1935 πατρός ΚΛΗΡΟΝΟΜΙΑ άτυπη</v>
      </c>
      <c r="C28" s="335">
        <f>'1-συμβολαια'!L28</f>
        <v>37.195588000000001</v>
      </c>
      <c r="D28" s="353"/>
      <c r="E28" s="353">
        <f t="shared" si="1"/>
        <v>37.195588000000001</v>
      </c>
      <c r="F28" s="333">
        <v>61</v>
      </c>
      <c r="G28" s="333">
        <v>62</v>
      </c>
      <c r="H28" s="354"/>
      <c r="I28" s="355"/>
      <c r="J28" s="355">
        <v>1</v>
      </c>
      <c r="K28" s="355"/>
      <c r="L28" s="355"/>
      <c r="M28" s="355"/>
      <c r="N28" s="333"/>
      <c r="O28" s="333"/>
      <c r="P28" s="333"/>
      <c r="Q28" s="333"/>
      <c r="R28" s="333"/>
      <c r="S28" s="333"/>
      <c r="T28" s="333"/>
      <c r="U28" s="333"/>
      <c r="V28" s="333"/>
    </row>
    <row r="29" spans="1:22" s="125" customFormat="1">
      <c r="A29" s="599">
        <f>'1-συμβολαια'!A29</f>
        <v>0</v>
      </c>
      <c r="B29" s="352" t="str">
        <f>'1-συμβολαια'!C29</f>
        <v>ΧΡΗΣΙΚΤΗΣΙΑ οικοπέδων 2'-3' = 1992 αδερφού ΚΛΗΡΟΝΟΜΙΑ άτυπη</v>
      </c>
      <c r="C29" s="335">
        <f>'1-συμβολαια'!L29</f>
        <v>37.195588000000001</v>
      </c>
      <c r="D29" s="353"/>
      <c r="E29" s="353">
        <f t="shared" si="1"/>
        <v>37.195588000000001</v>
      </c>
      <c r="F29" s="333">
        <v>61</v>
      </c>
      <c r="G29" s="333">
        <v>62</v>
      </c>
      <c r="H29" s="354"/>
      <c r="I29" s="355"/>
      <c r="J29" s="355">
        <v>1</v>
      </c>
      <c r="K29" s="355"/>
      <c r="L29" s="355"/>
      <c r="M29" s="355"/>
      <c r="N29" s="333"/>
      <c r="O29" s="333"/>
      <c r="P29" s="333"/>
      <c r="Q29" s="333"/>
      <c r="R29" s="333"/>
      <c r="S29" s="333"/>
      <c r="T29" s="333"/>
      <c r="U29" s="333"/>
      <c r="V29" s="333"/>
    </row>
    <row r="30" spans="1:22" s="125" customFormat="1">
      <c r="A30" s="599">
        <f>'1-συμβολαια'!A30</f>
        <v>0</v>
      </c>
      <c r="B30" s="352" t="str">
        <f>'1-συμβολαια'!C30</f>
        <v>ΧΡΗΣΙΚΤΗΣΙΑ αγροτεμαχίου 9' = 1968 μητρός ΚΛΗΡΟΝΟΜΙΑ άτυπη</v>
      </c>
      <c r="C30" s="335">
        <f>'1-συμβολαια'!L30</f>
        <v>29.163700000000002</v>
      </c>
      <c r="D30" s="353"/>
      <c r="E30" s="353">
        <f t="shared" ref="E30:E42" si="2">C30-D30</f>
        <v>29.163700000000002</v>
      </c>
      <c r="F30" s="333">
        <v>61</v>
      </c>
      <c r="G30" s="333">
        <v>62</v>
      </c>
      <c r="H30" s="354"/>
      <c r="I30" s="355"/>
      <c r="J30" s="355">
        <v>1</v>
      </c>
      <c r="K30" s="355"/>
      <c r="L30" s="355"/>
      <c r="M30" s="355"/>
      <c r="N30" s="333"/>
      <c r="O30" s="333"/>
      <c r="P30" s="333"/>
      <c r="Q30" s="333"/>
      <c r="R30" s="333"/>
      <c r="S30" s="333"/>
      <c r="T30" s="333"/>
      <c r="U30" s="333"/>
      <c r="V30" s="333"/>
    </row>
    <row r="31" spans="1:22" s="125" customFormat="1">
      <c r="A31" s="599">
        <f>'1-συμβολαια'!A31</f>
        <v>0</v>
      </c>
      <c r="B31" s="352" t="str">
        <f>'1-συμβολαια'!C31</f>
        <v>ΧΡΗΣΙΚΤΗΣΙΑ οικοπέδου 4' = 19?? ΑΓΟΡΑΠΩΛΗΣΙΑ άτυπη</v>
      </c>
      <c r="C31" s="335">
        <f>'1-συμβολαια'!L31</f>
        <v>29.163700000000002</v>
      </c>
      <c r="D31" s="353"/>
      <c r="E31" s="353">
        <f t="shared" si="2"/>
        <v>29.163700000000002</v>
      </c>
      <c r="F31" s="333">
        <v>61</v>
      </c>
      <c r="G31" s="333">
        <v>62</v>
      </c>
      <c r="H31" s="354"/>
      <c r="I31" s="355"/>
      <c r="J31" s="355"/>
      <c r="K31" s="355"/>
      <c r="L31" s="355"/>
      <c r="M31" s="355"/>
      <c r="N31" s="333"/>
      <c r="O31" s="333">
        <v>1</v>
      </c>
      <c r="P31" s="333"/>
      <c r="Q31" s="333"/>
      <c r="R31" s="333"/>
      <c r="S31" s="333"/>
      <c r="T31" s="333"/>
      <c r="U31" s="333"/>
      <c r="V31" s="333"/>
    </row>
    <row r="32" spans="1:22" s="125" customFormat="1" ht="15.75" thickBot="1">
      <c r="A32" s="604">
        <f>'1-συμβολαια'!A32</f>
        <v>0</v>
      </c>
      <c r="B32" s="605" t="str">
        <f>'1-συμβολαια'!C32</f>
        <v>ΧΡΗΣΙΚΤΗΣΙΑ αγροτεμαχίου 8' = 19??? ΑΓΟΡΑΠΩΛΗΣΙΑ άτυπη</v>
      </c>
      <c r="C32" s="606">
        <f>'1-συμβολαια'!L32</f>
        <v>37.195588000000001</v>
      </c>
      <c r="D32" s="606"/>
      <c r="E32" s="606">
        <f t="shared" si="2"/>
        <v>37.195588000000001</v>
      </c>
      <c r="F32" s="505">
        <v>61</v>
      </c>
      <c r="G32" s="505">
        <v>62</v>
      </c>
      <c r="H32" s="607"/>
      <c r="I32" s="608"/>
      <c r="J32" s="608"/>
      <c r="K32" s="608"/>
      <c r="L32" s="608"/>
      <c r="M32" s="608"/>
      <c r="N32" s="505"/>
      <c r="O32" s="505">
        <v>1</v>
      </c>
      <c r="P32" s="505"/>
      <c r="Q32" s="505"/>
      <c r="R32" s="505"/>
      <c r="S32" s="505"/>
      <c r="T32" s="505"/>
      <c r="U32" s="333"/>
      <c r="V32" s="333"/>
    </row>
    <row r="33" spans="1:22" s="125" customFormat="1">
      <c r="A33" s="482" t="str">
        <f>'1-συμβολαια'!A33</f>
        <v>15ο</v>
      </c>
      <c r="B33" s="601" t="str">
        <f>'1-συμβολαια'!C33</f>
        <v>αγοραπωλησία τίμημα = Δ.Ο.Υ. =</v>
      </c>
      <c r="C33" s="353"/>
      <c r="D33" s="353"/>
      <c r="E33" s="353"/>
      <c r="F33" s="503"/>
      <c r="G33" s="503"/>
      <c r="H33" s="602"/>
      <c r="I33" s="603"/>
      <c r="J33" s="603"/>
      <c r="K33" s="603"/>
      <c r="L33" s="603"/>
      <c r="M33" s="603"/>
      <c r="N33" s="503"/>
      <c r="O33" s="503"/>
      <c r="P33" s="503"/>
      <c r="Q33" s="503"/>
      <c r="R33" s="503"/>
      <c r="S33" s="503"/>
      <c r="T33" s="503"/>
      <c r="U33" s="333"/>
      <c r="V33" s="333"/>
    </row>
    <row r="34" spans="1:22" s="125" customFormat="1">
      <c r="A34" s="387" t="str">
        <f>'1-συμβολαια'!A34</f>
        <v>16ο</v>
      </c>
      <c r="B34" s="352" t="str">
        <f>'1-συμβολαια'!C34</f>
        <v>πληρεξούσιο</v>
      </c>
      <c r="C34" s="335"/>
      <c r="D34" s="353"/>
      <c r="E34" s="353"/>
      <c r="F34" s="333"/>
      <c r="G34" s="333"/>
      <c r="H34" s="354"/>
      <c r="I34" s="355"/>
      <c r="J34" s="355"/>
      <c r="K34" s="355"/>
      <c r="L34" s="355"/>
      <c r="M34" s="355"/>
      <c r="N34" s="333"/>
      <c r="O34" s="333"/>
      <c r="P34" s="333"/>
      <c r="Q34" s="333"/>
      <c r="R34" s="333"/>
      <c r="S34" s="333"/>
      <c r="T34" s="333"/>
      <c r="U34" s="333"/>
      <c r="V34" s="333"/>
    </row>
    <row r="35" spans="1:22" s="125" customFormat="1" ht="15.75" thickBot="1">
      <c r="A35" s="611" t="str">
        <f>'1-συμβολαια'!A35</f>
        <v>17ο</v>
      </c>
      <c r="B35" s="605" t="str">
        <f>'1-συμβολαια'!C35</f>
        <v>πληρεξούσιο</v>
      </c>
      <c r="C35" s="606"/>
      <c r="D35" s="606"/>
      <c r="E35" s="606"/>
      <c r="F35" s="505"/>
      <c r="G35" s="505"/>
      <c r="H35" s="607"/>
      <c r="I35" s="608"/>
      <c r="J35" s="608"/>
      <c r="K35" s="608"/>
      <c r="L35" s="608"/>
      <c r="M35" s="608"/>
      <c r="N35" s="505"/>
      <c r="O35" s="505"/>
      <c r="P35" s="505"/>
      <c r="Q35" s="505"/>
      <c r="R35" s="505"/>
      <c r="S35" s="505"/>
      <c r="T35" s="505"/>
      <c r="U35" s="333"/>
      <c r="V35" s="333"/>
    </row>
    <row r="36" spans="1:22" s="125" customFormat="1">
      <c r="A36" s="609" t="str">
        <f>'1-συμβολαια'!A36</f>
        <v>18ο</v>
      </c>
      <c r="B36" s="601" t="str">
        <f>'1-συμβολαια'!C36</f>
        <v>αποδοχή κληρονομιάς</v>
      </c>
      <c r="C36" s="353"/>
      <c r="D36" s="353"/>
      <c r="E36" s="353"/>
      <c r="F36" s="503"/>
      <c r="G36" s="503"/>
      <c r="H36" s="602"/>
      <c r="I36" s="603"/>
      <c r="J36" s="603"/>
      <c r="K36" s="603"/>
      <c r="L36" s="603"/>
      <c r="M36" s="603"/>
      <c r="N36" s="503"/>
      <c r="O36" s="503"/>
      <c r="P36" s="503"/>
      <c r="Q36" s="503"/>
      <c r="R36" s="503"/>
      <c r="S36" s="503"/>
      <c r="T36" s="503"/>
      <c r="U36" s="333"/>
      <c r="V36" s="333"/>
    </row>
    <row r="37" spans="1:22" s="125" customFormat="1">
      <c r="A37" s="599">
        <f>'1-συμβολαια'!A37</f>
        <v>0</v>
      </c>
      <c r="B37" s="352" t="str">
        <f>'1-συμβολαια'!C37</f>
        <v>ΧΡΗΣΙΚΤΗΣΙΑ  αγροτεμαχίου -1 = αναδασμός ΑΛΛΑ πριν ΑΓΟΡΑΠΩΛΗΣΙΑ άτυπος από ;;;??? το 19???</v>
      </c>
      <c r="C37" s="335">
        <f>'1-συμβολαια'!L37</f>
        <v>60.462232</v>
      </c>
      <c r="D37" s="353"/>
      <c r="E37" s="353">
        <f t="shared" si="2"/>
        <v>60.462232</v>
      </c>
      <c r="F37" s="333">
        <v>61</v>
      </c>
      <c r="G37" s="333">
        <v>62</v>
      </c>
      <c r="H37" s="354"/>
      <c r="I37" s="355"/>
      <c r="J37" s="355"/>
      <c r="K37" s="355"/>
      <c r="L37" s="355"/>
      <c r="M37" s="355"/>
      <c r="N37" s="333"/>
      <c r="O37" s="333">
        <v>1</v>
      </c>
      <c r="P37" s="333"/>
      <c r="Q37" s="333"/>
      <c r="R37" s="333"/>
      <c r="S37" s="333"/>
      <c r="T37" s="333"/>
      <c r="U37" s="333"/>
      <c r="V37" s="333"/>
    </row>
    <row r="38" spans="1:22" s="125" customFormat="1">
      <c r="A38" s="599">
        <f>'1-συμβολαια'!A38</f>
        <v>0</v>
      </c>
      <c r="B38" s="352" t="str">
        <f>'1-συμβολαια'!C38</f>
        <v>ΧΡΗΣΙΚΤΗΣΙΑ  οικοπέδου -2 = 19?? ως αγροτεμάχιο με ΑΝΑΔΑΣΜΟ</v>
      </c>
      <c r="C38" s="335">
        <f>'1-συμβολαια'!L38</f>
        <v>366.46223200000009</v>
      </c>
      <c r="D38" s="353"/>
      <c r="E38" s="353">
        <f t="shared" si="2"/>
        <v>366.46223200000009</v>
      </c>
      <c r="F38" s="333">
        <v>61</v>
      </c>
      <c r="G38" s="333">
        <v>62</v>
      </c>
      <c r="H38" s="354"/>
      <c r="I38" s="355"/>
      <c r="J38" s="355"/>
      <c r="K38" s="355"/>
      <c r="L38" s="355"/>
      <c r="M38" s="355"/>
      <c r="N38" s="333"/>
      <c r="O38" s="333"/>
      <c r="P38" s="333"/>
      <c r="Q38" s="333"/>
      <c r="R38" s="333"/>
      <c r="S38" s="333">
        <v>1</v>
      </c>
      <c r="T38" s="333"/>
      <c r="U38" s="333"/>
      <c r="V38" s="333"/>
    </row>
    <row r="39" spans="1:22" s="125" customFormat="1" ht="15.75" thickBot="1">
      <c r="A39" s="604">
        <f>'1-συμβολαια'!A39</f>
        <v>0</v>
      </c>
      <c r="B39" s="605" t="str">
        <f>'1-συμβολαια'!C39</f>
        <v>ΧΡΗΣΙΚΤΗΣΙΑ  οικοπέδου -4 = 19?? ;;;???</v>
      </c>
      <c r="C39" s="606">
        <f>'1-συμβολαια'!L39</f>
        <v>139.79558800000004</v>
      </c>
      <c r="D39" s="606"/>
      <c r="E39" s="606">
        <f t="shared" si="2"/>
        <v>139.79558800000004</v>
      </c>
      <c r="F39" s="505">
        <v>61</v>
      </c>
      <c r="G39" s="505">
        <v>62</v>
      </c>
      <c r="H39" s="607"/>
      <c r="I39" s="608"/>
      <c r="J39" s="608"/>
      <c r="K39" s="608"/>
      <c r="L39" s="608"/>
      <c r="M39" s="608"/>
      <c r="N39" s="505"/>
      <c r="O39" s="505"/>
      <c r="P39" s="505"/>
      <c r="Q39" s="505"/>
      <c r="R39" s="505"/>
      <c r="S39" s="505"/>
      <c r="T39" s="505"/>
      <c r="U39" s="333"/>
      <c r="V39" s="333"/>
    </row>
    <row r="40" spans="1:22" s="125" customFormat="1" ht="15.75" thickBot="1">
      <c r="A40" s="612" t="str">
        <f>'1-συμβολαια'!A40</f>
        <v>19ο</v>
      </c>
      <c r="B40" s="613" t="str">
        <f>'1-συμβολαια'!C40</f>
        <v>*γονική ΨΙΛΗΣ ΚΥΡΙΟΤΗΤΑΣ</v>
      </c>
      <c r="C40" s="614"/>
      <c r="D40" s="614"/>
      <c r="E40" s="614"/>
      <c r="F40" s="525"/>
      <c r="G40" s="525"/>
      <c r="H40" s="615"/>
      <c r="I40" s="616"/>
      <c r="J40" s="616"/>
      <c r="K40" s="616"/>
      <c r="L40" s="616"/>
      <c r="M40" s="616"/>
      <c r="N40" s="525"/>
      <c r="O40" s="525"/>
      <c r="P40" s="525"/>
      <c r="Q40" s="525"/>
      <c r="R40" s="525"/>
      <c r="S40" s="525"/>
      <c r="T40" s="525"/>
      <c r="U40" s="333"/>
      <c r="V40" s="333"/>
    </row>
    <row r="41" spans="1:22" s="125" customFormat="1">
      <c r="A41" s="609" t="str">
        <f>'1-συμβολαια'!A41</f>
        <v>20ο</v>
      </c>
      <c r="B41" s="601" t="str">
        <f>'1-συμβολαια'!C41</f>
        <v>δωρεά</v>
      </c>
      <c r="C41" s="353"/>
      <c r="D41" s="353"/>
      <c r="E41" s="353"/>
      <c r="F41" s="503"/>
      <c r="G41" s="503"/>
      <c r="H41" s="602"/>
      <c r="I41" s="603"/>
      <c r="J41" s="603"/>
      <c r="K41" s="603"/>
      <c r="L41" s="603"/>
      <c r="M41" s="603"/>
      <c r="N41" s="503"/>
      <c r="O41" s="503"/>
      <c r="P41" s="503"/>
      <c r="Q41" s="503"/>
      <c r="R41" s="503"/>
      <c r="S41" s="503"/>
      <c r="T41" s="503"/>
      <c r="U41" s="333"/>
      <c r="V41" s="333"/>
    </row>
    <row r="42" spans="1:22" s="125" customFormat="1" ht="15.75" thickBot="1">
      <c r="A42" s="604">
        <f>'1-συμβολαια'!A42</f>
        <v>0</v>
      </c>
      <c r="B42" s="605" t="str">
        <f>'1-συμβολαια'!C42</f>
        <v>χρησικτησία 1/2 οικοπέδου &amp; οικίας = συζυγου 1972 ΔΩΡΕΑ άτυπος</v>
      </c>
      <c r="C42" s="606">
        <f>'1-συμβολαια'!L42</f>
        <v>140.76550600000002</v>
      </c>
      <c r="D42" s="606"/>
      <c r="E42" s="606">
        <f t="shared" si="2"/>
        <v>140.76550600000002</v>
      </c>
      <c r="F42" s="505">
        <v>61</v>
      </c>
      <c r="G42" s="505">
        <v>62</v>
      </c>
      <c r="H42" s="607"/>
      <c r="I42" s="608"/>
      <c r="J42" s="608"/>
      <c r="K42" s="608"/>
      <c r="L42" s="608"/>
      <c r="M42" s="608"/>
      <c r="N42" s="505"/>
      <c r="O42" s="505"/>
      <c r="P42" s="505"/>
      <c r="Q42" s="505"/>
      <c r="R42" s="505">
        <v>1</v>
      </c>
      <c r="S42" s="505"/>
      <c r="T42" s="505"/>
      <c r="U42" s="333"/>
      <c r="V42" s="333"/>
    </row>
    <row r="43" spans="1:22" ht="15.75">
      <c r="A43" s="726" t="s">
        <v>47</v>
      </c>
      <c r="B43" s="727"/>
      <c r="C43" s="617">
        <f>SUM(C3:C42)</f>
        <v>1589.3563780000002</v>
      </c>
      <c r="D43" s="617">
        <f>SUM(D3:D42)</f>
        <v>0</v>
      </c>
      <c r="E43" s="617">
        <f>SUM(E3:E42)</f>
        <v>1589.3563780000002</v>
      </c>
      <c r="I43" s="618">
        <f t="shared" ref="I43:T43" si="3">SUM(I3:I42)</f>
        <v>0</v>
      </c>
      <c r="J43" s="618">
        <f t="shared" si="3"/>
        <v>15</v>
      </c>
      <c r="K43" s="618">
        <f t="shared" si="3"/>
        <v>0</v>
      </c>
      <c r="L43" s="618">
        <f t="shared" si="3"/>
        <v>0</v>
      </c>
      <c r="M43" s="618">
        <f t="shared" si="3"/>
        <v>0</v>
      </c>
      <c r="N43" s="618">
        <f t="shared" si="3"/>
        <v>0</v>
      </c>
      <c r="O43" s="618">
        <f t="shared" si="3"/>
        <v>11</v>
      </c>
      <c r="P43" s="618">
        <f t="shared" si="3"/>
        <v>0</v>
      </c>
      <c r="Q43" s="618">
        <f t="shared" si="3"/>
        <v>0</v>
      </c>
      <c r="R43" s="618">
        <f t="shared" si="3"/>
        <v>1</v>
      </c>
      <c r="S43" s="618">
        <f t="shared" si="3"/>
        <v>1</v>
      </c>
      <c r="T43" s="618">
        <f t="shared" si="3"/>
        <v>0</v>
      </c>
    </row>
    <row r="44" spans="1:22"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</row>
    <row r="45" spans="1:22" ht="15.75">
      <c r="F45" s="145" t="s">
        <v>235</v>
      </c>
      <c r="G45" s="118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8"/>
    </row>
    <row r="46" spans="1:22" ht="15.75">
      <c r="F46" s="279"/>
      <c r="G46" s="128" t="s">
        <v>236</v>
      </c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  <c r="V46" s="278"/>
    </row>
    <row r="47" spans="1:22" ht="15.75">
      <c r="F47" s="278"/>
      <c r="G47" s="278"/>
      <c r="H47" s="145" t="s">
        <v>237</v>
      </c>
      <c r="I47" s="118"/>
      <c r="J47" s="118"/>
      <c r="K47" s="118"/>
      <c r="L47" s="277"/>
      <c r="M47" s="277"/>
      <c r="N47" s="277"/>
      <c r="O47" s="277"/>
      <c r="P47" s="277"/>
      <c r="Q47" s="277"/>
      <c r="R47" s="277"/>
      <c r="S47" s="277"/>
      <c r="T47" s="277"/>
      <c r="U47" s="277"/>
      <c r="V47" s="278"/>
    </row>
    <row r="48" spans="1:22" ht="15.75">
      <c r="F48" s="278"/>
      <c r="G48" s="279"/>
      <c r="H48" s="278"/>
      <c r="I48" s="128" t="s">
        <v>260</v>
      </c>
      <c r="J48" s="128"/>
      <c r="K48" s="128"/>
      <c r="L48" s="280"/>
      <c r="M48" s="280"/>
      <c r="N48" s="280"/>
      <c r="O48" s="280"/>
      <c r="P48" s="280"/>
      <c r="Q48" s="280"/>
      <c r="R48" s="280"/>
      <c r="S48" s="280"/>
      <c r="T48" s="280"/>
      <c r="U48" s="277"/>
      <c r="V48" s="278"/>
    </row>
    <row r="49" spans="2:22" ht="15.75">
      <c r="F49" s="278"/>
      <c r="G49" s="279"/>
      <c r="H49" s="278"/>
      <c r="I49" s="128"/>
      <c r="J49" s="145" t="s">
        <v>439</v>
      </c>
      <c r="K49" s="128"/>
      <c r="L49" s="280"/>
      <c r="M49" s="280"/>
      <c r="N49" s="280"/>
      <c r="O49" s="280"/>
      <c r="P49" s="280"/>
      <c r="Q49" s="280"/>
      <c r="R49" s="280"/>
      <c r="S49" s="280"/>
      <c r="T49" s="280"/>
      <c r="U49" s="277"/>
      <c r="V49" s="278"/>
    </row>
    <row r="50" spans="2:22" ht="15.75">
      <c r="F50" s="278"/>
      <c r="G50" s="279"/>
      <c r="H50" s="278"/>
      <c r="I50" s="128"/>
      <c r="J50" s="128"/>
      <c r="K50" s="128" t="s">
        <v>440</v>
      </c>
      <c r="L50" s="280"/>
      <c r="M50" s="280"/>
      <c r="N50" s="280"/>
      <c r="O50" s="280"/>
      <c r="P50" s="280"/>
      <c r="Q50" s="280"/>
      <c r="R50" s="280"/>
      <c r="S50" s="280"/>
      <c r="T50" s="280"/>
      <c r="U50" s="277"/>
      <c r="V50" s="278"/>
    </row>
    <row r="51" spans="2:22" ht="15.75">
      <c r="F51" s="278"/>
      <c r="G51" s="278"/>
      <c r="H51" s="277"/>
      <c r="I51" s="280"/>
      <c r="J51" s="280"/>
      <c r="K51" s="280"/>
      <c r="L51" s="145" t="s">
        <v>441</v>
      </c>
      <c r="M51" s="280"/>
      <c r="N51" s="280"/>
      <c r="O51" s="280"/>
      <c r="P51" s="280"/>
      <c r="Q51" s="280"/>
      <c r="R51" s="280"/>
      <c r="S51" s="280"/>
      <c r="T51" s="280"/>
      <c r="U51" s="277"/>
      <c r="V51" s="278"/>
    </row>
    <row r="52" spans="2:22" ht="15.75">
      <c r="C52" s="104">
        <f>SUM(C44:C45)</f>
        <v>0</v>
      </c>
      <c r="F52" s="277"/>
      <c r="G52" s="277"/>
      <c r="H52" s="277"/>
      <c r="I52" s="280"/>
      <c r="J52" s="280"/>
      <c r="K52" s="280"/>
      <c r="L52" s="280"/>
      <c r="M52" s="128" t="s">
        <v>261</v>
      </c>
      <c r="N52" s="280"/>
      <c r="O52" s="280"/>
      <c r="P52" s="280"/>
      <c r="Q52" s="280"/>
      <c r="R52" s="280"/>
      <c r="S52" s="280"/>
      <c r="T52" s="280"/>
      <c r="U52" s="277"/>
      <c r="V52" s="278"/>
    </row>
    <row r="53" spans="2:22" ht="15.75">
      <c r="F53" s="278"/>
      <c r="G53" s="278"/>
      <c r="H53" s="277"/>
      <c r="I53" s="280"/>
      <c r="J53" s="280"/>
      <c r="K53" s="280"/>
      <c r="L53" s="280"/>
      <c r="M53" s="280"/>
      <c r="N53" s="145" t="s">
        <v>442</v>
      </c>
      <c r="O53" s="280"/>
      <c r="P53" s="280"/>
      <c r="Q53" s="280"/>
      <c r="R53" s="280"/>
      <c r="S53" s="280"/>
      <c r="T53" s="280"/>
      <c r="U53" s="277"/>
      <c r="V53" s="278"/>
    </row>
    <row r="54" spans="2:22" ht="15.75">
      <c r="F54" s="278"/>
      <c r="G54" s="278"/>
      <c r="H54" s="277"/>
      <c r="I54" s="280"/>
      <c r="J54" s="280"/>
      <c r="K54" s="280"/>
      <c r="L54" s="280"/>
      <c r="M54" s="280"/>
      <c r="N54" s="280"/>
      <c r="O54" s="128" t="s">
        <v>443</v>
      </c>
      <c r="P54" s="280"/>
      <c r="Q54" s="280"/>
      <c r="R54" s="280"/>
      <c r="S54" s="280"/>
      <c r="T54" s="280"/>
      <c r="U54" s="277"/>
      <c r="V54" s="278"/>
    </row>
    <row r="55" spans="2:22" ht="15.75">
      <c r="F55" s="278"/>
      <c r="G55" s="278"/>
      <c r="H55" s="277"/>
      <c r="I55" s="280"/>
      <c r="J55" s="280"/>
      <c r="K55" s="280"/>
      <c r="L55" s="280"/>
      <c r="M55" s="280"/>
      <c r="N55" s="280"/>
      <c r="O55" s="280"/>
      <c r="P55" s="145" t="s">
        <v>262</v>
      </c>
      <c r="Q55" s="280"/>
      <c r="R55" s="280"/>
      <c r="S55" s="280"/>
      <c r="T55" s="280"/>
      <c r="U55" s="277"/>
      <c r="V55" s="278"/>
    </row>
    <row r="56" spans="2:22" ht="15.75">
      <c r="F56" s="278"/>
      <c r="G56" s="278"/>
      <c r="H56" s="277"/>
      <c r="I56" s="280"/>
      <c r="J56" s="280"/>
      <c r="K56" s="280"/>
      <c r="L56" s="280"/>
      <c r="M56" s="280"/>
      <c r="N56" s="280"/>
      <c r="O56" s="280"/>
      <c r="P56" s="280"/>
      <c r="Q56" s="128" t="s">
        <v>263</v>
      </c>
      <c r="R56" s="128"/>
      <c r="S56" s="128"/>
      <c r="T56" s="280"/>
      <c r="U56" s="277"/>
      <c r="V56" s="278"/>
    </row>
    <row r="57" spans="2:22" ht="15.75">
      <c r="F57" s="278"/>
      <c r="G57" s="278"/>
      <c r="H57" s="277"/>
      <c r="I57" s="280"/>
      <c r="J57" s="280"/>
      <c r="K57" s="280"/>
      <c r="L57" s="280"/>
      <c r="M57" s="280"/>
      <c r="N57" s="280"/>
      <c r="O57" s="280"/>
      <c r="P57" s="280"/>
      <c r="Q57" s="280"/>
      <c r="R57" s="145" t="s">
        <v>264</v>
      </c>
      <c r="S57" s="280"/>
      <c r="T57" s="280"/>
      <c r="U57" s="277"/>
      <c r="V57" s="278"/>
    </row>
    <row r="58" spans="2:22" ht="15.75">
      <c r="F58" s="278"/>
      <c r="G58" s="278"/>
      <c r="H58" s="277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128" t="s">
        <v>265</v>
      </c>
      <c r="T58" s="280"/>
      <c r="U58" s="277"/>
      <c r="V58" s="278"/>
    </row>
    <row r="59" spans="2:22" ht="15.75">
      <c r="F59" s="278"/>
      <c r="G59" s="278"/>
      <c r="H59" s="277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S59" s="280"/>
      <c r="T59" s="145" t="s">
        <v>444</v>
      </c>
      <c r="U59" s="277"/>
      <c r="V59" s="278"/>
    </row>
    <row r="60" spans="2:22">
      <c r="F60" s="278"/>
      <c r="G60" s="278"/>
      <c r="H60" s="277"/>
      <c r="I60" s="277"/>
      <c r="J60" s="277"/>
      <c r="K60" s="277"/>
      <c r="L60" s="277"/>
      <c r="M60" s="277"/>
      <c r="N60" s="277"/>
      <c r="O60" s="277"/>
      <c r="P60" s="277"/>
      <c r="Q60" s="277"/>
      <c r="R60" s="277"/>
      <c r="S60" s="277"/>
      <c r="T60" s="277"/>
      <c r="U60" s="277"/>
      <c r="V60" s="278"/>
    </row>
    <row r="61" spans="2:22" ht="15.75" customHeight="1">
      <c r="B61" s="215"/>
      <c r="C61" s="309"/>
      <c r="D61" s="311"/>
      <c r="E61" s="310"/>
      <c r="F61" s="310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</row>
    <row r="62" spans="2:22" ht="15.75" customHeight="1">
      <c r="B62" s="214"/>
      <c r="C62" s="107"/>
      <c r="D62" s="311"/>
      <c r="E62" s="310"/>
      <c r="F62" s="310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</row>
    <row r="63" spans="2:22"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</row>
    <row r="64" spans="2:22"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</row>
    <row r="65" spans="4:21"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</row>
    <row r="66" spans="4:21">
      <c r="D66" s="311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</row>
    <row r="67" spans="4:21"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</row>
    <row r="68" spans="4:21"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</row>
    <row r="69" spans="4:21"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</row>
    <row r="70" spans="4:21"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</row>
    <row r="71" spans="4:21"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</row>
    <row r="72" spans="4:21"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</row>
  </sheetData>
  <mergeCells count="5">
    <mergeCell ref="A1:A2"/>
    <mergeCell ref="B1:B2"/>
    <mergeCell ref="C1:E1"/>
    <mergeCell ref="A43:B43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146"/>
  <sheetViews>
    <sheetView workbookViewId="0">
      <pane ySplit="2" topLeftCell="A116" activePane="bottomLeft" state="frozen"/>
      <selection pane="bottomLeft" activeCell="A48" sqref="A48:E164"/>
    </sheetView>
  </sheetViews>
  <sheetFormatPr defaultRowHeight="11.25"/>
  <cols>
    <col min="1" max="1" width="7.28515625" style="8" bestFit="1" customWidth="1"/>
    <col min="2" max="2" width="79.5703125" style="13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9.140625" style="81" customWidth="1"/>
    <col min="11" max="11" width="7.85546875" style="81" customWidth="1"/>
    <col min="12" max="27" width="7.140625" style="81" customWidth="1"/>
    <col min="28" max="28" width="7.7109375" style="81" customWidth="1"/>
    <col min="29" max="29" width="7.140625" style="81" customWidth="1"/>
    <col min="30" max="33" width="6.140625" style="81" customWidth="1"/>
    <col min="34" max="34" width="7.85546875" style="81" customWidth="1"/>
    <col min="35" max="35" width="16.28515625" style="81" customWidth="1"/>
    <col min="36" max="36" width="8.5703125" style="81" customWidth="1"/>
    <col min="37" max="37" width="7.140625" style="81" customWidth="1"/>
    <col min="38" max="38" width="8.140625" style="81" customWidth="1"/>
    <col min="39" max="39" width="7.7109375" style="81" customWidth="1"/>
    <col min="40" max="40" width="7" style="81" customWidth="1"/>
    <col min="41" max="41" width="6.140625" style="81" customWidth="1"/>
    <col min="42" max="46" width="7.85546875" style="81" customWidth="1"/>
    <col min="47" max="47" width="6.140625" style="81" customWidth="1"/>
    <col min="48" max="48" width="6.140625" style="346" customWidth="1"/>
    <col min="49" max="49" width="6.140625" style="81" customWidth="1"/>
    <col min="50" max="51" width="8.28515625" style="81" customWidth="1"/>
    <col min="52" max="52" width="6.140625" style="81" customWidth="1"/>
    <col min="53" max="53" width="8.85546875" style="81" customWidth="1"/>
    <col min="54" max="55" width="6.140625" style="81" customWidth="1"/>
    <col min="56" max="56" width="8" style="81" customWidth="1"/>
    <col min="57" max="58" width="6.140625" style="81" customWidth="1"/>
    <col min="59" max="59" width="7.42578125" style="81" customWidth="1"/>
    <col min="60" max="60" width="8.5703125" style="81" customWidth="1"/>
    <col min="61" max="67" width="6.140625" style="81" customWidth="1"/>
    <col min="68" max="68" width="7.5703125" style="346" customWidth="1"/>
    <col min="69" max="69" width="6.140625" style="81" customWidth="1"/>
    <col min="70" max="70" width="8.7109375" style="81" customWidth="1"/>
    <col min="71" max="71" width="5.5703125" style="81" customWidth="1"/>
    <col min="72" max="78" width="10.5703125" style="81" customWidth="1"/>
    <col min="79" max="80" width="12.42578125" style="81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686" t="s">
        <v>1</v>
      </c>
      <c r="B1" s="860" t="s">
        <v>0</v>
      </c>
      <c r="C1" s="863" t="s">
        <v>92</v>
      </c>
      <c r="D1" s="864"/>
      <c r="E1" s="851" t="s">
        <v>93</v>
      </c>
      <c r="F1" s="851"/>
      <c r="G1" s="851"/>
      <c r="H1" s="852" t="s">
        <v>166</v>
      </c>
      <c r="I1" s="852"/>
      <c r="J1" s="851" t="s">
        <v>170</v>
      </c>
      <c r="K1" s="851"/>
      <c r="L1" s="851"/>
      <c r="M1" s="851"/>
      <c r="N1" s="851"/>
      <c r="O1" s="851"/>
      <c r="P1" s="851"/>
      <c r="Q1" s="851"/>
      <c r="R1" s="851"/>
      <c r="S1" s="851"/>
      <c r="T1" s="851"/>
      <c r="U1" s="851"/>
      <c r="V1" s="851"/>
      <c r="W1" s="851"/>
      <c r="X1" s="851"/>
      <c r="Y1" s="851"/>
      <c r="Z1" s="851"/>
      <c r="AA1" s="851"/>
      <c r="AB1" s="851"/>
      <c r="AC1" s="851"/>
      <c r="AD1" s="851"/>
      <c r="AE1" s="851"/>
      <c r="AF1" s="851"/>
      <c r="AG1" s="851"/>
      <c r="AH1" s="851"/>
      <c r="AI1" s="851"/>
      <c r="AJ1" s="862" t="s">
        <v>171</v>
      </c>
      <c r="AK1" s="862"/>
      <c r="AL1" s="862"/>
      <c r="AM1" s="862"/>
      <c r="AN1" s="862"/>
      <c r="AO1" s="862"/>
      <c r="AP1" s="862"/>
      <c r="AQ1" s="862"/>
      <c r="AR1" s="862"/>
      <c r="AS1" s="862"/>
      <c r="AT1" s="862"/>
      <c r="AU1" s="862"/>
      <c r="AV1" s="862"/>
      <c r="AW1" s="862"/>
      <c r="AX1" s="862"/>
      <c r="AY1" s="853" t="s">
        <v>187</v>
      </c>
      <c r="AZ1" s="854"/>
      <c r="BA1" s="854"/>
      <c r="BB1" s="854"/>
      <c r="BC1" s="854"/>
      <c r="BD1" s="855"/>
      <c r="BE1" s="856" t="s">
        <v>191</v>
      </c>
      <c r="BF1" s="857"/>
      <c r="BG1" s="857"/>
      <c r="BH1" s="858"/>
      <c r="BI1" s="859" t="s">
        <v>179</v>
      </c>
      <c r="BJ1" s="859"/>
      <c r="BK1" s="859"/>
      <c r="BL1" s="859"/>
      <c r="BM1" s="859"/>
      <c r="BN1" s="859"/>
      <c r="BO1" s="859"/>
      <c r="BP1" s="859"/>
      <c r="BQ1" s="859"/>
      <c r="BR1" s="859"/>
      <c r="BS1" s="859"/>
      <c r="BT1" s="859"/>
      <c r="BU1" s="865" t="s">
        <v>492</v>
      </c>
      <c r="BV1" s="866"/>
      <c r="BW1" s="866"/>
      <c r="BX1" s="866"/>
      <c r="BY1" s="866"/>
      <c r="BZ1" s="867"/>
      <c r="CA1" s="850" t="s">
        <v>286</v>
      </c>
      <c r="CB1" s="850"/>
      <c r="CC1" s="850"/>
    </row>
    <row r="2" spans="1:81" ht="23.25" thickBot="1">
      <c r="A2" s="687"/>
      <c r="B2" s="861"/>
      <c r="C2" s="152"/>
      <c r="D2" s="171" t="s">
        <v>90</v>
      </c>
      <c r="E2" s="134"/>
      <c r="F2" s="172" t="s">
        <v>90</v>
      </c>
      <c r="G2" s="133" t="s">
        <v>165</v>
      </c>
      <c r="H2" s="134"/>
      <c r="I2" s="199" t="s">
        <v>90</v>
      </c>
      <c r="J2" s="134" t="s">
        <v>238</v>
      </c>
      <c r="K2" s="134" t="s">
        <v>239</v>
      </c>
      <c r="L2" s="134" t="s">
        <v>240</v>
      </c>
      <c r="M2" s="134" t="s">
        <v>241</v>
      </c>
      <c r="N2" s="134" t="s">
        <v>242</v>
      </c>
      <c r="O2" s="134" t="s">
        <v>462</v>
      </c>
      <c r="P2" s="134" t="s">
        <v>479</v>
      </c>
      <c r="Q2" s="134" t="s">
        <v>483</v>
      </c>
      <c r="R2" s="134" t="s">
        <v>533</v>
      </c>
      <c r="S2" s="134" t="s">
        <v>243</v>
      </c>
      <c r="T2" s="134" t="s">
        <v>427</v>
      </c>
      <c r="U2" s="134" t="s">
        <v>428</v>
      </c>
      <c r="V2" s="134" t="s">
        <v>456</v>
      </c>
      <c r="W2" s="134" t="s">
        <v>535</v>
      </c>
      <c r="X2" s="134" t="s">
        <v>465</v>
      </c>
      <c r="Y2" s="134" t="s">
        <v>536</v>
      </c>
      <c r="Z2" s="134" t="s">
        <v>244</v>
      </c>
      <c r="AA2" s="134" t="s">
        <v>245</v>
      </c>
      <c r="AB2" s="134" t="s">
        <v>246</v>
      </c>
      <c r="AC2" s="134" t="s">
        <v>280</v>
      </c>
      <c r="AD2" s="134" t="s">
        <v>278</v>
      </c>
      <c r="AE2" s="134" t="s">
        <v>279</v>
      </c>
      <c r="AF2" s="134"/>
      <c r="AG2" s="134"/>
      <c r="AH2" s="134" t="s">
        <v>47</v>
      </c>
      <c r="AI2" s="132" t="s">
        <v>29</v>
      </c>
      <c r="AJ2" s="134" t="s">
        <v>172</v>
      </c>
      <c r="AK2" s="134" t="s">
        <v>173</v>
      </c>
      <c r="AL2" s="134" t="s">
        <v>174</v>
      </c>
      <c r="AM2" s="134" t="s">
        <v>176</v>
      </c>
      <c r="AN2" s="134" t="s">
        <v>177</v>
      </c>
      <c r="AO2" s="134" t="s">
        <v>178</v>
      </c>
      <c r="AP2" s="134" t="s">
        <v>266</v>
      </c>
      <c r="AQ2" s="134" t="s">
        <v>267</v>
      </c>
      <c r="AR2" s="134" t="s">
        <v>268</v>
      </c>
      <c r="AS2" s="134" t="s">
        <v>486</v>
      </c>
      <c r="AT2" s="134" t="s">
        <v>458</v>
      </c>
      <c r="AU2" s="134" t="s">
        <v>459</v>
      </c>
      <c r="AV2" s="134"/>
      <c r="AW2" s="134"/>
      <c r="AX2" s="137" t="s">
        <v>47</v>
      </c>
      <c r="AY2" s="134" t="s">
        <v>184</v>
      </c>
      <c r="AZ2" s="134" t="s">
        <v>185</v>
      </c>
      <c r="BA2" s="134" t="s">
        <v>188</v>
      </c>
      <c r="BB2" s="134" t="s">
        <v>186</v>
      </c>
      <c r="BC2" s="134" t="s">
        <v>190</v>
      </c>
      <c r="BD2" s="132" t="s">
        <v>47</v>
      </c>
      <c r="BE2" s="134" t="s">
        <v>195</v>
      </c>
      <c r="BF2" s="134" t="s">
        <v>196</v>
      </c>
      <c r="BG2" s="134" t="s">
        <v>197</v>
      </c>
      <c r="BH2" s="135" t="s">
        <v>47</v>
      </c>
      <c r="BI2" s="134" t="s">
        <v>206</v>
      </c>
      <c r="BJ2" s="134" t="s">
        <v>207</v>
      </c>
      <c r="BK2" s="134" t="s">
        <v>210</v>
      </c>
      <c r="BL2" s="134" t="s">
        <v>215</v>
      </c>
      <c r="BM2" s="134" t="s">
        <v>216</v>
      </c>
      <c r="BN2" s="134" t="s">
        <v>217</v>
      </c>
      <c r="BO2" s="134" t="s">
        <v>281</v>
      </c>
      <c r="BP2" s="134" t="s">
        <v>282</v>
      </c>
      <c r="BQ2" s="134" t="s">
        <v>445</v>
      </c>
      <c r="BR2" s="134" t="s">
        <v>446</v>
      </c>
      <c r="BS2" s="134"/>
      <c r="BT2" s="132" t="s">
        <v>47</v>
      </c>
      <c r="BU2" s="134"/>
      <c r="BV2" s="134"/>
      <c r="BW2" s="134"/>
      <c r="BX2" s="134"/>
      <c r="BY2" s="134"/>
      <c r="BZ2" s="137" t="s">
        <v>493</v>
      </c>
      <c r="CA2" s="152" t="s">
        <v>135</v>
      </c>
      <c r="CB2" s="306" t="s">
        <v>478</v>
      </c>
      <c r="CC2" s="170" t="s">
        <v>285</v>
      </c>
    </row>
    <row r="3" spans="1:81" s="5" customFormat="1">
      <c r="A3" s="411" t="str">
        <f>'1-συμβολαια'!A3</f>
        <v>10ο</v>
      </c>
      <c r="B3" s="343" t="str">
        <f>'1-συμβολαια'!C3</f>
        <v>κληρονομιάς ΑΠΟΔΟΧΗ</v>
      </c>
      <c r="C3" s="394">
        <f>'5-αντίγρ'!AN3</f>
        <v>63.349999999999994</v>
      </c>
      <c r="D3" s="394">
        <f>'5-αντίγρ'!AM3</f>
        <v>3.96</v>
      </c>
      <c r="E3" s="305">
        <f>'6-μεταγρ'!P3</f>
        <v>11.74</v>
      </c>
      <c r="F3" s="305">
        <f>'6-μεταγρ'!N3+'6-μεταγρ'!O3</f>
        <v>5.9399999999999995</v>
      </c>
      <c r="G3" s="305"/>
      <c r="H3" s="305">
        <f>'7-προςΔΟΥ'!V3</f>
        <v>429.9</v>
      </c>
      <c r="I3" s="268">
        <f>'7-προςΔΟΥ'!K3</f>
        <v>0</v>
      </c>
      <c r="J3" s="269">
        <f>5.87+5.87+(5*3.23)</f>
        <v>27.89</v>
      </c>
      <c r="K3" s="269">
        <f>4*3.23</f>
        <v>12.92</v>
      </c>
      <c r="L3" s="269">
        <f>4*3.23</f>
        <v>12.92</v>
      </c>
      <c r="M3" s="269">
        <v>3.23</v>
      </c>
      <c r="N3" s="269">
        <v>3.23</v>
      </c>
      <c r="O3" s="269"/>
      <c r="P3" s="269">
        <f>4*3.23</f>
        <v>12.92</v>
      </c>
      <c r="Q3" s="269">
        <v>3.23</v>
      </c>
      <c r="R3" s="269">
        <f>4*3.23</f>
        <v>12.92</v>
      </c>
      <c r="S3" s="269"/>
      <c r="T3" s="269"/>
      <c r="U3" s="269"/>
      <c r="V3" s="269">
        <f>4*3.23</f>
        <v>12.92</v>
      </c>
      <c r="W3" s="269"/>
      <c r="X3" s="269"/>
      <c r="Y3" s="269">
        <f>2*(5.87+8.8)+5*3.23</f>
        <v>45.49</v>
      </c>
      <c r="Z3" s="269">
        <f>2*(5.87+8.8)+3.23</f>
        <v>32.57</v>
      </c>
      <c r="AA3" s="269">
        <f>5.87+5.87+3.23</f>
        <v>14.97</v>
      </c>
      <c r="AB3" s="269">
        <f>2*1.98</f>
        <v>3.96</v>
      </c>
      <c r="AC3" s="269"/>
      <c r="AD3" s="269"/>
      <c r="AE3" s="267"/>
      <c r="AF3" s="267"/>
      <c r="AG3" s="267"/>
      <c r="AH3" s="269">
        <f t="shared" ref="AH3" si="0">SUM(J3:AG3)</f>
        <v>199.17000000000002</v>
      </c>
      <c r="AI3" s="267"/>
      <c r="AJ3" s="269">
        <f>4*3.23</f>
        <v>12.92</v>
      </c>
      <c r="AK3" s="269">
        <f>4*3.23</f>
        <v>12.92</v>
      </c>
      <c r="AL3" s="269">
        <f>4*3.23</f>
        <v>12.92</v>
      </c>
      <c r="AM3" s="269">
        <f>4*3.23</f>
        <v>12.92</v>
      </c>
      <c r="AN3" s="269"/>
      <c r="AO3" s="269"/>
      <c r="AP3" s="269"/>
      <c r="AQ3" s="269"/>
      <c r="AR3" s="269"/>
      <c r="AS3" s="269"/>
      <c r="AT3" s="269"/>
      <c r="AU3" s="269"/>
      <c r="AV3" s="269"/>
      <c r="AW3" s="267"/>
      <c r="AX3" s="269">
        <f t="shared" ref="AX3" si="1">SUM(AJ3:AW3)</f>
        <v>51.68</v>
      </c>
      <c r="AY3" s="269">
        <f>5.87+5.87+4*3.23</f>
        <v>24.66</v>
      </c>
      <c r="AZ3" s="267"/>
      <c r="BA3" s="269">
        <f>5.87+5.87+4*3.23</f>
        <v>24.66</v>
      </c>
      <c r="BB3" s="267"/>
      <c r="BC3" s="267"/>
      <c r="BD3" s="269">
        <f t="shared" ref="BD3" si="2">SUM(AY3:BC3)</f>
        <v>49.32</v>
      </c>
      <c r="BE3" s="267"/>
      <c r="BF3" s="267"/>
      <c r="BG3" s="267"/>
      <c r="BH3" s="267">
        <f t="shared" ref="BH3" si="3">SUM(BE3:BG3)</f>
        <v>0</v>
      </c>
      <c r="BI3" s="267"/>
      <c r="BJ3" s="267"/>
      <c r="BK3" s="267"/>
      <c r="BL3" s="267"/>
      <c r="BM3" s="267"/>
      <c r="BN3" s="267"/>
      <c r="BO3" s="267"/>
      <c r="BP3" s="269">
        <f>9*1.5</f>
        <v>13.5</v>
      </c>
      <c r="BQ3" s="269">
        <v>0.3</v>
      </c>
      <c r="BR3" s="269">
        <f>4*0.3</f>
        <v>1.2</v>
      </c>
      <c r="BS3" s="263"/>
      <c r="BT3" s="269">
        <f t="shared" ref="BT3" si="4">SUM(BI3:BS3)</f>
        <v>15</v>
      </c>
      <c r="BU3" s="305"/>
      <c r="BV3" s="305"/>
      <c r="BW3" s="305"/>
      <c r="BX3" s="305"/>
      <c r="BY3" s="305"/>
      <c r="BZ3" s="305">
        <f t="shared" ref="BZ3" si="5">BU3+BV3+BW3+BX3</f>
        <v>0</v>
      </c>
      <c r="CA3" s="365">
        <f t="shared" ref="CA3" si="6">C3+G3+H3+AH3-AB3+AX3+BD3+BH3+BT3-BP3+BZ3-BX3</f>
        <v>790.96</v>
      </c>
      <c r="CB3" s="365">
        <f t="shared" ref="CB3" si="7">D3+F3+I3+AD3+BY3</f>
        <v>9.8999999999999986</v>
      </c>
      <c r="CC3" s="326"/>
    </row>
    <row r="4" spans="1:81" s="5" customFormat="1">
      <c r="A4" s="411">
        <f>'1-συμβολαια'!A4</f>
        <v>0</v>
      </c>
      <c r="B4" s="343" t="str">
        <f>'1-συμβολαια'!C4</f>
        <v>ΧΡΗΣΙΚΤΗΣΙΑ οικοπέδου &amp; οικοδομής = 1992 αδερφού ΚΛΗΡΟΝΟΜΙΑ άτυπη</v>
      </c>
      <c r="C4" s="394">
        <f>'5-αντίγρ'!AN4</f>
        <v>0</v>
      </c>
      <c r="D4" s="394">
        <f>'5-αντίγρ'!AM4</f>
        <v>0</v>
      </c>
      <c r="E4" s="305">
        <f>'6-μεταγρ'!P4</f>
        <v>0</v>
      </c>
      <c r="F4" s="305">
        <f>'6-μεταγρ'!N4+'6-μεταγρ'!O4</f>
        <v>0</v>
      </c>
      <c r="G4" s="305"/>
      <c r="H4" s="305">
        <f>'7-προςΔΟΥ'!V4</f>
        <v>164.14999999999998</v>
      </c>
      <c r="I4" s="268">
        <f>'7-προςΔΟΥ'!K4</f>
        <v>0</v>
      </c>
      <c r="J4" s="269"/>
      <c r="K4" s="269"/>
      <c r="L4" s="269"/>
      <c r="M4" s="269"/>
      <c r="N4" s="269">
        <v>3.23</v>
      </c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7"/>
      <c r="AF4" s="267"/>
      <c r="AG4" s="267"/>
      <c r="AH4" s="269">
        <f t="shared" ref="AH4:AH27" si="8">SUM(J4:AG4)</f>
        <v>3.23</v>
      </c>
      <c r="AI4" s="267"/>
      <c r="AJ4" s="269"/>
      <c r="AK4" s="269"/>
      <c r="AL4" s="269"/>
      <c r="AM4" s="269"/>
      <c r="AN4" s="269"/>
      <c r="AO4" s="269"/>
      <c r="AP4" s="269"/>
      <c r="AQ4" s="269"/>
      <c r="AR4" s="269"/>
      <c r="AS4" s="269"/>
      <c r="AT4" s="269"/>
      <c r="AU4" s="269"/>
      <c r="AV4" s="269"/>
      <c r="AW4" s="267"/>
      <c r="AX4" s="269">
        <f t="shared" ref="AX4:AX27" si="9">SUM(AJ4:AW4)</f>
        <v>0</v>
      </c>
      <c r="AY4" s="269"/>
      <c r="AZ4" s="267"/>
      <c r="BA4" s="269"/>
      <c r="BB4" s="267"/>
      <c r="BC4" s="267"/>
      <c r="BD4" s="269">
        <f t="shared" ref="BD4:BD27" si="10">SUM(AY4:BC4)</f>
        <v>0</v>
      </c>
      <c r="BE4" s="267"/>
      <c r="BF4" s="267"/>
      <c r="BG4" s="267"/>
      <c r="BH4" s="267">
        <f t="shared" ref="BH4:BH27" si="11">SUM(BE4:BG4)</f>
        <v>0</v>
      </c>
      <c r="BI4" s="267"/>
      <c r="BJ4" s="267"/>
      <c r="BK4" s="267"/>
      <c r="BL4" s="267"/>
      <c r="BM4" s="267"/>
      <c r="BN4" s="267"/>
      <c r="BO4" s="267"/>
      <c r="BP4" s="269"/>
      <c r="BQ4" s="269"/>
      <c r="BR4" s="269"/>
      <c r="BS4" s="263"/>
      <c r="BT4" s="269">
        <f t="shared" ref="BT4:BT27" si="12">SUM(BI4:BS4)</f>
        <v>0</v>
      </c>
      <c r="BU4" s="305"/>
      <c r="BV4" s="305"/>
      <c r="BW4" s="305"/>
      <c r="BX4" s="305"/>
      <c r="BY4" s="305"/>
      <c r="BZ4" s="305">
        <f t="shared" ref="BZ4:BZ27" si="13">BU4+BV4+BW4+BX4</f>
        <v>0</v>
      </c>
      <c r="CA4" s="365">
        <f t="shared" ref="CA4:CA27" si="14">C4+G4+H4+AH4-AB4+AX4+BD4+BH4+BT4-BP4+BZ4-BX4</f>
        <v>167.37999999999997</v>
      </c>
      <c r="CB4" s="365">
        <f t="shared" ref="CB4:CB27" si="15">D4+F4+I4+AD4+BY4</f>
        <v>0</v>
      </c>
      <c r="CC4" s="326"/>
    </row>
    <row r="5" spans="1:81" s="5" customFormat="1">
      <c r="A5" s="411">
        <f>'1-συμβολαια'!A5</f>
        <v>0</v>
      </c>
      <c r="B5" s="343" t="str">
        <f>'1-συμβολαια'!C5</f>
        <v>ΧΡΗΣΙΚΤΗΣΙΑ οικοπέδων 2'-3' = 1992 αδερφού ΚΛΗΡΟΝΟΜΙΑ άτυπη</v>
      </c>
      <c r="C5" s="394">
        <f>'5-αντίγρ'!AN5</f>
        <v>0</v>
      </c>
      <c r="D5" s="394">
        <f>'5-αντίγρ'!AM5</f>
        <v>0</v>
      </c>
      <c r="E5" s="305">
        <f>'6-μεταγρ'!P5</f>
        <v>0</v>
      </c>
      <c r="F5" s="305">
        <f>'6-μεταγρ'!N5+'6-μεταγρ'!O5</f>
        <v>0</v>
      </c>
      <c r="G5" s="305"/>
      <c r="H5" s="305">
        <f>'7-προςΔΟΥ'!V5</f>
        <v>149.46999999999997</v>
      </c>
      <c r="I5" s="268">
        <f>'7-προςΔΟΥ'!K5</f>
        <v>0</v>
      </c>
      <c r="J5" s="269"/>
      <c r="K5" s="269"/>
      <c r="L5" s="269"/>
      <c r="M5" s="269"/>
      <c r="N5" s="269"/>
      <c r="O5" s="269"/>
      <c r="P5" s="269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  <c r="AB5" s="269"/>
      <c r="AC5" s="269"/>
      <c r="AD5" s="269"/>
      <c r="AE5" s="267"/>
      <c r="AF5" s="267"/>
      <c r="AG5" s="267"/>
      <c r="AH5" s="269">
        <f t="shared" si="8"/>
        <v>0</v>
      </c>
      <c r="AI5" s="267"/>
      <c r="AJ5" s="269"/>
      <c r="AK5" s="269"/>
      <c r="AL5" s="269"/>
      <c r="AM5" s="269"/>
      <c r="AN5" s="269"/>
      <c r="AO5" s="269"/>
      <c r="AP5" s="269"/>
      <c r="AQ5" s="269"/>
      <c r="AR5" s="269"/>
      <c r="AS5" s="269"/>
      <c r="AT5" s="269"/>
      <c r="AU5" s="269"/>
      <c r="AV5" s="269"/>
      <c r="AW5" s="267"/>
      <c r="AX5" s="269">
        <f t="shared" si="9"/>
        <v>0</v>
      </c>
      <c r="AY5" s="269"/>
      <c r="AZ5" s="267"/>
      <c r="BA5" s="269"/>
      <c r="BB5" s="267"/>
      <c r="BC5" s="267"/>
      <c r="BD5" s="269">
        <f t="shared" si="10"/>
        <v>0</v>
      </c>
      <c r="BE5" s="267"/>
      <c r="BF5" s="267"/>
      <c r="BG5" s="267"/>
      <c r="BH5" s="267">
        <f t="shared" si="11"/>
        <v>0</v>
      </c>
      <c r="BI5" s="267"/>
      <c r="BJ5" s="267"/>
      <c r="BK5" s="267"/>
      <c r="BL5" s="267"/>
      <c r="BM5" s="267"/>
      <c r="BN5" s="267"/>
      <c r="BO5" s="267"/>
      <c r="BP5" s="269"/>
      <c r="BQ5" s="269"/>
      <c r="BR5" s="269"/>
      <c r="BS5" s="263"/>
      <c r="BT5" s="269">
        <f t="shared" si="12"/>
        <v>0</v>
      </c>
      <c r="BU5" s="305"/>
      <c r="BV5" s="305"/>
      <c r="BW5" s="305"/>
      <c r="BX5" s="305"/>
      <c r="BY5" s="305"/>
      <c r="BZ5" s="305">
        <f t="shared" si="13"/>
        <v>0</v>
      </c>
      <c r="CA5" s="365">
        <f t="shared" si="14"/>
        <v>149.46999999999997</v>
      </c>
      <c r="CB5" s="365">
        <f t="shared" si="15"/>
        <v>0</v>
      </c>
      <c r="CC5" s="326"/>
    </row>
    <row r="6" spans="1:81" s="5" customFormat="1">
      <c r="A6" s="411">
        <f>'1-συμβολαια'!A6</f>
        <v>0</v>
      </c>
      <c r="B6" s="343" t="str">
        <f>'1-συμβολαια'!C6</f>
        <v>ΧΡΗΣΙΚΤΗΣΙΑ αγροτεμαχίου 9' = 1968 μητρός ΚΛΗΡΟΝΟΜΙΑ άτυπη</v>
      </c>
      <c r="C6" s="394">
        <f>'5-αντίγρ'!AN6</f>
        <v>0</v>
      </c>
      <c r="D6" s="394">
        <f>'5-αντίγρ'!AM6</f>
        <v>0</v>
      </c>
      <c r="E6" s="305">
        <f>'6-μεταγρ'!P6</f>
        <v>0</v>
      </c>
      <c r="F6" s="305">
        <f>'6-μεταγρ'!N6+'6-μεταγρ'!O6</f>
        <v>0</v>
      </c>
      <c r="G6" s="305"/>
      <c r="H6" s="305">
        <f>'7-προςΔΟΥ'!V6</f>
        <v>64.31</v>
      </c>
      <c r="I6" s="268">
        <f>'7-προςΔΟΥ'!K6</f>
        <v>0</v>
      </c>
      <c r="J6" s="269"/>
      <c r="K6" s="269"/>
      <c r="L6" s="269"/>
      <c r="M6" s="269"/>
      <c r="N6" s="269">
        <v>3.23</v>
      </c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7"/>
      <c r="AF6" s="267"/>
      <c r="AG6" s="267"/>
      <c r="AH6" s="269">
        <f t="shared" si="8"/>
        <v>3.23</v>
      </c>
      <c r="AI6" s="267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7"/>
      <c r="AX6" s="269">
        <f t="shared" si="9"/>
        <v>0</v>
      </c>
      <c r="AY6" s="269"/>
      <c r="AZ6" s="267"/>
      <c r="BA6" s="269"/>
      <c r="BB6" s="267"/>
      <c r="BC6" s="267"/>
      <c r="BD6" s="269">
        <f t="shared" si="10"/>
        <v>0</v>
      </c>
      <c r="BE6" s="267"/>
      <c r="BF6" s="267"/>
      <c r="BG6" s="267"/>
      <c r="BH6" s="267">
        <f t="shared" si="11"/>
        <v>0</v>
      </c>
      <c r="BI6" s="267"/>
      <c r="BJ6" s="267"/>
      <c r="BK6" s="267"/>
      <c r="BL6" s="267"/>
      <c r="BM6" s="267"/>
      <c r="BN6" s="267"/>
      <c r="BO6" s="267"/>
      <c r="BP6" s="269"/>
      <c r="BQ6" s="269"/>
      <c r="BR6" s="269"/>
      <c r="BS6" s="263"/>
      <c r="BT6" s="269">
        <f t="shared" si="12"/>
        <v>0</v>
      </c>
      <c r="BU6" s="305"/>
      <c r="BV6" s="305"/>
      <c r="BW6" s="305"/>
      <c r="BX6" s="305"/>
      <c r="BY6" s="305"/>
      <c r="BZ6" s="305">
        <f t="shared" si="13"/>
        <v>0</v>
      </c>
      <c r="CA6" s="365">
        <f t="shared" si="14"/>
        <v>67.540000000000006</v>
      </c>
      <c r="CB6" s="365">
        <f t="shared" si="15"/>
        <v>0</v>
      </c>
      <c r="CC6" s="326"/>
    </row>
    <row r="7" spans="1:81" s="5" customFormat="1">
      <c r="A7" s="411">
        <f>'1-συμβολαια'!A7</f>
        <v>0</v>
      </c>
      <c r="B7" s="343" t="str">
        <f>'1-συμβολαια'!C7</f>
        <v>ΧΡΗΣΙΚΤΗΣΙΑ οικοπέδου 4' = 19?? ΑΓΟΡΑΠΩΛΗΣΙΑ άτυπη</v>
      </c>
      <c r="C7" s="394">
        <f>'5-αντίγρ'!AN7</f>
        <v>0</v>
      </c>
      <c r="D7" s="394">
        <f>'5-αντίγρ'!AM7</f>
        <v>0</v>
      </c>
      <c r="E7" s="305">
        <f>'6-μεταγρ'!P7</f>
        <v>0</v>
      </c>
      <c r="F7" s="305">
        <f>'6-μεταγρ'!N7+'6-μεταγρ'!O7</f>
        <v>0</v>
      </c>
      <c r="G7" s="305"/>
      <c r="H7" s="305">
        <f>'7-προςΔΟΥ'!V7</f>
        <v>114.22999999999999</v>
      </c>
      <c r="I7" s="268">
        <f>'7-προςΔΟΥ'!K7</f>
        <v>0</v>
      </c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69"/>
      <c r="AC7" s="269"/>
      <c r="AD7" s="269"/>
      <c r="AE7" s="267"/>
      <c r="AF7" s="267"/>
      <c r="AG7" s="267"/>
      <c r="AH7" s="269">
        <f t="shared" si="8"/>
        <v>0</v>
      </c>
      <c r="AI7" s="267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7"/>
      <c r="AX7" s="269">
        <f t="shared" si="9"/>
        <v>0</v>
      </c>
      <c r="AY7" s="269"/>
      <c r="AZ7" s="267"/>
      <c r="BA7" s="269"/>
      <c r="BB7" s="267"/>
      <c r="BC7" s="267"/>
      <c r="BD7" s="269">
        <f t="shared" si="10"/>
        <v>0</v>
      </c>
      <c r="BE7" s="267"/>
      <c r="BF7" s="267"/>
      <c r="BG7" s="267"/>
      <c r="BH7" s="267">
        <f t="shared" si="11"/>
        <v>0</v>
      </c>
      <c r="BI7" s="267"/>
      <c r="BJ7" s="267"/>
      <c r="BK7" s="267"/>
      <c r="BL7" s="267"/>
      <c r="BM7" s="267"/>
      <c r="BN7" s="267"/>
      <c r="BO7" s="267"/>
      <c r="BP7" s="269"/>
      <c r="BQ7" s="269"/>
      <c r="BR7" s="269"/>
      <c r="BS7" s="263"/>
      <c r="BT7" s="269">
        <f t="shared" si="12"/>
        <v>0</v>
      </c>
      <c r="BU7" s="305"/>
      <c r="BV7" s="305"/>
      <c r="BW7" s="305"/>
      <c r="BX7" s="305"/>
      <c r="BY7" s="305"/>
      <c r="BZ7" s="305">
        <f t="shared" si="13"/>
        <v>0</v>
      </c>
      <c r="CA7" s="365">
        <f t="shared" si="14"/>
        <v>114.22999999999999</v>
      </c>
      <c r="CB7" s="365">
        <f t="shared" si="15"/>
        <v>0</v>
      </c>
      <c r="CC7" s="326"/>
    </row>
    <row r="8" spans="1:81" s="5" customFormat="1" ht="12" thickBot="1">
      <c r="A8" s="435">
        <f>'1-συμβολαια'!A8</f>
        <v>0</v>
      </c>
      <c r="B8" s="436" t="str">
        <f>'1-συμβολαια'!C8</f>
        <v>ΧΡΗΣΙΚΤΗΣΙΑ αγροτεμαχίου 8' = 19??? ΑΓΟΡΑΠΩΛΗΣΙΑ άτυπη</v>
      </c>
      <c r="C8" s="536">
        <f>'5-αντίγρ'!AN8</f>
        <v>0</v>
      </c>
      <c r="D8" s="536">
        <f>'5-αντίγρ'!AM8</f>
        <v>0</v>
      </c>
      <c r="E8" s="619">
        <f>'6-μεταγρ'!P8</f>
        <v>0</v>
      </c>
      <c r="F8" s="619">
        <f>'6-μεταγρ'!N8+'6-μεταγρ'!O8</f>
        <v>0</v>
      </c>
      <c r="G8" s="619"/>
      <c r="H8" s="619">
        <f>'7-προςΔΟΥ'!V8</f>
        <v>64.31</v>
      </c>
      <c r="I8" s="620">
        <f>'7-προςΔΟΥ'!K8</f>
        <v>0</v>
      </c>
      <c r="J8" s="619"/>
      <c r="K8" s="619"/>
      <c r="L8" s="619"/>
      <c r="M8" s="619"/>
      <c r="N8" s="619"/>
      <c r="O8" s="619"/>
      <c r="P8" s="619"/>
      <c r="Q8" s="619"/>
      <c r="R8" s="619"/>
      <c r="S8" s="619"/>
      <c r="T8" s="619"/>
      <c r="U8" s="619"/>
      <c r="V8" s="619"/>
      <c r="W8" s="619"/>
      <c r="X8" s="619"/>
      <c r="Y8" s="619"/>
      <c r="Z8" s="619"/>
      <c r="AA8" s="619"/>
      <c r="AB8" s="619"/>
      <c r="AC8" s="619"/>
      <c r="AD8" s="619"/>
      <c r="AE8" s="626"/>
      <c r="AF8" s="626"/>
      <c r="AG8" s="626"/>
      <c r="AH8" s="619">
        <f t="shared" si="8"/>
        <v>0</v>
      </c>
      <c r="AI8" s="626"/>
      <c r="AJ8" s="619"/>
      <c r="AK8" s="619"/>
      <c r="AL8" s="619"/>
      <c r="AM8" s="619"/>
      <c r="AN8" s="619"/>
      <c r="AO8" s="619"/>
      <c r="AP8" s="619"/>
      <c r="AQ8" s="619"/>
      <c r="AR8" s="619"/>
      <c r="AS8" s="619"/>
      <c r="AT8" s="619"/>
      <c r="AU8" s="619"/>
      <c r="AV8" s="619"/>
      <c r="AW8" s="626"/>
      <c r="AX8" s="619">
        <f t="shared" si="9"/>
        <v>0</v>
      </c>
      <c r="AY8" s="619"/>
      <c r="AZ8" s="626"/>
      <c r="BA8" s="619"/>
      <c r="BB8" s="626"/>
      <c r="BC8" s="626"/>
      <c r="BD8" s="619">
        <f t="shared" si="10"/>
        <v>0</v>
      </c>
      <c r="BE8" s="626"/>
      <c r="BF8" s="626"/>
      <c r="BG8" s="626"/>
      <c r="BH8" s="626">
        <f t="shared" si="11"/>
        <v>0</v>
      </c>
      <c r="BI8" s="626"/>
      <c r="BJ8" s="626"/>
      <c r="BK8" s="626"/>
      <c r="BL8" s="626"/>
      <c r="BM8" s="626"/>
      <c r="BN8" s="626"/>
      <c r="BO8" s="626"/>
      <c r="BP8" s="619"/>
      <c r="BQ8" s="269"/>
      <c r="BR8" s="269"/>
      <c r="BS8" s="263"/>
      <c r="BT8" s="269">
        <f t="shared" si="12"/>
        <v>0</v>
      </c>
      <c r="BU8" s="305"/>
      <c r="BV8" s="305"/>
      <c r="BW8" s="305"/>
      <c r="BX8" s="305"/>
      <c r="BY8" s="305"/>
      <c r="BZ8" s="305">
        <f t="shared" si="13"/>
        <v>0</v>
      </c>
      <c r="CA8" s="365">
        <f t="shared" si="14"/>
        <v>64.31</v>
      </c>
      <c r="CB8" s="365">
        <f t="shared" si="15"/>
        <v>0</v>
      </c>
      <c r="CC8" s="326"/>
    </row>
    <row r="9" spans="1:81" s="5" customFormat="1">
      <c r="A9" s="478" t="str">
        <f>'1-συμβολαια'!A9</f>
        <v>11ο</v>
      </c>
      <c r="B9" s="433" t="str">
        <f>'1-συμβολαια'!C9</f>
        <v>κληρονομιάς ΑΠΟΔΟΧΗ</v>
      </c>
      <c r="C9" s="394">
        <f>'5-αντίγρ'!AN9</f>
        <v>29.07</v>
      </c>
      <c r="D9" s="394">
        <f>'5-αντίγρ'!AM9</f>
        <v>3.96</v>
      </c>
      <c r="E9" s="305">
        <f>'6-μεταγρ'!P9</f>
        <v>0</v>
      </c>
      <c r="F9" s="305">
        <f>'6-μεταγρ'!N9+'6-μεταγρ'!O9</f>
        <v>5.9399999999999995</v>
      </c>
      <c r="G9" s="305"/>
      <c r="H9" s="305">
        <f>'7-προςΔΟΥ'!V9</f>
        <v>418.16</v>
      </c>
      <c r="I9" s="268">
        <f>'7-προςΔΟΥ'!K9</f>
        <v>0</v>
      </c>
      <c r="J9" s="305">
        <f>5*3.23</f>
        <v>16.149999999999999</v>
      </c>
      <c r="K9" s="305">
        <f>4*3.23</f>
        <v>12.92</v>
      </c>
      <c r="L9" s="305">
        <f>4*3.23</f>
        <v>12.92</v>
      </c>
      <c r="M9" s="305">
        <v>3.23</v>
      </c>
      <c r="N9" s="305">
        <v>3.23</v>
      </c>
      <c r="O9" s="305"/>
      <c r="P9" s="305">
        <f>4*3.23</f>
        <v>12.92</v>
      </c>
      <c r="Q9" s="305">
        <v>3.23</v>
      </c>
      <c r="R9" s="305">
        <f>4*3.23</f>
        <v>12.92</v>
      </c>
      <c r="S9" s="305"/>
      <c r="T9" s="305"/>
      <c r="U9" s="305"/>
      <c r="V9" s="305">
        <f>4*3.23</f>
        <v>12.92</v>
      </c>
      <c r="W9" s="305"/>
      <c r="X9" s="305"/>
      <c r="Y9" s="305"/>
      <c r="Z9" s="305"/>
      <c r="AA9" s="305"/>
      <c r="AB9" s="305"/>
      <c r="AC9" s="305"/>
      <c r="AD9" s="305"/>
      <c r="AE9" s="625"/>
      <c r="AF9" s="625"/>
      <c r="AG9" s="625"/>
      <c r="AH9" s="305">
        <f t="shared" si="8"/>
        <v>90.44</v>
      </c>
      <c r="AI9" s="625"/>
      <c r="AJ9" s="305">
        <f>3*3.23</f>
        <v>9.69</v>
      </c>
      <c r="AK9" s="305">
        <f>3*3.23</f>
        <v>9.69</v>
      </c>
      <c r="AL9" s="305">
        <f>3*3.23</f>
        <v>9.69</v>
      </c>
      <c r="AM9" s="305">
        <f>3*3.23</f>
        <v>9.69</v>
      </c>
      <c r="AN9" s="305"/>
      <c r="AO9" s="305"/>
      <c r="AP9" s="305"/>
      <c r="AQ9" s="305"/>
      <c r="AR9" s="305"/>
      <c r="AS9" s="305"/>
      <c r="AT9" s="305"/>
      <c r="AU9" s="305"/>
      <c r="AV9" s="305"/>
      <c r="AW9" s="625"/>
      <c r="AX9" s="305">
        <f t="shared" si="9"/>
        <v>38.76</v>
      </c>
      <c r="AY9" s="305">
        <f>3*3.23</f>
        <v>9.69</v>
      </c>
      <c r="AZ9" s="625"/>
      <c r="BA9" s="305">
        <f>3*3.23</f>
        <v>9.69</v>
      </c>
      <c r="BB9" s="625"/>
      <c r="BC9" s="625"/>
      <c r="BD9" s="305">
        <f t="shared" si="10"/>
        <v>19.38</v>
      </c>
      <c r="BE9" s="625"/>
      <c r="BF9" s="625"/>
      <c r="BG9" s="625"/>
      <c r="BH9" s="625">
        <f t="shared" si="11"/>
        <v>0</v>
      </c>
      <c r="BI9" s="625"/>
      <c r="BJ9" s="625"/>
      <c r="BK9" s="625"/>
      <c r="BL9" s="625"/>
      <c r="BM9" s="625"/>
      <c r="BN9" s="625"/>
      <c r="BO9" s="625"/>
      <c r="BP9" s="269">
        <f>9*1.5</f>
        <v>13.5</v>
      </c>
      <c r="BQ9" s="269">
        <v>0.3</v>
      </c>
      <c r="BR9" s="269">
        <f>3*0.3</f>
        <v>0.89999999999999991</v>
      </c>
      <c r="BS9" s="263"/>
      <c r="BT9" s="269">
        <f t="shared" si="12"/>
        <v>14.700000000000001</v>
      </c>
      <c r="BU9" s="305"/>
      <c r="BV9" s="305"/>
      <c r="BW9" s="305"/>
      <c r="BX9" s="305"/>
      <c r="BY9" s="305"/>
      <c r="BZ9" s="305">
        <f t="shared" si="13"/>
        <v>0</v>
      </c>
      <c r="CA9" s="365">
        <f t="shared" si="14"/>
        <v>597.0100000000001</v>
      </c>
      <c r="CB9" s="365">
        <f t="shared" si="15"/>
        <v>9.8999999999999986</v>
      </c>
      <c r="CC9" s="326"/>
    </row>
    <row r="10" spans="1:81" s="5" customFormat="1">
      <c r="A10" s="450">
        <f>'1-συμβολαια'!A10</f>
        <v>0</v>
      </c>
      <c r="B10" s="343" t="str">
        <f>'1-συμβολαια'!C10</f>
        <v>ΧΡΗΣΙΚΤΗΣΙΑ οικοπέδου &amp; οικοδομής = 1992 αδερφού ΚΛΗΡΟΝΟΜΙΑ άτυπη</v>
      </c>
      <c r="C10" s="394">
        <f>'5-αντίγρ'!AN10</f>
        <v>0</v>
      </c>
      <c r="D10" s="394">
        <f>'5-αντίγρ'!AM10</f>
        <v>0</v>
      </c>
      <c r="E10" s="305">
        <f>'6-μεταγρ'!P10</f>
        <v>0</v>
      </c>
      <c r="F10" s="305">
        <f>'6-μεταγρ'!N10+'6-μεταγρ'!O10</f>
        <v>0</v>
      </c>
      <c r="G10" s="305"/>
      <c r="H10" s="305">
        <f>'7-προςΔΟΥ'!V10</f>
        <v>0</v>
      </c>
      <c r="I10" s="268">
        <f>'7-προςΔΟΥ'!K10</f>
        <v>0</v>
      </c>
      <c r="J10" s="269"/>
      <c r="K10" s="269"/>
      <c r="L10" s="269"/>
      <c r="M10" s="269"/>
      <c r="N10" s="269">
        <v>3.23</v>
      </c>
      <c r="O10" s="269"/>
      <c r="P10" s="269"/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  <c r="AC10" s="269"/>
      <c r="AD10" s="269"/>
      <c r="AE10" s="267"/>
      <c r="AF10" s="267"/>
      <c r="AG10" s="267"/>
      <c r="AH10" s="269">
        <f t="shared" si="8"/>
        <v>3.23</v>
      </c>
      <c r="AI10" s="267"/>
      <c r="AJ10" s="269"/>
      <c r="AK10" s="269"/>
      <c r="AL10" s="269"/>
      <c r="AM10" s="269"/>
      <c r="AN10" s="269"/>
      <c r="AO10" s="269"/>
      <c r="AP10" s="269"/>
      <c r="AQ10" s="269"/>
      <c r="AR10" s="269"/>
      <c r="AS10" s="269"/>
      <c r="AT10" s="269"/>
      <c r="AU10" s="269"/>
      <c r="AV10" s="269"/>
      <c r="AW10" s="267"/>
      <c r="AX10" s="269">
        <f t="shared" si="9"/>
        <v>0</v>
      </c>
      <c r="AY10" s="269"/>
      <c r="AZ10" s="267"/>
      <c r="BA10" s="269"/>
      <c r="BB10" s="267"/>
      <c r="BC10" s="267"/>
      <c r="BD10" s="269">
        <f t="shared" si="10"/>
        <v>0</v>
      </c>
      <c r="BE10" s="267"/>
      <c r="BF10" s="267"/>
      <c r="BG10" s="267"/>
      <c r="BH10" s="267">
        <f t="shared" si="11"/>
        <v>0</v>
      </c>
      <c r="BI10" s="267"/>
      <c r="BJ10" s="267"/>
      <c r="BK10" s="267"/>
      <c r="BL10" s="267"/>
      <c r="BM10" s="267"/>
      <c r="BN10" s="267"/>
      <c r="BO10" s="267"/>
      <c r="BP10" s="269"/>
      <c r="BQ10" s="269"/>
      <c r="BR10" s="269"/>
      <c r="BS10" s="263"/>
      <c r="BT10" s="269">
        <f t="shared" si="12"/>
        <v>0</v>
      </c>
      <c r="BU10" s="305"/>
      <c r="BV10" s="305"/>
      <c r="BW10" s="305"/>
      <c r="BX10" s="305"/>
      <c r="BY10" s="305"/>
      <c r="BZ10" s="305">
        <f t="shared" si="13"/>
        <v>0</v>
      </c>
      <c r="CA10" s="365">
        <f t="shared" si="14"/>
        <v>3.23</v>
      </c>
      <c r="CB10" s="365">
        <f t="shared" si="15"/>
        <v>0</v>
      </c>
      <c r="CC10" s="326"/>
    </row>
    <row r="11" spans="1:81" s="5" customFormat="1">
      <c r="A11" s="450">
        <f>'1-συμβολαια'!A11</f>
        <v>0</v>
      </c>
      <c r="B11" s="343" t="str">
        <f>'1-συμβολαια'!C11</f>
        <v>ΧΡΗΣΙΚΤΗΣΙΑ οικοπέδων 2'-3' = 1992 αδερφού ΚΛΗΡΟΝΟΜΙΑ άτυπη</v>
      </c>
      <c r="C11" s="394">
        <f>'5-αντίγρ'!AN11</f>
        <v>0</v>
      </c>
      <c r="D11" s="394">
        <f>'5-αντίγρ'!AM11</f>
        <v>0</v>
      </c>
      <c r="E11" s="305">
        <f>'6-μεταγρ'!P11</f>
        <v>0</v>
      </c>
      <c r="F11" s="305">
        <f>'6-μεταγρ'!N11+'6-μεταγρ'!O11</f>
        <v>0</v>
      </c>
      <c r="G11" s="305"/>
      <c r="H11" s="305">
        <f>'7-προςΔΟΥ'!V11</f>
        <v>0</v>
      </c>
      <c r="I11" s="268">
        <f>'7-προςΔΟΥ'!K11</f>
        <v>0</v>
      </c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  <c r="X11" s="269"/>
      <c r="Y11" s="269"/>
      <c r="Z11" s="269"/>
      <c r="AA11" s="269"/>
      <c r="AB11" s="269"/>
      <c r="AC11" s="269"/>
      <c r="AD11" s="269"/>
      <c r="AE11" s="267"/>
      <c r="AF11" s="267"/>
      <c r="AG11" s="267"/>
      <c r="AH11" s="269">
        <f t="shared" si="8"/>
        <v>0</v>
      </c>
      <c r="AI11" s="267"/>
      <c r="AJ11" s="269"/>
      <c r="AK11" s="269"/>
      <c r="AL11" s="269"/>
      <c r="AM11" s="269"/>
      <c r="AN11" s="269"/>
      <c r="AO11" s="269"/>
      <c r="AP11" s="269"/>
      <c r="AQ11" s="269"/>
      <c r="AR11" s="269"/>
      <c r="AS11" s="269"/>
      <c r="AT11" s="269"/>
      <c r="AU11" s="269"/>
      <c r="AV11" s="269"/>
      <c r="AW11" s="267"/>
      <c r="AX11" s="269">
        <f t="shared" si="9"/>
        <v>0</v>
      </c>
      <c r="AY11" s="269"/>
      <c r="AZ11" s="267"/>
      <c r="BA11" s="269"/>
      <c r="BB11" s="267"/>
      <c r="BC11" s="267"/>
      <c r="BD11" s="269">
        <f t="shared" si="10"/>
        <v>0</v>
      </c>
      <c r="BE11" s="267"/>
      <c r="BF11" s="267"/>
      <c r="BG11" s="267"/>
      <c r="BH11" s="267">
        <f t="shared" si="11"/>
        <v>0</v>
      </c>
      <c r="BI11" s="267"/>
      <c r="BJ11" s="267"/>
      <c r="BK11" s="267"/>
      <c r="BL11" s="267"/>
      <c r="BM11" s="267"/>
      <c r="BN11" s="267"/>
      <c r="BO11" s="267"/>
      <c r="BP11" s="269"/>
      <c r="BQ11" s="269"/>
      <c r="BR11" s="269"/>
      <c r="BS11" s="263"/>
      <c r="BT11" s="269">
        <f t="shared" si="12"/>
        <v>0</v>
      </c>
      <c r="BU11" s="305"/>
      <c r="BV11" s="305"/>
      <c r="BW11" s="305"/>
      <c r="BX11" s="305"/>
      <c r="BY11" s="305"/>
      <c r="BZ11" s="305">
        <f t="shared" si="13"/>
        <v>0</v>
      </c>
      <c r="CA11" s="365">
        <f t="shared" si="14"/>
        <v>0</v>
      </c>
      <c r="CB11" s="365">
        <f t="shared" si="15"/>
        <v>0</v>
      </c>
      <c r="CC11" s="326"/>
    </row>
    <row r="12" spans="1:81" s="5" customFormat="1">
      <c r="A12" s="450">
        <f>'1-συμβολαια'!A12</f>
        <v>0</v>
      </c>
      <c r="B12" s="343" t="str">
        <f>'1-συμβολαια'!C12</f>
        <v>ΧΡΗΣΙΚΤΗΣΙΑ αγροτεμαχίου 9' = 1968 μητρός ΚΛΗΡΟΝΟΜΙΑ άτυπη</v>
      </c>
      <c r="C12" s="394">
        <f>'5-αντίγρ'!AN12</f>
        <v>0</v>
      </c>
      <c r="D12" s="394">
        <f>'5-αντίγρ'!AM12</f>
        <v>0</v>
      </c>
      <c r="E12" s="305">
        <f>'6-μεταγρ'!P12</f>
        <v>0</v>
      </c>
      <c r="F12" s="305">
        <f>'6-μεταγρ'!N12+'6-μεταγρ'!O12</f>
        <v>0</v>
      </c>
      <c r="G12" s="305"/>
      <c r="H12" s="305">
        <f>'7-προςΔΟΥ'!V12</f>
        <v>0</v>
      </c>
      <c r="I12" s="268">
        <f>'7-προςΔΟΥ'!K12</f>
        <v>0</v>
      </c>
      <c r="J12" s="269"/>
      <c r="K12" s="269"/>
      <c r="L12" s="269"/>
      <c r="M12" s="269"/>
      <c r="N12" s="269">
        <v>3.23</v>
      </c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7"/>
      <c r="AF12" s="267"/>
      <c r="AG12" s="267"/>
      <c r="AH12" s="269">
        <f t="shared" si="8"/>
        <v>3.23</v>
      </c>
      <c r="AI12" s="267"/>
      <c r="AJ12" s="269"/>
      <c r="AK12" s="269"/>
      <c r="AL12" s="269"/>
      <c r="AM12" s="269"/>
      <c r="AN12" s="269"/>
      <c r="AO12" s="269"/>
      <c r="AP12" s="269"/>
      <c r="AQ12" s="269"/>
      <c r="AR12" s="269"/>
      <c r="AS12" s="269"/>
      <c r="AT12" s="269"/>
      <c r="AU12" s="269"/>
      <c r="AV12" s="269"/>
      <c r="AW12" s="267"/>
      <c r="AX12" s="269">
        <f t="shared" si="9"/>
        <v>0</v>
      </c>
      <c r="AY12" s="269"/>
      <c r="AZ12" s="267"/>
      <c r="BA12" s="269"/>
      <c r="BB12" s="267"/>
      <c r="BC12" s="267"/>
      <c r="BD12" s="269">
        <f t="shared" si="10"/>
        <v>0</v>
      </c>
      <c r="BE12" s="267"/>
      <c r="BF12" s="267"/>
      <c r="BG12" s="267"/>
      <c r="BH12" s="267">
        <f t="shared" si="11"/>
        <v>0</v>
      </c>
      <c r="BI12" s="267"/>
      <c r="BJ12" s="267"/>
      <c r="BK12" s="267"/>
      <c r="BL12" s="267"/>
      <c r="BM12" s="267"/>
      <c r="BN12" s="267"/>
      <c r="BO12" s="267"/>
      <c r="BP12" s="269"/>
      <c r="BQ12" s="269"/>
      <c r="BR12" s="269"/>
      <c r="BS12" s="263"/>
      <c r="BT12" s="269">
        <f t="shared" si="12"/>
        <v>0</v>
      </c>
      <c r="BU12" s="305"/>
      <c r="BV12" s="305"/>
      <c r="BW12" s="305"/>
      <c r="BX12" s="305"/>
      <c r="BY12" s="305"/>
      <c r="BZ12" s="305">
        <f t="shared" si="13"/>
        <v>0</v>
      </c>
      <c r="CA12" s="365">
        <f t="shared" si="14"/>
        <v>3.23</v>
      </c>
      <c r="CB12" s="365">
        <f t="shared" si="15"/>
        <v>0</v>
      </c>
      <c r="CC12" s="326"/>
    </row>
    <row r="13" spans="1:81" s="5" customFormat="1">
      <c r="A13" s="450">
        <f>'1-συμβολαια'!A13</f>
        <v>0</v>
      </c>
      <c r="B13" s="343" t="str">
        <f>'1-συμβολαια'!C13</f>
        <v>ΧΡΗΣΙΚΤΗΣΙΑ οικοπέδου 4' = 19?? ΑΓΟΡΑΠΩΛΗΣΙΑ άτυπη</v>
      </c>
      <c r="C13" s="394">
        <f>'5-αντίγρ'!AN13</f>
        <v>0</v>
      </c>
      <c r="D13" s="394">
        <f>'5-αντίγρ'!AM13</f>
        <v>0</v>
      </c>
      <c r="E13" s="305">
        <f>'6-μεταγρ'!P13</f>
        <v>0</v>
      </c>
      <c r="F13" s="305">
        <f>'6-μεταγρ'!N13+'6-μεταγρ'!O13</f>
        <v>0</v>
      </c>
      <c r="G13" s="305"/>
      <c r="H13" s="305">
        <f>'7-προςΔΟΥ'!V13</f>
        <v>0</v>
      </c>
      <c r="I13" s="268">
        <f>'7-προςΔΟΥ'!K13</f>
        <v>0</v>
      </c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7"/>
      <c r="AF13" s="267"/>
      <c r="AG13" s="267"/>
      <c r="AH13" s="269">
        <f t="shared" si="8"/>
        <v>0</v>
      </c>
      <c r="AI13" s="267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7"/>
      <c r="AX13" s="269">
        <f t="shared" si="9"/>
        <v>0</v>
      </c>
      <c r="AY13" s="269"/>
      <c r="AZ13" s="267"/>
      <c r="BA13" s="269"/>
      <c r="BB13" s="267"/>
      <c r="BC13" s="267"/>
      <c r="BD13" s="269">
        <f t="shared" si="10"/>
        <v>0</v>
      </c>
      <c r="BE13" s="267"/>
      <c r="BF13" s="267"/>
      <c r="BG13" s="267"/>
      <c r="BH13" s="267">
        <f t="shared" si="11"/>
        <v>0</v>
      </c>
      <c r="BI13" s="267"/>
      <c r="BJ13" s="267"/>
      <c r="BK13" s="267"/>
      <c r="BL13" s="267"/>
      <c r="BM13" s="267"/>
      <c r="BN13" s="267"/>
      <c r="BO13" s="267"/>
      <c r="BP13" s="269"/>
      <c r="BQ13" s="269"/>
      <c r="BR13" s="269"/>
      <c r="BS13" s="263"/>
      <c r="BT13" s="269">
        <f t="shared" si="12"/>
        <v>0</v>
      </c>
      <c r="BU13" s="305"/>
      <c r="BV13" s="305"/>
      <c r="BW13" s="305"/>
      <c r="BX13" s="305"/>
      <c r="BY13" s="305"/>
      <c r="BZ13" s="305">
        <f t="shared" si="13"/>
        <v>0</v>
      </c>
      <c r="CA13" s="365">
        <f t="shared" si="14"/>
        <v>0</v>
      </c>
      <c r="CB13" s="365">
        <f t="shared" si="15"/>
        <v>0</v>
      </c>
      <c r="CC13" s="326"/>
    </row>
    <row r="14" spans="1:81" s="5" customFormat="1" ht="12" thickBot="1">
      <c r="A14" s="480">
        <f>'1-συμβολαια'!A14</f>
        <v>0</v>
      </c>
      <c r="B14" s="436" t="str">
        <f>'1-συμβολαια'!C14</f>
        <v>ΧΡΗΣΙΚΤΗΣΙΑ αγροτεμαχίου 8' = 19??? ΑΓΟΡΑΠΩΛΗΣΙΑ άτυπη</v>
      </c>
      <c r="C14" s="536">
        <f>'5-αντίγρ'!AN14</f>
        <v>0</v>
      </c>
      <c r="D14" s="536">
        <f>'5-αντίγρ'!AM14</f>
        <v>0</v>
      </c>
      <c r="E14" s="619">
        <f>'6-μεταγρ'!P14</f>
        <v>0</v>
      </c>
      <c r="F14" s="619">
        <f>'6-μεταγρ'!N14+'6-μεταγρ'!O14</f>
        <v>0</v>
      </c>
      <c r="G14" s="619"/>
      <c r="H14" s="619">
        <f>'7-προςΔΟΥ'!V14</f>
        <v>0</v>
      </c>
      <c r="I14" s="620">
        <f>'7-προςΔΟΥ'!K14</f>
        <v>0</v>
      </c>
      <c r="J14" s="619"/>
      <c r="K14" s="619"/>
      <c r="L14" s="619"/>
      <c r="M14" s="619"/>
      <c r="N14" s="619"/>
      <c r="O14" s="619"/>
      <c r="P14" s="619"/>
      <c r="Q14" s="619"/>
      <c r="R14" s="619"/>
      <c r="S14" s="619"/>
      <c r="T14" s="619"/>
      <c r="U14" s="619"/>
      <c r="V14" s="619"/>
      <c r="W14" s="619"/>
      <c r="X14" s="619"/>
      <c r="Y14" s="619"/>
      <c r="Z14" s="619"/>
      <c r="AA14" s="619"/>
      <c r="AB14" s="619"/>
      <c r="AC14" s="619"/>
      <c r="AD14" s="619"/>
      <c r="AE14" s="626"/>
      <c r="AF14" s="626"/>
      <c r="AG14" s="626"/>
      <c r="AH14" s="619">
        <f t="shared" si="8"/>
        <v>0</v>
      </c>
      <c r="AI14" s="626"/>
      <c r="AJ14" s="619"/>
      <c r="AK14" s="619"/>
      <c r="AL14" s="619"/>
      <c r="AM14" s="619"/>
      <c r="AN14" s="619"/>
      <c r="AO14" s="619"/>
      <c r="AP14" s="619"/>
      <c r="AQ14" s="619"/>
      <c r="AR14" s="619"/>
      <c r="AS14" s="619"/>
      <c r="AT14" s="619"/>
      <c r="AU14" s="619"/>
      <c r="AV14" s="619"/>
      <c r="AW14" s="626"/>
      <c r="AX14" s="619">
        <f t="shared" si="9"/>
        <v>0</v>
      </c>
      <c r="AY14" s="619"/>
      <c r="AZ14" s="626"/>
      <c r="BA14" s="619"/>
      <c r="BB14" s="626"/>
      <c r="BC14" s="626"/>
      <c r="BD14" s="619">
        <f t="shared" si="10"/>
        <v>0</v>
      </c>
      <c r="BE14" s="626"/>
      <c r="BF14" s="626"/>
      <c r="BG14" s="626"/>
      <c r="BH14" s="626">
        <f t="shared" si="11"/>
        <v>0</v>
      </c>
      <c r="BI14" s="626"/>
      <c r="BJ14" s="626"/>
      <c r="BK14" s="626"/>
      <c r="BL14" s="626"/>
      <c r="BM14" s="626"/>
      <c r="BN14" s="626"/>
      <c r="BO14" s="626"/>
      <c r="BP14" s="619"/>
      <c r="BQ14" s="619"/>
      <c r="BR14" s="619"/>
      <c r="BS14" s="539"/>
      <c r="BT14" s="619">
        <f t="shared" si="12"/>
        <v>0</v>
      </c>
      <c r="BU14" s="305"/>
      <c r="BV14" s="305"/>
      <c r="BW14" s="305"/>
      <c r="BX14" s="305"/>
      <c r="BY14" s="305"/>
      <c r="BZ14" s="305">
        <f t="shared" si="13"/>
        <v>0</v>
      </c>
      <c r="CA14" s="365">
        <f t="shared" si="14"/>
        <v>0</v>
      </c>
      <c r="CB14" s="365">
        <f t="shared" si="15"/>
        <v>0</v>
      </c>
      <c r="CC14" s="326"/>
    </row>
    <row r="15" spans="1:81" s="5" customFormat="1">
      <c r="A15" s="479" t="str">
        <f>'1-συμβολαια'!A15</f>
        <v>12ο</v>
      </c>
      <c r="B15" s="433" t="str">
        <f>'1-συμβολαια'!C15</f>
        <v>κληρονομιάς ΑΠΟΔΟΧΗ</v>
      </c>
      <c r="C15" s="394">
        <f>'5-αντίγρ'!AN15</f>
        <v>29.07</v>
      </c>
      <c r="D15" s="394">
        <f>'5-αντίγρ'!AM15</f>
        <v>3.96</v>
      </c>
      <c r="E15" s="305">
        <f>'6-μεταγρ'!P15</f>
        <v>0</v>
      </c>
      <c r="F15" s="305">
        <f>'6-μεταγρ'!N15+'6-μεταγρ'!O15</f>
        <v>5.9399999999999995</v>
      </c>
      <c r="G15" s="305"/>
      <c r="H15" s="305">
        <f>'7-προςΔΟΥ'!V15</f>
        <v>418.16</v>
      </c>
      <c r="I15" s="268">
        <f>'7-προςΔΟΥ'!K15</f>
        <v>0</v>
      </c>
      <c r="J15" s="305">
        <f>5*3.23</f>
        <v>16.149999999999999</v>
      </c>
      <c r="K15" s="305">
        <f>4*3.23</f>
        <v>12.92</v>
      </c>
      <c r="L15" s="305">
        <f>4*3.23</f>
        <v>12.92</v>
      </c>
      <c r="M15" s="305">
        <v>3.23</v>
      </c>
      <c r="N15" s="305">
        <v>3.23</v>
      </c>
      <c r="O15" s="305"/>
      <c r="P15" s="305">
        <f>4*3.23</f>
        <v>12.92</v>
      </c>
      <c r="Q15" s="305">
        <v>3.23</v>
      </c>
      <c r="R15" s="305">
        <f>4*3.23</f>
        <v>12.92</v>
      </c>
      <c r="S15" s="305"/>
      <c r="T15" s="305"/>
      <c r="U15" s="305"/>
      <c r="V15" s="305">
        <f>4*3.23</f>
        <v>12.92</v>
      </c>
      <c r="W15" s="305"/>
      <c r="X15" s="305"/>
      <c r="Y15" s="305"/>
      <c r="Z15" s="305"/>
      <c r="AA15" s="305"/>
      <c r="AB15" s="305"/>
      <c r="AC15" s="305"/>
      <c r="AD15" s="305"/>
      <c r="AE15" s="625"/>
      <c r="AF15" s="625"/>
      <c r="AG15" s="625"/>
      <c r="AH15" s="305">
        <f t="shared" si="8"/>
        <v>90.44</v>
      </c>
      <c r="AI15" s="625"/>
      <c r="AJ15" s="305">
        <f>2*3.23</f>
        <v>6.46</v>
      </c>
      <c r="AK15" s="305">
        <f>2*3.23</f>
        <v>6.46</v>
      </c>
      <c r="AL15" s="305">
        <f>2*3.23</f>
        <v>6.46</v>
      </c>
      <c r="AM15" s="305">
        <f>2*3.23</f>
        <v>6.46</v>
      </c>
      <c r="AN15" s="305"/>
      <c r="AO15" s="305"/>
      <c r="AP15" s="305"/>
      <c r="AQ15" s="305"/>
      <c r="AR15" s="305"/>
      <c r="AS15" s="305"/>
      <c r="AT15" s="305"/>
      <c r="AU15" s="305"/>
      <c r="AV15" s="305"/>
      <c r="AW15" s="625"/>
      <c r="AX15" s="305">
        <f t="shared" si="9"/>
        <v>25.84</v>
      </c>
      <c r="AY15" s="305">
        <f>2*3.23</f>
        <v>6.46</v>
      </c>
      <c r="AZ15" s="625"/>
      <c r="BA15" s="305">
        <f>2*3.23</f>
        <v>6.46</v>
      </c>
      <c r="BB15" s="625"/>
      <c r="BC15" s="625"/>
      <c r="BD15" s="305">
        <f t="shared" si="10"/>
        <v>12.92</v>
      </c>
      <c r="BE15" s="625"/>
      <c r="BF15" s="625"/>
      <c r="BG15" s="625"/>
      <c r="BH15" s="625">
        <f t="shared" si="11"/>
        <v>0</v>
      </c>
      <c r="BI15" s="625"/>
      <c r="BJ15" s="625"/>
      <c r="BK15" s="625"/>
      <c r="BL15" s="625"/>
      <c r="BM15" s="625"/>
      <c r="BN15" s="625"/>
      <c r="BO15" s="625"/>
      <c r="BP15" s="305">
        <f>9*1.5</f>
        <v>13.5</v>
      </c>
      <c r="BQ15" s="305">
        <v>0.3</v>
      </c>
      <c r="BR15" s="305">
        <f>2*0.3</f>
        <v>0.6</v>
      </c>
      <c r="BS15" s="540"/>
      <c r="BT15" s="305">
        <f t="shared" si="12"/>
        <v>14.4</v>
      </c>
      <c r="BU15" s="305"/>
      <c r="BV15" s="305"/>
      <c r="BW15" s="305"/>
      <c r="BX15" s="305"/>
      <c r="BY15" s="305"/>
      <c r="BZ15" s="305">
        <f t="shared" si="13"/>
        <v>0</v>
      </c>
      <c r="CA15" s="365">
        <f t="shared" si="14"/>
        <v>577.33000000000004</v>
      </c>
      <c r="CB15" s="365">
        <f t="shared" si="15"/>
        <v>9.8999999999999986</v>
      </c>
      <c r="CC15" s="326"/>
    </row>
    <row r="16" spans="1:81" s="5" customFormat="1">
      <c r="A16" s="411">
        <f>'1-συμβολαια'!A16</f>
        <v>0</v>
      </c>
      <c r="B16" s="343" t="str">
        <f>'1-συμβολαια'!C16</f>
        <v>ΧΡΗΣΙΚΤΗΣΙΑ οικοπέδου &amp; οικοδομής = 1992 αδερφού ΚΛΗΡΟΝΟΜΙΑ άτυπη</v>
      </c>
      <c r="C16" s="394">
        <f>'5-αντίγρ'!AN16</f>
        <v>0</v>
      </c>
      <c r="D16" s="394">
        <f>'5-αντίγρ'!AM16</f>
        <v>0</v>
      </c>
      <c r="E16" s="305">
        <f>'6-μεταγρ'!P16</f>
        <v>0</v>
      </c>
      <c r="F16" s="305">
        <f>'6-μεταγρ'!N16+'6-μεταγρ'!O16</f>
        <v>0</v>
      </c>
      <c r="G16" s="305"/>
      <c r="H16" s="305">
        <f>'7-προςΔΟΥ'!V16</f>
        <v>0</v>
      </c>
      <c r="I16" s="268">
        <f>'7-προςΔΟΥ'!K16</f>
        <v>0</v>
      </c>
      <c r="J16" s="269"/>
      <c r="K16" s="269"/>
      <c r="L16" s="269"/>
      <c r="M16" s="269"/>
      <c r="N16" s="269">
        <v>3.23</v>
      </c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9"/>
      <c r="Z16" s="269"/>
      <c r="AA16" s="269"/>
      <c r="AB16" s="269"/>
      <c r="AC16" s="269"/>
      <c r="AD16" s="269"/>
      <c r="AE16" s="267"/>
      <c r="AF16" s="267"/>
      <c r="AG16" s="267"/>
      <c r="AH16" s="269">
        <f t="shared" si="8"/>
        <v>3.23</v>
      </c>
      <c r="AI16" s="267"/>
      <c r="AJ16" s="269"/>
      <c r="AK16" s="269"/>
      <c r="AL16" s="269"/>
      <c r="AM16" s="269"/>
      <c r="AN16" s="269"/>
      <c r="AO16" s="269"/>
      <c r="AP16" s="269"/>
      <c r="AQ16" s="269"/>
      <c r="AR16" s="269"/>
      <c r="AS16" s="269"/>
      <c r="AT16" s="269"/>
      <c r="AU16" s="269"/>
      <c r="AV16" s="269"/>
      <c r="AW16" s="267"/>
      <c r="AX16" s="269">
        <f t="shared" si="9"/>
        <v>0</v>
      </c>
      <c r="AY16" s="269"/>
      <c r="AZ16" s="267"/>
      <c r="BA16" s="269"/>
      <c r="BB16" s="267"/>
      <c r="BC16" s="267"/>
      <c r="BD16" s="269">
        <f t="shared" si="10"/>
        <v>0</v>
      </c>
      <c r="BE16" s="267"/>
      <c r="BF16" s="267"/>
      <c r="BG16" s="267"/>
      <c r="BH16" s="267">
        <f t="shared" si="11"/>
        <v>0</v>
      </c>
      <c r="BI16" s="267"/>
      <c r="BJ16" s="267"/>
      <c r="BK16" s="267"/>
      <c r="BL16" s="267"/>
      <c r="BM16" s="267"/>
      <c r="BN16" s="267"/>
      <c r="BO16" s="267"/>
      <c r="BP16" s="269"/>
      <c r="BQ16" s="269"/>
      <c r="BR16" s="269"/>
      <c r="BS16" s="263"/>
      <c r="BT16" s="269">
        <f t="shared" si="12"/>
        <v>0</v>
      </c>
      <c r="BU16" s="305"/>
      <c r="BV16" s="305"/>
      <c r="BW16" s="305"/>
      <c r="BX16" s="305"/>
      <c r="BY16" s="305"/>
      <c r="BZ16" s="305">
        <f t="shared" si="13"/>
        <v>0</v>
      </c>
      <c r="CA16" s="365">
        <f t="shared" si="14"/>
        <v>3.23</v>
      </c>
      <c r="CB16" s="365">
        <f t="shared" si="15"/>
        <v>0</v>
      </c>
      <c r="CC16" s="326"/>
    </row>
    <row r="17" spans="1:81" s="5" customFormat="1">
      <c r="A17" s="411">
        <f>'1-συμβολαια'!A17</f>
        <v>0</v>
      </c>
      <c r="B17" s="343" t="str">
        <f>'1-συμβολαια'!C17</f>
        <v>ΧΡΗΣΙΚΤΗΣΙΑ οικοπέδων 2'-3' = 1992 αδερφού ΚΛΗΡΟΝΟΜΙΑ άτυπη</v>
      </c>
      <c r="C17" s="394">
        <f>'5-αντίγρ'!AN17</f>
        <v>0</v>
      </c>
      <c r="D17" s="394">
        <f>'5-αντίγρ'!AM17</f>
        <v>0</v>
      </c>
      <c r="E17" s="305">
        <f>'6-μεταγρ'!P17</f>
        <v>0</v>
      </c>
      <c r="F17" s="305">
        <f>'6-μεταγρ'!N17+'6-μεταγρ'!O17</f>
        <v>0</v>
      </c>
      <c r="G17" s="305"/>
      <c r="H17" s="305">
        <f>'7-προςΔΟΥ'!V17</f>
        <v>0</v>
      </c>
      <c r="I17" s="268">
        <f>'7-προςΔΟΥ'!K17</f>
        <v>0</v>
      </c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  <c r="AA17" s="269"/>
      <c r="AB17" s="269"/>
      <c r="AC17" s="269"/>
      <c r="AD17" s="269"/>
      <c r="AE17" s="267"/>
      <c r="AF17" s="267"/>
      <c r="AG17" s="267"/>
      <c r="AH17" s="269">
        <f t="shared" si="8"/>
        <v>0</v>
      </c>
      <c r="AI17" s="267"/>
      <c r="AJ17" s="269"/>
      <c r="AK17" s="269"/>
      <c r="AL17" s="269"/>
      <c r="AM17" s="269"/>
      <c r="AN17" s="269"/>
      <c r="AO17" s="269"/>
      <c r="AP17" s="269"/>
      <c r="AQ17" s="269"/>
      <c r="AR17" s="269"/>
      <c r="AS17" s="269"/>
      <c r="AT17" s="269"/>
      <c r="AU17" s="269"/>
      <c r="AV17" s="269"/>
      <c r="AW17" s="267"/>
      <c r="AX17" s="269">
        <f t="shared" si="9"/>
        <v>0</v>
      </c>
      <c r="AY17" s="269"/>
      <c r="AZ17" s="267"/>
      <c r="BA17" s="269"/>
      <c r="BB17" s="267"/>
      <c r="BC17" s="267"/>
      <c r="BD17" s="269">
        <f t="shared" si="10"/>
        <v>0</v>
      </c>
      <c r="BE17" s="267"/>
      <c r="BF17" s="267"/>
      <c r="BG17" s="267"/>
      <c r="BH17" s="267">
        <f t="shared" si="11"/>
        <v>0</v>
      </c>
      <c r="BI17" s="267"/>
      <c r="BJ17" s="267"/>
      <c r="BK17" s="267"/>
      <c r="BL17" s="267"/>
      <c r="BM17" s="267"/>
      <c r="BN17" s="267"/>
      <c r="BO17" s="267"/>
      <c r="BP17" s="269"/>
      <c r="BQ17" s="269"/>
      <c r="BR17" s="269"/>
      <c r="BS17" s="263"/>
      <c r="BT17" s="269">
        <f t="shared" si="12"/>
        <v>0</v>
      </c>
      <c r="BU17" s="305"/>
      <c r="BV17" s="305"/>
      <c r="BW17" s="305"/>
      <c r="BX17" s="305"/>
      <c r="BY17" s="305"/>
      <c r="BZ17" s="305">
        <f t="shared" si="13"/>
        <v>0</v>
      </c>
      <c r="CA17" s="365">
        <f t="shared" si="14"/>
        <v>0</v>
      </c>
      <c r="CB17" s="365">
        <f t="shared" si="15"/>
        <v>0</v>
      </c>
      <c r="CC17" s="326"/>
    </row>
    <row r="18" spans="1:81" s="5" customFormat="1">
      <c r="A18" s="411">
        <f>'1-συμβολαια'!A18</f>
        <v>0</v>
      </c>
      <c r="B18" s="343" t="str">
        <f>'1-συμβολαια'!C18</f>
        <v>ΧΡΗΣΙΚΤΗΣΙΑ αγροτεμαχίου 9' = 1968 μητρός ΚΛΗΡΟΝΟΜΙΑ άτυπη</v>
      </c>
      <c r="C18" s="394">
        <f>'5-αντίγρ'!AN18</f>
        <v>0</v>
      </c>
      <c r="D18" s="394">
        <f>'5-αντίγρ'!AM18</f>
        <v>0</v>
      </c>
      <c r="E18" s="305">
        <f>'6-μεταγρ'!P18</f>
        <v>0</v>
      </c>
      <c r="F18" s="305">
        <f>'6-μεταγρ'!N18+'6-μεταγρ'!O18</f>
        <v>0</v>
      </c>
      <c r="G18" s="305"/>
      <c r="H18" s="305">
        <f>'7-προςΔΟΥ'!V18</f>
        <v>0</v>
      </c>
      <c r="I18" s="268">
        <f>'7-προςΔΟΥ'!K18</f>
        <v>0</v>
      </c>
      <c r="J18" s="269"/>
      <c r="K18" s="269"/>
      <c r="L18" s="269"/>
      <c r="M18" s="269"/>
      <c r="N18" s="269">
        <v>3.23</v>
      </c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69"/>
      <c r="AC18" s="269"/>
      <c r="AD18" s="269"/>
      <c r="AE18" s="267"/>
      <c r="AF18" s="267"/>
      <c r="AG18" s="267"/>
      <c r="AH18" s="269">
        <f t="shared" si="8"/>
        <v>3.23</v>
      </c>
      <c r="AI18" s="267"/>
      <c r="AJ18" s="269"/>
      <c r="AK18" s="269"/>
      <c r="AL18" s="269"/>
      <c r="AM18" s="269"/>
      <c r="AN18" s="269"/>
      <c r="AO18" s="269"/>
      <c r="AP18" s="269"/>
      <c r="AQ18" s="269"/>
      <c r="AR18" s="269"/>
      <c r="AS18" s="269"/>
      <c r="AT18" s="269"/>
      <c r="AU18" s="269"/>
      <c r="AV18" s="269"/>
      <c r="AW18" s="267"/>
      <c r="AX18" s="269">
        <f t="shared" si="9"/>
        <v>0</v>
      </c>
      <c r="AY18" s="269"/>
      <c r="AZ18" s="267"/>
      <c r="BA18" s="269"/>
      <c r="BB18" s="267"/>
      <c r="BC18" s="267"/>
      <c r="BD18" s="269">
        <f t="shared" si="10"/>
        <v>0</v>
      </c>
      <c r="BE18" s="267"/>
      <c r="BF18" s="267"/>
      <c r="BG18" s="267"/>
      <c r="BH18" s="267">
        <f t="shared" si="11"/>
        <v>0</v>
      </c>
      <c r="BI18" s="267"/>
      <c r="BJ18" s="267"/>
      <c r="BK18" s="267"/>
      <c r="BL18" s="267"/>
      <c r="BM18" s="267"/>
      <c r="BN18" s="267"/>
      <c r="BO18" s="267"/>
      <c r="BP18" s="269"/>
      <c r="BQ18" s="269"/>
      <c r="BR18" s="269"/>
      <c r="BS18" s="263"/>
      <c r="BT18" s="269">
        <f t="shared" si="12"/>
        <v>0</v>
      </c>
      <c r="BU18" s="305"/>
      <c r="BV18" s="305"/>
      <c r="BW18" s="305"/>
      <c r="BX18" s="305"/>
      <c r="BY18" s="305"/>
      <c r="BZ18" s="305">
        <f t="shared" si="13"/>
        <v>0</v>
      </c>
      <c r="CA18" s="365">
        <f t="shared" si="14"/>
        <v>3.23</v>
      </c>
      <c r="CB18" s="365">
        <f t="shared" si="15"/>
        <v>0</v>
      </c>
      <c r="CC18" s="326"/>
    </row>
    <row r="19" spans="1:81" s="5" customFormat="1">
      <c r="A19" s="411">
        <f>'1-συμβολαια'!A19</f>
        <v>0</v>
      </c>
      <c r="B19" s="343" t="str">
        <f>'1-συμβολαια'!C19</f>
        <v>ΧΡΗΣΙΚΤΗΣΙΑ οικοπέδου 4' = 19?? ΑΓΟΡΑΠΩΛΗΣΙΑ άτυπη</v>
      </c>
      <c r="C19" s="394">
        <f>'5-αντίγρ'!AN19</f>
        <v>0</v>
      </c>
      <c r="D19" s="394">
        <f>'5-αντίγρ'!AM19</f>
        <v>0</v>
      </c>
      <c r="E19" s="305">
        <f>'6-μεταγρ'!P19</f>
        <v>0</v>
      </c>
      <c r="F19" s="305">
        <f>'6-μεταγρ'!N19+'6-μεταγρ'!O19</f>
        <v>0</v>
      </c>
      <c r="G19" s="305"/>
      <c r="H19" s="305">
        <f>'7-προςΔΟΥ'!V19</f>
        <v>0</v>
      </c>
      <c r="I19" s="268">
        <f>'7-προςΔΟΥ'!K19</f>
        <v>0</v>
      </c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7"/>
      <c r="AF19" s="267"/>
      <c r="AG19" s="267"/>
      <c r="AH19" s="269">
        <f t="shared" si="8"/>
        <v>0</v>
      </c>
      <c r="AI19" s="267"/>
      <c r="AJ19" s="269"/>
      <c r="AK19" s="269"/>
      <c r="AL19" s="269"/>
      <c r="AM19" s="269"/>
      <c r="AN19" s="269"/>
      <c r="AO19" s="269"/>
      <c r="AP19" s="269"/>
      <c r="AQ19" s="269"/>
      <c r="AR19" s="269"/>
      <c r="AS19" s="269"/>
      <c r="AT19" s="269"/>
      <c r="AU19" s="269"/>
      <c r="AV19" s="269"/>
      <c r="AW19" s="267"/>
      <c r="AX19" s="269">
        <f t="shared" si="9"/>
        <v>0</v>
      </c>
      <c r="AY19" s="269"/>
      <c r="AZ19" s="267"/>
      <c r="BA19" s="269"/>
      <c r="BB19" s="267"/>
      <c r="BC19" s="267"/>
      <c r="BD19" s="269">
        <f t="shared" si="10"/>
        <v>0</v>
      </c>
      <c r="BE19" s="267"/>
      <c r="BF19" s="267"/>
      <c r="BG19" s="267"/>
      <c r="BH19" s="267">
        <f t="shared" si="11"/>
        <v>0</v>
      </c>
      <c r="BI19" s="267"/>
      <c r="BJ19" s="267"/>
      <c r="BK19" s="267"/>
      <c r="BL19" s="267"/>
      <c r="BM19" s="267"/>
      <c r="BN19" s="267"/>
      <c r="BO19" s="267"/>
      <c r="BP19" s="269"/>
      <c r="BQ19" s="269"/>
      <c r="BR19" s="269"/>
      <c r="BS19" s="263"/>
      <c r="BT19" s="269">
        <f t="shared" si="12"/>
        <v>0</v>
      </c>
      <c r="BU19" s="305"/>
      <c r="BV19" s="305"/>
      <c r="BW19" s="305"/>
      <c r="BX19" s="305"/>
      <c r="BY19" s="305"/>
      <c r="BZ19" s="305">
        <f t="shared" si="13"/>
        <v>0</v>
      </c>
      <c r="CA19" s="365">
        <f t="shared" si="14"/>
        <v>0</v>
      </c>
      <c r="CB19" s="365">
        <f t="shared" si="15"/>
        <v>0</v>
      </c>
      <c r="CC19" s="326"/>
    </row>
    <row r="20" spans="1:81" s="5" customFormat="1" ht="12" thickBot="1">
      <c r="A20" s="435">
        <f>'1-συμβολαια'!A20</f>
        <v>0</v>
      </c>
      <c r="B20" s="436" t="str">
        <f>'1-συμβολαια'!C20</f>
        <v>ΧΡΗΣΙΚΤΗΣΙΑ αγροτεμαχίου 8' = 19??? ΑΓΟΡΑΠΩΛΗΣΙΑ άτυπη</v>
      </c>
      <c r="C20" s="536">
        <f>'5-αντίγρ'!AN20</f>
        <v>0</v>
      </c>
      <c r="D20" s="536">
        <f>'5-αντίγρ'!AM20</f>
        <v>0</v>
      </c>
      <c r="E20" s="619">
        <f>'6-μεταγρ'!P20</f>
        <v>0</v>
      </c>
      <c r="F20" s="619">
        <f>'6-μεταγρ'!N20+'6-μεταγρ'!O20</f>
        <v>0</v>
      </c>
      <c r="G20" s="619"/>
      <c r="H20" s="619">
        <f>'7-προςΔΟΥ'!V20</f>
        <v>0</v>
      </c>
      <c r="I20" s="620">
        <f>'7-προςΔΟΥ'!K20</f>
        <v>0</v>
      </c>
      <c r="J20" s="619"/>
      <c r="K20" s="619"/>
      <c r="L20" s="619"/>
      <c r="M20" s="619"/>
      <c r="N20" s="619"/>
      <c r="O20" s="619"/>
      <c r="P20" s="619"/>
      <c r="Q20" s="619"/>
      <c r="R20" s="619"/>
      <c r="S20" s="619"/>
      <c r="T20" s="619"/>
      <c r="U20" s="619"/>
      <c r="V20" s="619"/>
      <c r="W20" s="619"/>
      <c r="X20" s="619"/>
      <c r="Y20" s="619"/>
      <c r="Z20" s="619"/>
      <c r="AA20" s="619"/>
      <c r="AB20" s="619"/>
      <c r="AC20" s="619"/>
      <c r="AD20" s="619"/>
      <c r="AE20" s="626"/>
      <c r="AF20" s="626"/>
      <c r="AG20" s="626"/>
      <c r="AH20" s="619">
        <f t="shared" si="8"/>
        <v>0</v>
      </c>
      <c r="AI20" s="626"/>
      <c r="AJ20" s="619"/>
      <c r="AK20" s="619"/>
      <c r="AL20" s="619"/>
      <c r="AM20" s="619"/>
      <c r="AN20" s="619"/>
      <c r="AO20" s="619"/>
      <c r="AP20" s="619"/>
      <c r="AQ20" s="619"/>
      <c r="AR20" s="619"/>
      <c r="AS20" s="619"/>
      <c r="AT20" s="619"/>
      <c r="AU20" s="619"/>
      <c r="AV20" s="619"/>
      <c r="AW20" s="626"/>
      <c r="AX20" s="619">
        <f t="shared" si="9"/>
        <v>0</v>
      </c>
      <c r="AY20" s="619"/>
      <c r="AZ20" s="626"/>
      <c r="BA20" s="619"/>
      <c r="BB20" s="626"/>
      <c r="BC20" s="626"/>
      <c r="BD20" s="619">
        <f t="shared" si="10"/>
        <v>0</v>
      </c>
      <c r="BE20" s="626"/>
      <c r="BF20" s="626"/>
      <c r="BG20" s="626"/>
      <c r="BH20" s="626">
        <f t="shared" si="11"/>
        <v>0</v>
      </c>
      <c r="BI20" s="626"/>
      <c r="BJ20" s="626"/>
      <c r="BK20" s="626"/>
      <c r="BL20" s="626"/>
      <c r="BM20" s="626"/>
      <c r="BN20" s="626"/>
      <c r="BO20" s="626"/>
      <c r="BP20" s="619"/>
      <c r="BQ20" s="619"/>
      <c r="BR20" s="619"/>
      <c r="BS20" s="539"/>
      <c r="BT20" s="619">
        <f t="shared" si="12"/>
        <v>0</v>
      </c>
      <c r="BU20" s="305"/>
      <c r="BV20" s="305"/>
      <c r="BW20" s="305"/>
      <c r="BX20" s="305"/>
      <c r="BY20" s="305"/>
      <c r="BZ20" s="305">
        <f t="shared" si="13"/>
        <v>0</v>
      </c>
      <c r="CA20" s="365">
        <f t="shared" si="14"/>
        <v>0</v>
      </c>
      <c r="CB20" s="365">
        <f t="shared" si="15"/>
        <v>0</v>
      </c>
      <c r="CC20" s="326"/>
    </row>
    <row r="21" spans="1:81" s="5" customFormat="1">
      <c r="A21" s="478" t="str">
        <f>'1-συμβολαια'!A21</f>
        <v>13ο</v>
      </c>
      <c r="B21" s="433" t="str">
        <f>'1-συμβολαια'!C21</f>
        <v>κληρονομιάς ΑΠΟΔΟΧΗ</v>
      </c>
      <c r="C21" s="394">
        <f>'5-αντίγρ'!AN21</f>
        <v>29.07</v>
      </c>
      <c r="D21" s="394">
        <f>'5-αντίγρ'!AM21</f>
        <v>3.96</v>
      </c>
      <c r="E21" s="305">
        <f>'6-μεταγρ'!P21</f>
        <v>0</v>
      </c>
      <c r="F21" s="305">
        <f>'6-μεταγρ'!N21+'6-μεταγρ'!O21</f>
        <v>5.9399999999999995</v>
      </c>
      <c r="G21" s="305"/>
      <c r="H21" s="305">
        <f>'7-προςΔΟΥ'!V21</f>
        <v>418.16</v>
      </c>
      <c r="I21" s="268">
        <f>'7-προςΔΟΥ'!K21</f>
        <v>0</v>
      </c>
      <c r="J21" s="305">
        <f>5*3.23</f>
        <v>16.149999999999999</v>
      </c>
      <c r="K21" s="305">
        <f>4*3.23</f>
        <v>12.92</v>
      </c>
      <c r="L21" s="305">
        <f>4*3.23</f>
        <v>12.92</v>
      </c>
      <c r="M21" s="305">
        <v>3.23</v>
      </c>
      <c r="N21" s="305">
        <v>3.23</v>
      </c>
      <c r="O21" s="305"/>
      <c r="P21" s="305">
        <f>4*3.23</f>
        <v>12.92</v>
      </c>
      <c r="Q21" s="305">
        <v>3.23</v>
      </c>
      <c r="R21" s="305">
        <f>4*3.23</f>
        <v>12.92</v>
      </c>
      <c r="S21" s="305"/>
      <c r="T21" s="305"/>
      <c r="U21" s="305"/>
      <c r="V21" s="305">
        <f>4*3.23</f>
        <v>12.92</v>
      </c>
      <c r="W21" s="305"/>
      <c r="X21" s="305"/>
      <c r="Y21" s="305"/>
      <c r="Z21" s="305"/>
      <c r="AA21" s="305"/>
      <c r="AB21" s="305"/>
      <c r="AC21" s="305"/>
      <c r="AD21" s="305"/>
      <c r="AE21" s="625"/>
      <c r="AF21" s="625"/>
      <c r="AG21" s="625"/>
      <c r="AH21" s="305">
        <f t="shared" si="8"/>
        <v>90.44</v>
      </c>
      <c r="AI21" s="625"/>
      <c r="AJ21" s="305">
        <v>3.23</v>
      </c>
      <c r="AK21" s="305">
        <v>3.23</v>
      </c>
      <c r="AL21" s="305">
        <v>3.23</v>
      </c>
      <c r="AM21" s="305"/>
      <c r="AN21" s="305"/>
      <c r="AO21" s="305"/>
      <c r="AP21" s="305"/>
      <c r="AQ21" s="305"/>
      <c r="AR21" s="305"/>
      <c r="AS21" s="305"/>
      <c r="AT21" s="305"/>
      <c r="AU21" s="305"/>
      <c r="AV21" s="305"/>
      <c r="AW21" s="625"/>
      <c r="AX21" s="305">
        <f t="shared" si="9"/>
        <v>9.69</v>
      </c>
      <c r="AY21" s="305">
        <v>3.23</v>
      </c>
      <c r="AZ21" s="631"/>
      <c r="BA21" s="632">
        <v>3.23</v>
      </c>
      <c r="BB21" s="631"/>
      <c r="BC21" s="631"/>
      <c r="BD21" s="632">
        <f t="shared" si="10"/>
        <v>6.46</v>
      </c>
      <c r="BE21" s="625"/>
      <c r="BF21" s="625"/>
      <c r="BG21" s="625"/>
      <c r="BH21" s="625">
        <f t="shared" si="11"/>
        <v>0</v>
      </c>
      <c r="BI21" s="625"/>
      <c r="BJ21" s="625"/>
      <c r="BK21" s="625"/>
      <c r="BL21" s="625"/>
      <c r="BM21" s="625"/>
      <c r="BN21" s="625"/>
      <c r="BO21" s="625"/>
      <c r="BP21" s="305">
        <f>9*1.5</f>
        <v>13.5</v>
      </c>
      <c r="BQ21" s="305">
        <v>0.3</v>
      </c>
      <c r="BR21" s="305">
        <v>0.3</v>
      </c>
      <c r="BS21" s="540"/>
      <c r="BT21" s="305">
        <f t="shared" si="12"/>
        <v>14.100000000000001</v>
      </c>
      <c r="BU21" s="305"/>
      <c r="BV21" s="305"/>
      <c r="BW21" s="305"/>
      <c r="BX21" s="305"/>
      <c r="BY21" s="305"/>
      <c r="BZ21" s="305">
        <f t="shared" si="13"/>
        <v>0</v>
      </c>
      <c r="CA21" s="365">
        <f t="shared" si="14"/>
        <v>554.42000000000019</v>
      </c>
      <c r="CB21" s="365">
        <f t="shared" si="15"/>
        <v>9.8999999999999986</v>
      </c>
      <c r="CC21" s="326"/>
    </row>
    <row r="22" spans="1:81" s="5" customFormat="1">
      <c r="A22" s="450">
        <f>'1-συμβολαια'!A22</f>
        <v>0</v>
      </c>
      <c r="B22" s="343" t="str">
        <f>'1-συμβολαια'!C22</f>
        <v>ΧΡΗΣΙΚΤΗΣΙΑ οικοπέδου &amp; οικοδομής = 1992 αδερφού ΚΛΗΡΟΝΟΜΙΑ άτυπη</v>
      </c>
      <c r="C22" s="394">
        <f>'5-αντίγρ'!AN22</f>
        <v>0</v>
      </c>
      <c r="D22" s="394">
        <f>'5-αντίγρ'!AM22</f>
        <v>0</v>
      </c>
      <c r="E22" s="305">
        <f>'6-μεταγρ'!P22</f>
        <v>0</v>
      </c>
      <c r="F22" s="305">
        <f>'6-μεταγρ'!N22+'6-μεταγρ'!O22</f>
        <v>0</v>
      </c>
      <c r="G22" s="305"/>
      <c r="H22" s="305">
        <f>'7-προςΔΟΥ'!V22</f>
        <v>0</v>
      </c>
      <c r="I22" s="268">
        <f>'7-προςΔΟΥ'!K22</f>
        <v>0</v>
      </c>
      <c r="J22" s="269"/>
      <c r="K22" s="269"/>
      <c r="L22" s="269"/>
      <c r="M22" s="269"/>
      <c r="N22" s="269">
        <v>3.23</v>
      </c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69"/>
      <c r="AC22" s="269"/>
      <c r="AD22" s="269"/>
      <c r="AE22" s="267"/>
      <c r="AF22" s="267"/>
      <c r="AG22" s="267"/>
      <c r="AH22" s="269">
        <f t="shared" si="8"/>
        <v>3.23</v>
      </c>
      <c r="AI22" s="267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7"/>
      <c r="AX22" s="269">
        <f t="shared" si="9"/>
        <v>0</v>
      </c>
      <c r="AY22" s="269"/>
      <c r="AZ22" s="625"/>
      <c r="BA22" s="305"/>
      <c r="BB22" s="625"/>
      <c r="BC22" s="625"/>
      <c r="BD22" s="305">
        <f t="shared" si="10"/>
        <v>0</v>
      </c>
      <c r="BE22" s="267"/>
      <c r="BF22" s="267"/>
      <c r="BG22" s="267"/>
      <c r="BH22" s="267">
        <f t="shared" si="11"/>
        <v>0</v>
      </c>
      <c r="BI22" s="267"/>
      <c r="BJ22" s="267"/>
      <c r="BK22" s="267"/>
      <c r="BL22" s="267"/>
      <c r="BM22" s="267"/>
      <c r="BN22" s="267"/>
      <c r="BO22" s="267"/>
      <c r="BP22" s="269"/>
      <c r="BQ22" s="269"/>
      <c r="BR22" s="269"/>
      <c r="BS22" s="263"/>
      <c r="BT22" s="269">
        <f t="shared" si="12"/>
        <v>0</v>
      </c>
      <c r="BU22" s="305"/>
      <c r="BV22" s="305"/>
      <c r="BW22" s="305"/>
      <c r="BX22" s="305"/>
      <c r="BY22" s="305"/>
      <c r="BZ22" s="305">
        <f t="shared" si="13"/>
        <v>0</v>
      </c>
      <c r="CA22" s="365">
        <f t="shared" si="14"/>
        <v>3.23</v>
      </c>
      <c r="CB22" s="365">
        <f t="shared" si="15"/>
        <v>0</v>
      </c>
      <c r="CC22" s="326"/>
    </row>
    <row r="23" spans="1:81" s="5" customFormat="1">
      <c r="A23" s="450">
        <f>'1-συμβολαια'!A23</f>
        <v>0</v>
      </c>
      <c r="B23" s="343" t="str">
        <f>'1-συμβολαια'!C23</f>
        <v>ΧΡΗΣΙΚΤΗΣΙΑ οικοπέδων 2'-3' = 1992 αδερφού ΚΛΗΡΟΝΟΜΙΑ άτυπη</v>
      </c>
      <c r="C23" s="394">
        <f>'5-αντίγρ'!AN23</f>
        <v>0</v>
      </c>
      <c r="D23" s="394">
        <f>'5-αντίγρ'!AM23</f>
        <v>0</v>
      </c>
      <c r="E23" s="305">
        <f>'6-μεταγρ'!P23</f>
        <v>0</v>
      </c>
      <c r="F23" s="305">
        <f>'6-μεταγρ'!N23+'6-μεταγρ'!O23</f>
        <v>0</v>
      </c>
      <c r="G23" s="305"/>
      <c r="H23" s="305">
        <f>'7-προςΔΟΥ'!V23</f>
        <v>0</v>
      </c>
      <c r="I23" s="268">
        <f>'7-προςΔΟΥ'!K23</f>
        <v>0</v>
      </c>
      <c r="J23" s="269"/>
      <c r="K23" s="269"/>
      <c r="L23" s="269"/>
      <c r="M23" s="269"/>
      <c r="N23" s="269"/>
      <c r="O23" s="269"/>
      <c r="P23" s="269"/>
      <c r="Q23" s="269"/>
      <c r="R23" s="269"/>
      <c r="S23" s="269"/>
      <c r="T23" s="269"/>
      <c r="U23" s="269"/>
      <c r="V23" s="269"/>
      <c r="W23" s="269"/>
      <c r="X23" s="269"/>
      <c r="Y23" s="269"/>
      <c r="Z23" s="269"/>
      <c r="AA23" s="269"/>
      <c r="AB23" s="269"/>
      <c r="AC23" s="269"/>
      <c r="AD23" s="269"/>
      <c r="AE23" s="267"/>
      <c r="AF23" s="267"/>
      <c r="AG23" s="267"/>
      <c r="AH23" s="269">
        <f t="shared" si="8"/>
        <v>0</v>
      </c>
      <c r="AI23" s="267"/>
      <c r="AJ23" s="269"/>
      <c r="AK23" s="269"/>
      <c r="AL23" s="269"/>
      <c r="AM23" s="269"/>
      <c r="AN23" s="269"/>
      <c r="AO23" s="269"/>
      <c r="AP23" s="269"/>
      <c r="AQ23" s="269"/>
      <c r="AR23" s="269"/>
      <c r="AS23" s="269"/>
      <c r="AT23" s="269"/>
      <c r="AU23" s="269"/>
      <c r="AV23" s="269"/>
      <c r="AW23" s="267"/>
      <c r="AX23" s="269">
        <f t="shared" si="9"/>
        <v>0</v>
      </c>
      <c r="AY23" s="269"/>
      <c r="AZ23" s="267"/>
      <c r="BA23" s="269"/>
      <c r="BB23" s="267"/>
      <c r="BC23" s="267"/>
      <c r="BD23" s="269">
        <f t="shared" si="10"/>
        <v>0</v>
      </c>
      <c r="BE23" s="267"/>
      <c r="BF23" s="267"/>
      <c r="BG23" s="267"/>
      <c r="BH23" s="267">
        <f t="shared" si="11"/>
        <v>0</v>
      </c>
      <c r="BI23" s="267"/>
      <c r="BJ23" s="267"/>
      <c r="BK23" s="267"/>
      <c r="BL23" s="267"/>
      <c r="BM23" s="267"/>
      <c r="BN23" s="267"/>
      <c r="BO23" s="267"/>
      <c r="BP23" s="269"/>
      <c r="BQ23" s="269"/>
      <c r="BR23" s="269"/>
      <c r="BS23" s="263"/>
      <c r="BT23" s="269">
        <f t="shared" si="12"/>
        <v>0</v>
      </c>
      <c r="BU23" s="305"/>
      <c r="BV23" s="305"/>
      <c r="BW23" s="305"/>
      <c r="BX23" s="305"/>
      <c r="BY23" s="305"/>
      <c r="BZ23" s="305">
        <f t="shared" si="13"/>
        <v>0</v>
      </c>
      <c r="CA23" s="365">
        <f t="shared" si="14"/>
        <v>0</v>
      </c>
      <c r="CB23" s="365">
        <f t="shared" si="15"/>
        <v>0</v>
      </c>
      <c r="CC23" s="326"/>
    </row>
    <row r="24" spans="1:81" s="5" customFormat="1">
      <c r="A24" s="450">
        <f>'1-συμβολαια'!A24</f>
        <v>0</v>
      </c>
      <c r="B24" s="343" t="str">
        <f>'1-συμβολαια'!C24</f>
        <v>ΧΡΗΣΙΚΤΗΣΙΑ αγροτεμαχίου 9' = 1968 μητρός ΚΛΗΡΟΝΟΜΙΑ άτυπη</v>
      </c>
      <c r="C24" s="394">
        <f>'5-αντίγρ'!AN24</f>
        <v>0</v>
      </c>
      <c r="D24" s="394">
        <f>'5-αντίγρ'!AM24</f>
        <v>0</v>
      </c>
      <c r="E24" s="305">
        <f>'6-μεταγρ'!P24</f>
        <v>0</v>
      </c>
      <c r="F24" s="305">
        <f>'6-μεταγρ'!N24+'6-μεταγρ'!O24</f>
        <v>0</v>
      </c>
      <c r="G24" s="305"/>
      <c r="H24" s="305">
        <f>'7-προςΔΟΥ'!V24</f>
        <v>0</v>
      </c>
      <c r="I24" s="268">
        <f>'7-προςΔΟΥ'!K24</f>
        <v>0</v>
      </c>
      <c r="J24" s="269"/>
      <c r="K24" s="269"/>
      <c r="L24" s="269"/>
      <c r="M24" s="269"/>
      <c r="N24" s="269">
        <v>3.23</v>
      </c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69"/>
      <c r="AC24" s="269"/>
      <c r="AD24" s="269"/>
      <c r="AE24" s="267"/>
      <c r="AF24" s="267"/>
      <c r="AG24" s="267"/>
      <c r="AH24" s="269">
        <f t="shared" si="8"/>
        <v>3.23</v>
      </c>
      <c r="AI24" s="267"/>
      <c r="AJ24" s="269"/>
      <c r="AK24" s="269"/>
      <c r="AL24" s="269"/>
      <c r="AM24" s="269"/>
      <c r="AN24" s="269"/>
      <c r="AO24" s="269"/>
      <c r="AP24" s="269"/>
      <c r="AQ24" s="269"/>
      <c r="AR24" s="269"/>
      <c r="AS24" s="269"/>
      <c r="AT24" s="269"/>
      <c r="AU24" s="269"/>
      <c r="AV24" s="269"/>
      <c r="AW24" s="267"/>
      <c r="AX24" s="269">
        <f t="shared" si="9"/>
        <v>0</v>
      </c>
      <c r="AY24" s="269"/>
      <c r="AZ24" s="267"/>
      <c r="BA24" s="269"/>
      <c r="BB24" s="267"/>
      <c r="BC24" s="267"/>
      <c r="BD24" s="269">
        <f t="shared" si="10"/>
        <v>0</v>
      </c>
      <c r="BE24" s="267"/>
      <c r="BF24" s="267"/>
      <c r="BG24" s="267"/>
      <c r="BH24" s="267">
        <f t="shared" si="11"/>
        <v>0</v>
      </c>
      <c r="BI24" s="267"/>
      <c r="BJ24" s="267"/>
      <c r="BK24" s="267"/>
      <c r="BL24" s="267"/>
      <c r="BM24" s="267"/>
      <c r="BN24" s="267"/>
      <c r="BO24" s="267"/>
      <c r="BP24" s="269"/>
      <c r="BQ24" s="269"/>
      <c r="BR24" s="269"/>
      <c r="BS24" s="263"/>
      <c r="BT24" s="269">
        <f t="shared" si="12"/>
        <v>0</v>
      </c>
      <c r="BU24" s="305"/>
      <c r="BV24" s="305"/>
      <c r="BW24" s="305"/>
      <c r="BX24" s="305"/>
      <c r="BY24" s="305"/>
      <c r="BZ24" s="305">
        <f t="shared" si="13"/>
        <v>0</v>
      </c>
      <c r="CA24" s="365">
        <f t="shared" si="14"/>
        <v>3.23</v>
      </c>
      <c r="CB24" s="365">
        <f t="shared" si="15"/>
        <v>0</v>
      </c>
      <c r="CC24" s="326"/>
    </row>
    <row r="25" spans="1:81" s="5" customFormat="1">
      <c r="A25" s="450">
        <f>'1-συμβολαια'!A25</f>
        <v>0</v>
      </c>
      <c r="B25" s="343" t="str">
        <f>'1-συμβολαια'!C25</f>
        <v>ΧΡΗΣΙΚΤΗΣΙΑ οικοπέδου 4' = 19?? ΑΓΟΡΑΠΩΛΗΣΙΑ άτυπη</v>
      </c>
      <c r="C25" s="394">
        <f>'5-αντίγρ'!AN25</f>
        <v>0</v>
      </c>
      <c r="D25" s="394">
        <f>'5-αντίγρ'!AM25</f>
        <v>0</v>
      </c>
      <c r="E25" s="305">
        <f>'6-μεταγρ'!P25</f>
        <v>0</v>
      </c>
      <c r="F25" s="305">
        <f>'6-μεταγρ'!N25+'6-μεταγρ'!O25</f>
        <v>0</v>
      </c>
      <c r="G25" s="305"/>
      <c r="H25" s="305">
        <f>'7-προςΔΟΥ'!V25</f>
        <v>0</v>
      </c>
      <c r="I25" s="268">
        <f>'7-προςΔΟΥ'!K25</f>
        <v>0</v>
      </c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69"/>
      <c r="AC25" s="269"/>
      <c r="AD25" s="269"/>
      <c r="AE25" s="267"/>
      <c r="AF25" s="267"/>
      <c r="AG25" s="267"/>
      <c r="AH25" s="269">
        <f t="shared" si="8"/>
        <v>0</v>
      </c>
      <c r="AI25" s="267"/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69"/>
      <c r="AV25" s="269"/>
      <c r="AW25" s="267"/>
      <c r="AX25" s="269">
        <f t="shared" si="9"/>
        <v>0</v>
      </c>
      <c r="AY25" s="269"/>
      <c r="AZ25" s="267"/>
      <c r="BA25" s="269"/>
      <c r="BB25" s="267"/>
      <c r="BC25" s="267"/>
      <c r="BD25" s="269">
        <f t="shared" si="10"/>
        <v>0</v>
      </c>
      <c r="BE25" s="267"/>
      <c r="BF25" s="267"/>
      <c r="BG25" s="267"/>
      <c r="BH25" s="267">
        <f t="shared" si="11"/>
        <v>0</v>
      </c>
      <c r="BI25" s="267"/>
      <c r="BJ25" s="267"/>
      <c r="BK25" s="267"/>
      <c r="BL25" s="267"/>
      <c r="BM25" s="267"/>
      <c r="BN25" s="267"/>
      <c r="BO25" s="267"/>
      <c r="BP25" s="269"/>
      <c r="BQ25" s="269"/>
      <c r="BR25" s="269"/>
      <c r="BS25" s="263"/>
      <c r="BT25" s="269">
        <f t="shared" si="12"/>
        <v>0</v>
      </c>
      <c r="BU25" s="305"/>
      <c r="BV25" s="305"/>
      <c r="BW25" s="305"/>
      <c r="BX25" s="305"/>
      <c r="BY25" s="305"/>
      <c r="BZ25" s="305">
        <f t="shared" si="13"/>
        <v>0</v>
      </c>
      <c r="CA25" s="365">
        <f t="shared" si="14"/>
        <v>0</v>
      </c>
      <c r="CB25" s="365">
        <f t="shared" si="15"/>
        <v>0</v>
      </c>
      <c r="CC25" s="326"/>
    </row>
    <row r="26" spans="1:81" s="5" customFormat="1" ht="12" thickBot="1">
      <c r="A26" s="480">
        <f>'1-συμβολαια'!A26</f>
        <v>0</v>
      </c>
      <c r="B26" s="436" t="str">
        <f>'1-συμβολαια'!C26</f>
        <v>ΧΡΗΣΙΚΤΗΣΙΑ αγροτεμαχίου 8' = 19??? ΑΓΟΡΑΠΩΛΗΣΙΑ άτυπη</v>
      </c>
      <c r="C26" s="536">
        <f>'5-αντίγρ'!AN26</f>
        <v>0</v>
      </c>
      <c r="D26" s="536">
        <f>'5-αντίγρ'!AM26</f>
        <v>0</v>
      </c>
      <c r="E26" s="619">
        <f>'6-μεταγρ'!P26</f>
        <v>0</v>
      </c>
      <c r="F26" s="619">
        <f>'6-μεταγρ'!N26+'6-μεταγρ'!O26</f>
        <v>0</v>
      </c>
      <c r="G26" s="619"/>
      <c r="H26" s="619">
        <f>'7-προςΔΟΥ'!V26</f>
        <v>0</v>
      </c>
      <c r="I26" s="620">
        <f>'7-προςΔΟΥ'!K26</f>
        <v>0</v>
      </c>
      <c r="J26" s="619"/>
      <c r="K26" s="619"/>
      <c r="L26" s="619"/>
      <c r="M26" s="619"/>
      <c r="N26" s="619"/>
      <c r="O26" s="619"/>
      <c r="P26" s="619"/>
      <c r="Q26" s="619"/>
      <c r="R26" s="619"/>
      <c r="S26" s="619"/>
      <c r="T26" s="619"/>
      <c r="U26" s="619"/>
      <c r="V26" s="619"/>
      <c r="W26" s="619"/>
      <c r="X26" s="619"/>
      <c r="Y26" s="619"/>
      <c r="Z26" s="619"/>
      <c r="AA26" s="619"/>
      <c r="AB26" s="619"/>
      <c r="AC26" s="619"/>
      <c r="AD26" s="619"/>
      <c r="AE26" s="626"/>
      <c r="AF26" s="626"/>
      <c r="AG26" s="626"/>
      <c r="AH26" s="619">
        <f t="shared" si="8"/>
        <v>0</v>
      </c>
      <c r="AI26" s="626"/>
      <c r="AJ26" s="619"/>
      <c r="AK26" s="619"/>
      <c r="AL26" s="619"/>
      <c r="AM26" s="619"/>
      <c r="AN26" s="619"/>
      <c r="AO26" s="619"/>
      <c r="AP26" s="619"/>
      <c r="AQ26" s="619"/>
      <c r="AR26" s="619"/>
      <c r="AS26" s="619"/>
      <c r="AT26" s="619"/>
      <c r="AU26" s="619"/>
      <c r="AV26" s="619"/>
      <c r="AW26" s="626"/>
      <c r="AX26" s="619">
        <f t="shared" si="9"/>
        <v>0</v>
      </c>
      <c r="AY26" s="619"/>
      <c r="AZ26" s="626"/>
      <c r="BA26" s="619"/>
      <c r="BB26" s="626"/>
      <c r="BC26" s="626"/>
      <c r="BD26" s="619">
        <f t="shared" si="10"/>
        <v>0</v>
      </c>
      <c r="BE26" s="626"/>
      <c r="BF26" s="626"/>
      <c r="BG26" s="626"/>
      <c r="BH26" s="626">
        <f t="shared" si="11"/>
        <v>0</v>
      </c>
      <c r="BI26" s="626"/>
      <c r="BJ26" s="626"/>
      <c r="BK26" s="626"/>
      <c r="BL26" s="626"/>
      <c r="BM26" s="626"/>
      <c r="BN26" s="626"/>
      <c r="BO26" s="626"/>
      <c r="BP26" s="619"/>
      <c r="BQ26" s="619"/>
      <c r="BR26" s="619"/>
      <c r="BS26" s="539"/>
      <c r="BT26" s="619">
        <f t="shared" si="12"/>
        <v>0</v>
      </c>
      <c r="BU26" s="305"/>
      <c r="BV26" s="305"/>
      <c r="BW26" s="305"/>
      <c r="BX26" s="305"/>
      <c r="BY26" s="305"/>
      <c r="BZ26" s="305">
        <f t="shared" si="13"/>
        <v>0</v>
      </c>
      <c r="CA26" s="365">
        <f t="shared" si="14"/>
        <v>0</v>
      </c>
      <c r="CB26" s="365">
        <f t="shared" si="15"/>
        <v>0</v>
      </c>
      <c r="CC26" s="326"/>
    </row>
    <row r="27" spans="1:81" s="5" customFormat="1">
      <c r="A27" s="479" t="str">
        <f>'1-συμβολαια'!A27</f>
        <v>14ο</v>
      </c>
      <c r="B27" s="433" t="str">
        <f>'1-συμβολαια'!C27</f>
        <v>κληρονομιάς ΑΠΟΔΟΧΗ</v>
      </c>
      <c r="C27" s="394">
        <f>'5-αντίγρ'!AN27</f>
        <v>29.07</v>
      </c>
      <c r="D27" s="394">
        <f>'5-αντίγρ'!AM27</f>
        <v>3.96</v>
      </c>
      <c r="E27" s="305">
        <f>'6-μεταγρ'!P27</f>
        <v>0</v>
      </c>
      <c r="F27" s="305">
        <f>'6-μεταγρ'!N27+'6-μεταγρ'!O27</f>
        <v>5.9399999999999995</v>
      </c>
      <c r="G27" s="305"/>
      <c r="H27" s="305">
        <f>'7-προςΔΟΥ'!V27</f>
        <v>418.16</v>
      </c>
      <c r="I27" s="268">
        <f>'7-προςΔΟΥ'!K27</f>
        <v>0</v>
      </c>
      <c r="J27" s="305">
        <f>5*3.23</f>
        <v>16.149999999999999</v>
      </c>
      <c r="K27" s="305">
        <f>4*3.23</f>
        <v>12.92</v>
      </c>
      <c r="L27" s="305">
        <f>4*3.23</f>
        <v>12.92</v>
      </c>
      <c r="M27" s="305">
        <v>3.23</v>
      </c>
      <c r="N27" s="305">
        <v>3.23</v>
      </c>
      <c r="O27" s="305"/>
      <c r="P27" s="305">
        <f>4*3.23</f>
        <v>12.92</v>
      </c>
      <c r="Q27" s="305">
        <v>3.23</v>
      </c>
      <c r="R27" s="305">
        <f>4*3.23</f>
        <v>12.92</v>
      </c>
      <c r="S27" s="305"/>
      <c r="T27" s="305"/>
      <c r="U27" s="305"/>
      <c r="V27" s="305">
        <f>4*3.23</f>
        <v>12.92</v>
      </c>
      <c r="W27" s="305"/>
      <c r="X27" s="305"/>
      <c r="Y27" s="305"/>
      <c r="Z27" s="305"/>
      <c r="AA27" s="305"/>
      <c r="AB27" s="305"/>
      <c r="AC27" s="305"/>
      <c r="AD27" s="305"/>
      <c r="AE27" s="625"/>
      <c r="AF27" s="625"/>
      <c r="AG27" s="625"/>
      <c r="AH27" s="305">
        <f t="shared" si="8"/>
        <v>90.44</v>
      </c>
      <c r="AI27" s="625"/>
      <c r="AJ27" s="305">
        <f>2*3.23</f>
        <v>6.46</v>
      </c>
      <c r="AK27" s="305">
        <f>2*3.23</f>
        <v>6.46</v>
      </c>
      <c r="AL27" s="305">
        <f>2*3.23</f>
        <v>6.46</v>
      </c>
      <c r="AM27" s="305"/>
      <c r="AN27" s="305"/>
      <c r="AO27" s="305"/>
      <c r="AP27" s="305"/>
      <c r="AQ27" s="305"/>
      <c r="AR27" s="305"/>
      <c r="AS27" s="305"/>
      <c r="AT27" s="305"/>
      <c r="AU27" s="305"/>
      <c r="AV27" s="305"/>
      <c r="AW27" s="625"/>
      <c r="AX27" s="305">
        <f t="shared" si="9"/>
        <v>19.38</v>
      </c>
      <c r="AY27" s="305">
        <f>2*3.23</f>
        <v>6.46</v>
      </c>
      <c r="AZ27" s="625"/>
      <c r="BA27" s="305">
        <f>2*3.23</f>
        <v>6.46</v>
      </c>
      <c r="BB27" s="625"/>
      <c r="BC27" s="625"/>
      <c r="BD27" s="305">
        <f t="shared" si="10"/>
        <v>12.92</v>
      </c>
      <c r="BE27" s="625"/>
      <c r="BF27" s="625"/>
      <c r="BG27" s="625"/>
      <c r="BH27" s="625">
        <f t="shared" si="11"/>
        <v>0</v>
      </c>
      <c r="BI27" s="625"/>
      <c r="BJ27" s="625"/>
      <c r="BK27" s="625"/>
      <c r="BL27" s="625"/>
      <c r="BM27" s="625"/>
      <c r="BN27" s="625"/>
      <c r="BO27" s="625"/>
      <c r="BP27" s="305">
        <f>9*1.5</f>
        <v>13.5</v>
      </c>
      <c r="BQ27" s="305">
        <v>0.3</v>
      </c>
      <c r="BR27" s="305">
        <f>2*0.3</f>
        <v>0.6</v>
      </c>
      <c r="BS27" s="540"/>
      <c r="BT27" s="305">
        <f t="shared" si="12"/>
        <v>14.4</v>
      </c>
      <c r="BU27" s="305"/>
      <c r="BV27" s="305"/>
      <c r="BW27" s="305"/>
      <c r="BX27" s="305"/>
      <c r="BY27" s="305"/>
      <c r="BZ27" s="305">
        <f t="shared" si="13"/>
        <v>0</v>
      </c>
      <c r="CA27" s="365">
        <f t="shared" si="14"/>
        <v>570.87</v>
      </c>
      <c r="CB27" s="365">
        <f t="shared" si="15"/>
        <v>9.8999999999999986</v>
      </c>
      <c r="CC27" s="326"/>
    </row>
    <row r="28" spans="1:81" s="5" customFormat="1">
      <c r="A28" s="411">
        <f>'1-συμβολαια'!A28</f>
        <v>0</v>
      </c>
      <c r="B28" s="343" t="str">
        <f>'1-συμβολαια'!C28</f>
        <v>ΧΡΗΣΙΚΤΗΣΙΑ οικοπέδου &amp; οικοδομής = 1935 πατρός ΚΛΗΡΟΝΟΜΙΑ άτυπη</v>
      </c>
      <c r="C28" s="394">
        <f>'5-αντίγρ'!AN28</f>
        <v>0</v>
      </c>
      <c r="D28" s="394">
        <f>'5-αντίγρ'!AM28</f>
        <v>0</v>
      </c>
      <c r="E28" s="305">
        <f>'6-μεταγρ'!P28</f>
        <v>0</v>
      </c>
      <c r="F28" s="305">
        <f>'6-μεταγρ'!N28+'6-μεταγρ'!O28</f>
        <v>0</v>
      </c>
      <c r="G28" s="305"/>
      <c r="H28" s="305">
        <f>'7-προςΔΟΥ'!V28</f>
        <v>0</v>
      </c>
      <c r="I28" s="268">
        <f>'7-προςΔΟΥ'!K28</f>
        <v>0</v>
      </c>
      <c r="J28" s="269"/>
      <c r="K28" s="269"/>
      <c r="L28" s="269"/>
      <c r="M28" s="269"/>
      <c r="N28" s="269">
        <v>3.23</v>
      </c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7"/>
      <c r="AF28" s="267"/>
      <c r="AG28" s="267"/>
      <c r="AH28" s="269">
        <f t="shared" ref="AH28:AH42" si="16">SUM(J28:AG28)</f>
        <v>3.23</v>
      </c>
      <c r="AI28" s="267"/>
      <c r="AJ28" s="269"/>
      <c r="AK28" s="269"/>
      <c r="AL28" s="269"/>
      <c r="AM28" s="269"/>
      <c r="AN28" s="269"/>
      <c r="AO28" s="269"/>
      <c r="AP28" s="269"/>
      <c r="AQ28" s="269"/>
      <c r="AR28" s="269"/>
      <c r="AS28" s="269"/>
      <c r="AT28" s="269"/>
      <c r="AU28" s="269"/>
      <c r="AV28" s="269"/>
      <c r="AW28" s="267"/>
      <c r="AX28" s="269">
        <f t="shared" ref="AX28:AX42" si="17">SUM(AJ28:AW28)</f>
        <v>0</v>
      </c>
      <c r="AY28" s="269"/>
      <c r="AZ28" s="267"/>
      <c r="BA28" s="269"/>
      <c r="BB28" s="267"/>
      <c r="BC28" s="267"/>
      <c r="BD28" s="269">
        <f t="shared" ref="BD28:BD42" si="18">SUM(AY28:BC28)</f>
        <v>0</v>
      </c>
      <c r="BE28" s="267"/>
      <c r="BF28" s="267"/>
      <c r="BG28" s="267"/>
      <c r="BH28" s="267">
        <f t="shared" ref="BH28:BH42" si="19">SUM(BE28:BG28)</f>
        <v>0</v>
      </c>
      <c r="BI28" s="267"/>
      <c r="BJ28" s="267"/>
      <c r="BK28" s="267"/>
      <c r="BL28" s="267"/>
      <c r="BM28" s="267"/>
      <c r="BN28" s="267"/>
      <c r="BO28" s="267"/>
      <c r="BP28" s="269"/>
      <c r="BQ28" s="269"/>
      <c r="BR28" s="269"/>
      <c r="BS28" s="263"/>
      <c r="BT28" s="269">
        <f t="shared" ref="BT28:BT42" si="20">SUM(BI28:BS28)</f>
        <v>0</v>
      </c>
      <c r="BU28" s="305"/>
      <c r="BV28" s="305"/>
      <c r="BW28" s="305"/>
      <c r="BX28" s="305"/>
      <c r="BY28" s="305"/>
      <c r="BZ28" s="305">
        <f t="shared" ref="BZ28:BZ42" si="21">BU28+BV28+BW28+BX28</f>
        <v>0</v>
      </c>
      <c r="CA28" s="365">
        <f t="shared" ref="CA28:CA42" si="22">C28+G28+H28+AH28-AB28+AX28+BD28+BH28+BT28-BP28+BZ28-BX28</f>
        <v>3.23</v>
      </c>
      <c r="CB28" s="365">
        <f t="shared" ref="CB28:CB42" si="23">D28+F28+I28+AD28+BY28</f>
        <v>0</v>
      </c>
      <c r="CC28" s="326"/>
    </row>
    <row r="29" spans="1:81" s="5" customFormat="1">
      <c r="A29" s="411">
        <f>'1-συμβολαια'!A29</f>
        <v>0</v>
      </c>
      <c r="B29" s="343" t="str">
        <f>'1-συμβολαια'!C29</f>
        <v>ΧΡΗΣΙΚΤΗΣΙΑ οικοπέδων 2'-3' = 1992 αδερφού ΚΛΗΡΟΝΟΜΙΑ άτυπη</v>
      </c>
      <c r="C29" s="394">
        <f>'5-αντίγρ'!AN29</f>
        <v>0</v>
      </c>
      <c r="D29" s="394">
        <f>'5-αντίγρ'!AM29</f>
        <v>0</v>
      </c>
      <c r="E29" s="305">
        <f>'6-μεταγρ'!P29</f>
        <v>0</v>
      </c>
      <c r="F29" s="305">
        <f>'6-μεταγρ'!N29+'6-μεταγρ'!O29</f>
        <v>0</v>
      </c>
      <c r="G29" s="305"/>
      <c r="H29" s="305">
        <f>'7-προςΔΟΥ'!V29</f>
        <v>0</v>
      </c>
      <c r="I29" s="268">
        <f>'7-προςΔΟΥ'!K29</f>
        <v>0</v>
      </c>
      <c r="J29" s="269"/>
      <c r="K29" s="269"/>
      <c r="L29" s="269"/>
      <c r="M29" s="269"/>
      <c r="N29" s="269"/>
      <c r="O29" s="269"/>
      <c r="P29" s="269"/>
      <c r="Q29" s="269"/>
      <c r="R29" s="269"/>
      <c r="S29" s="269"/>
      <c r="T29" s="269"/>
      <c r="U29" s="269"/>
      <c r="V29" s="269"/>
      <c r="W29" s="269"/>
      <c r="X29" s="269"/>
      <c r="Y29" s="269"/>
      <c r="Z29" s="269"/>
      <c r="AA29" s="269"/>
      <c r="AB29" s="269"/>
      <c r="AC29" s="269"/>
      <c r="AD29" s="269"/>
      <c r="AE29" s="267"/>
      <c r="AF29" s="267"/>
      <c r="AG29" s="267"/>
      <c r="AH29" s="269">
        <f t="shared" si="16"/>
        <v>0</v>
      </c>
      <c r="AI29" s="267"/>
      <c r="AJ29" s="269"/>
      <c r="AK29" s="269"/>
      <c r="AL29" s="269"/>
      <c r="AM29" s="269"/>
      <c r="AN29" s="269"/>
      <c r="AO29" s="269"/>
      <c r="AP29" s="269"/>
      <c r="AQ29" s="269"/>
      <c r="AR29" s="269"/>
      <c r="AS29" s="269"/>
      <c r="AT29" s="269"/>
      <c r="AU29" s="269"/>
      <c r="AV29" s="269"/>
      <c r="AW29" s="267"/>
      <c r="AX29" s="269">
        <f t="shared" si="17"/>
        <v>0</v>
      </c>
      <c r="AY29" s="269"/>
      <c r="AZ29" s="267"/>
      <c r="BA29" s="269"/>
      <c r="BB29" s="267"/>
      <c r="BC29" s="267"/>
      <c r="BD29" s="269">
        <f t="shared" si="18"/>
        <v>0</v>
      </c>
      <c r="BE29" s="267"/>
      <c r="BF29" s="267"/>
      <c r="BG29" s="267"/>
      <c r="BH29" s="267">
        <f t="shared" si="19"/>
        <v>0</v>
      </c>
      <c r="BI29" s="267"/>
      <c r="BJ29" s="267"/>
      <c r="BK29" s="267"/>
      <c r="BL29" s="267"/>
      <c r="BM29" s="267"/>
      <c r="BN29" s="267"/>
      <c r="BO29" s="267"/>
      <c r="BP29" s="269"/>
      <c r="BQ29" s="269"/>
      <c r="BR29" s="269"/>
      <c r="BS29" s="263"/>
      <c r="BT29" s="269">
        <f t="shared" si="20"/>
        <v>0</v>
      </c>
      <c r="BU29" s="305"/>
      <c r="BV29" s="305"/>
      <c r="BW29" s="305"/>
      <c r="BX29" s="305"/>
      <c r="BY29" s="305"/>
      <c r="BZ29" s="305">
        <f t="shared" si="21"/>
        <v>0</v>
      </c>
      <c r="CA29" s="365">
        <f t="shared" si="22"/>
        <v>0</v>
      </c>
      <c r="CB29" s="365">
        <f t="shared" si="23"/>
        <v>0</v>
      </c>
      <c r="CC29" s="326"/>
    </row>
    <row r="30" spans="1:81" s="5" customFormat="1">
      <c r="A30" s="411">
        <f>'1-συμβολαια'!A30</f>
        <v>0</v>
      </c>
      <c r="B30" s="343" t="str">
        <f>'1-συμβολαια'!C30</f>
        <v>ΧΡΗΣΙΚΤΗΣΙΑ αγροτεμαχίου 9' = 1968 μητρός ΚΛΗΡΟΝΟΜΙΑ άτυπη</v>
      </c>
      <c r="C30" s="394">
        <f>'5-αντίγρ'!AN30</f>
        <v>0</v>
      </c>
      <c r="D30" s="394">
        <f>'5-αντίγρ'!AM30</f>
        <v>0</v>
      </c>
      <c r="E30" s="305">
        <f>'6-μεταγρ'!P30</f>
        <v>0</v>
      </c>
      <c r="F30" s="305">
        <f>'6-μεταγρ'!N30+'6-μεταγρ'!O30</f>
        <v>0</v>
      </c>
      <c r="G30" s="305"/>
      <c r="H30" s="305">
        <f>'7-προςΔΟΥ'!V30</f>
        <v>0</v>
      </c>
      <c r="I30" s="268">
        <f>'7-προςΔΟΥ'!K30</f>
        <v>0</v>
      </c>
      <c r="J30" s="269"/>
      <c r="K30" s="269"/>
      <c r="L30" s="269"/>
      <c r="M30" s="269"/>
      <c r="N30" s="269">
        <v>3.23</v>
      </c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7"/>
      <c r="AF30" s="267"/>
      <c r="AG30" s="267"/>
      <c r="AH30" s="269">
        <f t="shared" si="16"/>
        <v>3.23</v>
      </c>
      <c r="AI30" s="267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7"/>
      <c r="AX30" s="269">
        <f t="shared" si="17"/>
        <v>0</v>
      </c>
      <c r="AY30" s="269"/>
      <c r="AZ30" s="267"/>
      <c r="BA30" s="269"/>
      <c r="BB30" s="267"/>
      <c r="BC30" s="267"/>
      <c r="BD30" s="269">
        <f t="shared" si="18"/>
        <v>0</v>
      </c>
      <c r="BE30" s="267"/>
      <c r="BF30" s="267"/>
      <c r="BG30" s="267"/>
      <c r="BH30" s="267">
        <f t="shared" si="19"/>
        <v>0</v>
      </c>
      <c r="BI30" s="267"/>
      <c r="BJ30" s="267"/>
      <c r="BK30" s="267"/>
      <c r="BL30" s="267"/>
      <c r="BM30" s="267"/>
      <c r="BN30" s="267"/>
      <c r="BO30" s="267"/>
      <c r="BP30" s="269"/>
      <c r="BQ30" s="269"/>
      <c r="BR30" s="269"/>
      <c r="BS30" s="263"/>
      <c r="BT30" s="269">
        <f t="shared" si="20"/>
        <v>0</v>
      </c>
      <c r="BU30" s="305"/>
      <c r="BV30" s="305"/>
      <c r="BW30" s="305"/>
      <c r="BX30" s="305"/>
      <c r="BY30" s="305"/>
      <c r="BZ30" s="305">
        <f t="shared" si="21"/>
        <v>0</v>
      </c>
      <c r="CA30" s="365">
        <f t="shared" si="22"/>
        <v>3.23</v>
      </c>
      <c r="CB30" s="365">
        <f t="shared" si="23"/>
        <v>0</v>
      </c>
      <c r="CC30" s="326"/>
    </row>
    <row r="31" spans="1:81" s="5" customFormat="1">
      <c r="A31" s="411">
        <f>'1-συμβολαια'!A31</f>
        <v>0</v>
      </c>
      <c r="B31" s="343" t="str">
        <f>'1-συμβολαια'!C31</f>
        <v>ΧΡΗΣΙΚΤΗΣΙΑ οικοπέδου 4' = 19?? ΑΓΟΡΑΠΩΛΗΣΙΑ άτυπη</v>
      </c>
      <c r="C31" s="394">
        <f>'5-αντίγρ'!AN31</f>
        <v>0</v>
      </c>
      <c r="D31" s="394">
        <f>'5-αντίγρ'!AM31</f>
        <v>0</v>
      </c>
      <c r="E31" s="305">
        <f>'6-μεταγρ'!P31</f>
        <v>0</v>
      </c>
      <c r="F31" s="305">
        <f>'6-μεταγρ'!N31+'6-μεταγρ'!O31</f>
        <v>0</v>
      </c>
      <c r="G31" s="305"/>
      <c r="H31" s="305">
        <f>'7-προςΔΟΥ'!V31</f>
        <v>0</v>
      </c>
      <c r="I31" s="268">
        <f>'7-προςΔΟΥ'!K31</f>
        <v>0</v>
      </c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/>
      <c r="AC31" s="269"/>
      <c r="AD31" s="269"/>
      <c r="AE31" s="267"/>
      <c r="AF31" s="267"/>
      <c r="AG31" s="267"/>
      <c r="AH31" s="269">
        <f t="shared" si="16"/>
        <v>0</v>
      </c>
      <c r="AI31" s="267"/>
      <c r="AJ31" s="269"/>
      <c r="AK31" s="269"/>
      <c r="AL31" s="269"/>
      <c r="AM31" s="269"/>
      <c r="AN31" s="269"/>
      <c r="AO31" s="269"/>
      <c r="AP31" s="269"/>
      <c r="AQ31" s="269"/>
      <c r="AR31" s="269"/>
      <c r="AS31" s="269"/>
      <c r="AT31" s="269"/>
      <c r="AU31" s="269"/>
      <c r="AV31" s="269"/>
      <c r="AW31" s="267"/>
      <c r="AX31" s="269">
        <f t="shared" si="17"/>
        <v>0</v>
      </c>
      <c r="AY31" s="269"/>
      <c r="AZ31" s="267"/>
      <c r="BA31" s="269"/>
      <c r="BB31" s="267"/>
      <c r="BC31" s="267"/>
      <c r="BD31" s="269">
        <f t="shared" si="18"/>
        <v>0</v>
      </c>
      <c r="BE31" s="267"/>
      <c r="BF31" s="267"/>
      <c r="BG31" s="267"/>
      <c r="BH31" s="267">
        <f t="shared" si="19"/>
        <v>0</v>
      </c>
      <c r="BI31" s="267"/>
      <c r="BJ31" s="267"/>
      <c r="BK31" s="267"/>
      <c r="BL31" s="267"/>
      <c r="BM31" s="267"/>
      <c r="BN31" s="267"/>
      <c r="BO31" s="267"/>
      <c r="BP31" s="269"/>
      <c r="BQ31" s="269"/>
      <c r="BR31" s="269"/>
      <c r="BS31" s="263"/>
      <c r="BT31" s="269">
        <f t="shared" si="20"/>
        <v>0</v>
      </c>
      <c r="BU31" s="305"/>
      <c r="BV31" s="305"/>
      <c r="BW31" s="305"/>
      <c r="BX31" s="305"/>
      <c r="BY31" s="305"/>
      <c r="BZ31" s="305">
        <f t="shared" si="21"/>
        <v>0</v>
      </c>
      <c r="CA31" s="365">
        <f t="shared" si="22"/>
        <v>0</v>
      </c>
      <c r="CB31" s="365">
        <f t="shared" si="23"/>
        <v>0</v>
      </c>
      <c r="CC31" s="326"/>
    </row>
    <row r="32" spans="1:81" s="5" customFormat="1" ht="12" thickBot="1">
      <c r="A32" s="435">
        <f>'1-συμβολαια'!A32</f>
        <v>0</v>
      </c>
      <c r="B32" s="436" t="str">
        <f>'1-συμβολαια'!C32</f>
        <v>ΧΡΗΣΙΚΤΗΣΙΑ αγροτεμαχίου 8' = 19??? ΑΓΟΡΑΠΩΛΗΣΙΑ άτυπη</v>
      </c>
      <c r="C32" s="536">
        <f>'5-αντίγρ'!AN32</f>
        <v>0</v>
      </c>
      <c r="D32" s="536">
        <f>'5-αντίγρ'!AM32</f>
        <v>0</v>
      </c>
      <c r="E32" s="619">
        <f>'6-μεταγρ'!P32</f>
        <v>0</v>
      </c>
      <c r="F32" s="619">
        <f>'6-μεταγρ'!N32+'6-μεταγρ'!O32</f>
        <v>0</v>
      </c>
      <c r="G32" s="619"/>
      <c r="H32" s="619">
        <f>'7-προςΔΟΥ'!V32</f>
        <v>0</v>
      </c>
      <c r="I32" s="620">
        <f>'7-προςΔΟΥ'!K32</f>
        <v>0</v>
      </c>
      <c r="J32" s="619"/>
      <c r="K32" s="619"/>
      <c r="L32" s="619"/>
      <c r="M32" s="619"/>
      <c r="N32" s="619"/>
      <c r="O32" s="619"/>
      <c r="P32" s="619"/>
      <c r="Q32" s="619"/>
      <c r="R32" s="619"/>
      <c r="S32" s="619"/>
      <c r="T32" s="619"/>
      <c r="U32" s="619"/>
      <c r="V32" s="619"/>
      <c r="W32" s="619"/>
      <c r="X32" s="619"/>
      <c r="Y32" s="619"/>
      <c r="Z32" s="619"/>
      <c r="AA32" s="619"/>
      <c r="AB32" s="619"/>
      <c r="AC32" s="619"/>
      <c r="AD32" s="619"/>
      <c r="AE32" s="626"/>
      <c r="AF32" s="626"/>
      <c r="AG32" s="626"/>
      <c r="AH32" s="619">
        <f t="shared" si="16"/>
        <v>0</v>
      </c>
      <c r="AI32" s="626"/>
      <c r="AJ32" s="619"/>
      <c r="AK32" s="619"/>
      <c r="AL32" s="619"/>
      <c r="AM32" s="619"/>
      <c r="AN32" s="619"/>
      <c r="AO32" s="619"/>
      <c r="AP32" s="619"/>
      <c r="AQ32" s="619"/>
      <c r="AR32" s="619"/>
      <c r="AS32" s="619"/>
      <c r="AT32" s="619"/>
      <c r="AU32" s="619"/>
      <c r="AV32" s="619"/>
      <c r="AW32" s="626"/>
      <c r="AX32" s="619">
        <f t="shared" si="17"/>
        <v>0</v>
      </c>
      <c r="AY32" s="619"/>
      <c r="AZ32" s="626"/>
      <c r="BA32" s="619"/>
      <c r="BB32" s="626"/>
      <c r="BC32" s="626"/>
      <c r="BD32" s="619">
        <f t="shared" si="18"/>
        <v>0</v>
      </c>
      <c r="BE32" s="626"/>
      <c r="BF32" s="626"/>
      <c r="BG32" s="626"/>
      <c r="BH32" s="626">
        <f t="shared" si="19"/>
        <v>0</v>
      </c>
      <c r="BI32" s="626"/>
      <c r="BJ32" s="626"/>
      <c r="BK32" s="626"/>
      <c r="BL32" s="626"/>
      <c r="BM32" s="626"/>
      <c r="BN32" s="626"/>
      <c r="BO32" s="626"/>
      <c r="BP32" s="619"/>
      <c r="BQ32" s="619"/>
      <c r="BR32" s="619"/>
      <c r="BS32" s="539"/>
      <c r="BT32" s="619">
        <f t="shared" si="20"/>
        <v>0</v>
      </c>
      <c r="BU32" s="305"/>
      <c r="BV32" s="305"/>
      <c r="BW32" s="305"/>
      <c r="BX32" s="305"/>
      <c r="BY32" s="305"/>
      <c r="BZ32" s="305">
        <f t="shared" si="21"/>
        <v>0</v>
      </c>
      <c r="CA32" s="365">
        <f t="shared" si="22"/>
        <v>0</v>
      </c>
      <c r="CB32" s="365">
        <f t="shared" si="23"/>
        <v>0</v>
      </c>
      <c r="CC32" s="326"/>
    </row>
    <row r="33" spans="1:81" s="5" customFormat="1">
      <c r="A33" s="432" t="str">
        <f>'1-συμβολαια'!A33</f>
        <v>15ο</v>
      </c>
      <c r="B33" s="433" t="str">
        <f>'1-συμβολαια'!C33</f>
        <v>αγοραπωλησία τίμημα = Δ.Ο.Υ. =</v>
      </c>
      <c r="C33" s="394">
        <f>'5-αντίγρ'!AN33</f>
        <v>214.99</v>
      </c>
      <c r="D33" s="394">
        <f>'5-αντίγρ'!AM33</f>
        <v>3.96</v>
      </c>
      <c r="E33" s="305">
        <f>'6-μεταγρ'!P33</f>
        <v>0</v>
      </c>
      <c r="F33" s="305">
        <f>'6-μεταγρ'!N33+'6-μεταγρ'!O33</f>
        <v>5.9399999999999995</v>
      </c>
      <c r="G33" s="305"/>
      <c r="H33" s="305">
        <f>'7-προςΔΟΥ'!V33</f>
        <v>164.14999999999998</v>
      </c>
      <c r="I33" s="268">
        <f>'7-προςΔΟΥ'!K33</f>
        <v>0</v>
      </c>
      <c r="J33" s="305"/>
      <c r="K33" s="305">
        <v>3.23</v>
      </c>
      <c r="L33" s="305">
        <v>3.23</v>
      </c>
      <c r="M33" s="305"/>
      <c r="N33" s="305"/>
      <c r="O33" s="305"/>
      <c r="P33" s="305">
        <v>3.23</v>
      </c>
      <c r="Q33" s="305">
        <v>3.23</v>
      </c>
      <c r="R33" s="305">
        <v>3.23</v>
      </c>
      <c r="S33" s="305">
        <v>3.23</v>
      </c>
      <c r="T33" s="305">
        <v>3.23</v>
      </c>
      <c r="U33" s="305"/>
      <c r="V33" s="305">
        <v>3.23</v>
      </c>
      <c r="W33" s="305"/>
      <c r="X33" s="305"/>
      <c r="Y33" s="305"/>
      <c r="Z33" s="305"/>
      <c r="AA33" s="305"/>
      <c r="AB33" s="305"/>
      <c r="AC33" s="305"/>
      <c r="AD33" s="305"/>
      <c r="AE33" s="625"/>
      <c r="AF33" s="625"/>
      <c r="AG33" s="625"/>
      <c r="AH33" s="305">
        <f t="shared" si="16"/>
        <v>25.84</v>
      </c>
      <c r="AI33" s="625"/>
      <c r="AJ33" s="305">
        <f>11*3.23</f>
        <v>35.53</v>
      </c>
      <c r="AK33" s="305"/>
      <c r="AL33" s="305">
        <f>11*3.23</f>
        <v>35.53</v>
      </c>
      <c r="AM33" s="305">
        <f>11*3.23</f>
        <v>35.53</v>
      </c>
      <c r="AN33" s="305"/>
      <c r="AO33" s="305"/>
      <c r="AP33" s="305">
        <f>11*3.23</f>
        <v>35.53</v>
      </c>
      <c r="AQ33" s="305"/>
      <c r="AR33" s="305"/>
      <c r="AS33" s="305"/>
      <c r="AT33" s="305"/>
      <c r="AU33" s="305"/>
      <c r="AV33" s="305"/>
      <c r="AW33" s="625"/>
      <c r="AX33" s="305">
        <f t="shared" si="17"/>
        <v>142.12</v>
      </c>
      <c r="AY33" s="305">
        <f>11*3.23</f>
        <v>35.53</v>
      </c>
      <c r="AZ33" s="625"/>
      <c r="BA33" s="305">
        <f>11*3.23</f>
        <v>35.53</v>
      </c>
      <c r="BB33" s="625"/>
      <c r="BC33" s="625"/>
      <c r="BD33" s="305">
        <f t="shared" si="18"/>
        <v>71.06</v>
      </c>
      <c r="BE33" s="625"/>
      <c r="BF33" s="625"/>
      <c r="BG33" s="625"/>
      <c r="BH33" s="625">
        <f t="shared" si="19"/>
        <v>0</v>
      </c>
      <c r="BI33" s="625"/>
      <c r="BJ33" s="625"/>
      <c r="BK33" s="625"/>
      <c r="BL33" s="625"/>
      <c r="BM33" s="625"/>
      <c r="BN33" s="625"/>
      <c r="BO33" s="625"/>
      <c r="BP33" s="305">
        <v>1.5</v>
      </c>
      <c r="BQ33" s="305">
        <v>0.3</v>
      </c>
      <c r="BR33" s="305">
        <f>11*0.3</f>
        <v>3.3</v>
      </c>
      <c r="BS33" s="540"/>
      <c r="BT33" s="305">
        <f t="shared" si="20"/>
        <v>5.0999999999999996</v>
      </c>
      <c r="BU33" s="305"/>
      <c r="BV33" s="305"/>
      <c r="BW33" s="305"/>
      <c r="BX33" s="305"/>
      <c r="BY33" s="305"/>
      <c r="BZ33" s="305">
        <f t="shared" si="21"/>
        <v>0</v>
      </c>
      <c r="CA33" s="365">
        <f t="shared" si="22"/>
        <v>621.75999999999988</v>
      </c>
      <c r="CB33" s="365">
        <f t="shared" si="23"/>
        <v>9.8999999999999986</v>
      </c>
      <c r="CC33" s="326"/>
    </row>
    <row r="34" spans="1:81" s="5" customFormat="1">
      <c r="A34" s="338" t="str">
        <f>'1-συμβολαια'!A34</f>
        <v>16ο</v>
      </c>
      <c r="B34" s="343" t="str">
        <f>'1-συμβολαια'!C34</f>
        <v>πληρεξούσιο</v>
      </c>
      <c r="C34" s="394">
        <f>'5-αντίγρ'!AN34</f>
        <v>0</v>
      </c>
      <c r="D34" s="394">
        <f>'5-αντίγρ'!AM34</f>
        <v>0</v>
      </c>
      <c r="E34" s="305">
        <f>'6-μεταγρ'!P34</f>
        <v>0</v>
      </c>
      <c r="F34" s="305">
        <f>'6-μεταγρ'!N34+'6-μεταγρ'!O34</f>
        <v>0</v>
      </c>
      <c r="G34" s="305"/>
      <c r="H34" s="305">
        <f>'7-προςΔΟΥ'!V34</f>
        <v>0</v>
      </c>
      <c r="I34" s="268">
        <f>'7-προςΔΟΥ'!K34</f>
        <v>0</v>
      </c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7"/>
      <c r="AF34" s="267"/>
      <c r="AG34" s="267"/>
      <c r="AH34" s="269">
        <f t="shared" si="16"/>
        <v>0</v>
      </c>
      <c r="AI34" s="267"/>
      <c r="AJ34" s="269"/>
      <c r="AK34" s="269"/>
      <c r="AL34" s="269"/>
      <c r="AM34" s="269"/>
      <c r="AN34" s="269"/>
      <c r="AO34" s="269"/>
      <c r="AP34" s="269"/>
      <c r="AQ34" s="269"/>
      <c r="AR34" s="269"/>
      <c r="AS34" s="269"/>
      <c r="AT34" s="269"/>
      <c r="AU34" s="269"/>
      <c r="AV34" s="269"/>
      <c r="AW34" s="267"/>
      <c r="AX34" s="269">
        <f t="shared" si="17"/>
        <v>0</v>
      </c>
      <c r="AY34" s="269"/>
      <c r="AZ34" s="267"/>
      <c r="BA34" s="269"/>
      <c r="BB34" s="267"/>
      <c r="BC34" s="267"/>
      <c r="BD34" s="269">
        <f t="shared" si="18"/>
        <v>0</v>
      </c>
      <c r="BE34" s="267"/>
      <c r="BF34" s="267"/>
      <c r="BG34" s="267"/>
      <c r="BH34" s="267">
        <f t="shared" si="19"/>
        <v>0</v>
      </c>
      <c r="BI34" s="267"/>
      <c r="BJ34" s="267"/>
      <c r="BK34" s="267"/>
      <c r="BL34" s="267"/>
      <c r="BM34" s="267"/>
      <c r="BN34" s="267"/>
      <c r="BO34" s="267"/>
      <c r="BP34" s="269"/>
      <c r="BQ34" s="269"/>
      <c r="BR34" s="269">
        <f t="shared" ref="BR34:BR35" si="24">2*0.3</f>
        <v>0.6</v>
      </c>
      <c r="BS34" s="263"/>
      <c r="BT34" s="269">
        <f t="shared" si="20"/>
        <v>0.6</v>
      </c>
      <c r="BU34" s="305"/>
      <c r="BV34" s="305"/>
      <c r="BW34" s="305"/>
      <c r="BX34" s="305"/>
      <c r="BY34" s="305"/>
      <c r="BZ34" s="305">
        <f t="shared" si="21"/>
        <v>0</v>
      </c>
      <c r="CA34" s="365">
        <f t="shared" si="22"/>
        <v>0.6</v>
      </c>
      <c r="CB34" s="365">
        <f t="shared" si="23"/>
        <v>0</v>
      </c>
      <c r="CC34" s="326"/>
    </row>
    <row r="35" spans="1:81" s="5" customFormat="1" ht="12" thickBot="1">
      <c r="A35" s="476" t="str">
        <f>'1-συμβολαια'!A35</f>
        <v>17ο</v>
      </c>
      <c r="B35" s="436" t="str">
        <f>'1-συμβολαια'!C35</f>
        <v>πληρεξούσιο</v>
      </c>
      <c r="C35" s="536">
        <f>'5-αντίγρ'!AN35</f>
        <v>0</v>
      </c>
      <c r="D35" s="536">
        <f>'5-αντίγρ'!AM35</f>
        <v>0</v>
      </c>
      <c r="E35" s="619">
        <f>'6-μεταγρ'!P35</f>
        <v>0</v>
      </c>
      <c r="F35" s="619">
        <f>'6-μεταγρ'!N35+'6-μεταγρ'!O35</f>
        <v>0</v>
      </c>
      <c r="G35" s="619"/>
      <c r="H35" s="619">
        <f>'7-προςΔΟΥ'!V35</f>
        <v>0</v>
      </c>
      <c r="I35" s="620">
        <f>'7-προςΔΟΥ'!K35</f>
        <v>0</v>
      </c>
      <c r="J35" s="619"/>
      <c r="K35" s="619"/>
      <c r="L35" s="619"/>
      <c r="M35" s="619"/>
      <c r="N35" s="619"/>
      <c r="O35" s="619"/>
      <c r="P35" s="619"/>
      <c r="Q35" s="619"/>
      <c r="R35" s="619"/>
      <c r="S35" s="619"/>
      <c r="T35" s="619"/>
      <c r="U35" s="619"/>
      <c r="V35" s="619"/>
      <c r="W35" s="619"/>
      <c r="X35" s="619"/>
      <c r="Y35" s="619"/>
      <c r="Z35" s="619"/>
      <c r="AA35" s="619"/>
      <c r="AB35" s="619"/>
      <c r="AC35" s="619"/>
      <c r="AD35" s="619"/>
      <c r="AE35" s="626"/>
      <c r="AF35" s="626"/>
      <c r="AG35" s="626"/>
      <c r="AH35" s="619">
        <f t="shared" si="16"/>
        <v>0</v>
      </c>
      <c r="AI35" s="626"/>
      <c r="AJ35" s="619"/>
      <c r="AK35" s="619"/>
      <c r="AL35" s="619"/>
      <c r="AM35" s="619"/>
      <c r="AN35" s="619"/>
      <c r="AO35" s="619"/>
      <c r="AP35" s="619"/>
      <c r="AQ35" s="619"/>
      <c r="AR35" s="619"/>
      <c r="AS35" s="619"/>
      <c r="AT35" s="619"/>
      <c r="AU35" s="619"/>
      <c r="AV35" s="619"/>
      <c r="AW35" s="626"/>
      <c r="AX35" s="619">
        <f t="shared" si="17"/>
        <v>0</v>
      </c>
      <c r="AY35" s="619"/>
      <c r="AZ35" s="626"/>
      <c r="BA35" s="619"/>
      <c r="BB35" s="626"/>
      <c r="BC35" s="626"/>
      <c r="BD35" s="619">
        <f t="shared" si="18"/>
        <v>0</v>
      </c>
      <c r="BE35" s="626"/>
      <c r="BF35" s="626"/>
      <c r="BG35" s="626"/>
      <c r="BH35" s="626">
        <f t="shared" si="19"/>
        <v>0</v>
      </c>
      <c r="BI35" s="626"/>
      <c r="BJ35" s="626"/>
      <c r="BK35" s="626"/>
      <c r="BL35" s="626"/>
      <c r="BM35" s="626"/>
      <c r="BN35" s="626"/>
      <c r="BO35" s="626"/>
      <c r="BP35" s="619"/>
      <c r="BQ35" s="619"/>
      <c r="BR35" s="619">
        <f t="shared" si="24"/>
        <v>0.6</v>
      </c>
      <c r="BS35" s="539"/>
      <c r="BT35" s="619">
        <f t="shared" si="20"/>
        <v>0.6</v>
      </c>
      <c r="BU35" s="305"/>
      <c r="BV35" s="305"/>
      <c r="BW35" s="305"/>
      <c r="BX35" s="305"/>
      <c r="BY35" s="305"/>
      <c r="BZ35" s="305">
        <f t="shared" si="21"/>
        <v>0</v>
      </c>
      <c r="CA35" s="365">
        <f t="shared" si="22"/>
        <v>0.6</v>
      </c>
      <c r="CB35" s="365">
        <f t="shared" si="23"/>
        <v>0</v>
      </c>
      <c r="CC35" s="326"/>
    </row>
    <row r="36" spans="1:81" s="5" customFormat="1">
      <c r="A36" s="479" t="str">
        <f>'1-συμβολαια'!A36</f>
        <v>18ο</v>
      </c>
      <c r="B36" s="433" t="str">
        <f>'1-συμβολαια'!C36</f>
        <v>αποδοχή κληρονομιάς</v>
      </c>
      <c r="C36" s="394">
        <f>'5-αντίγρ'!AN36</f>
        <v>44.96</v>
      </c>
      <c r="D36" s="394">
        <f>'5-αντίγρ'!AM36</f>
        <v>3.96</v>
      </c>
      <c r="E36" s="305">
        <f>'6-μεταγρ'!P36</f>
        <v>11.74</v>
      </c>
      <c r="F36" s="305">
        <f>'6-μεταγρ'!N36+'6-μεταγρ'!O36</f>
        <v>5.9399999999999995</v>
      </c>
      <c r="G36" s="305"/>
      <c r="H36" s="305">
        <f>'7-προςΔΟΥ'!V36</f>
        <v>321.24</v>
      </c>
      <c r="I36" s="268">
        <f>'7-προςΔΟΥ'!K36</f>
        <v>0</v>
      </c>
      <c r="J36" s="305">
        <f>5.87+5.87+3.23</f>
        <v>14.97</v>
      </c>
      <c r="K36" s="305">
        <f>3*3.23</f>
        <v>9.69</v>
      </c>
      <c r="L36" s="305">
        <v>3.23</v>
      </c>
      <c r="M36" s="305">
        <v>3.23</v>
      </c>
      <c r="N36" s="305">
        <v>3.23</v>
      </c>
      <c r="O36" s="305"/>
      <c r="P36" s="305">
        <v>3.23</v>
      </c>
      <c r="Q36" s="305">
        <v>3.23</v>
      </c>
      <c r="R36" s="305">
        <v>3.23</v>
      </c>
      <c r="S36" s="305"/>
      <c r="T36" s="305"/>
      <c r="U36" s="305"/>
      <c r="V36" s="305">
        <v>3.23</v>
      </c>
      <c r="W36" s="305"/>
      <c r="X36" s="305"/>
      <c r="Y36" s="305">
        <f>2*(5.87+8.8)+3.23</f>
        <v>32.57</v>
      </c>
      <c r="Z36" s="305">
        <f>2*(5.87+8.8)+3.23</f>
        <v>32.57</v>
      </c>
      <c r="AA36" s="305">
        <f>5.87+5.87+3.23</f>
        <v>14.97</v>
      </c>
      <c r="AB36" s="305">
        <f>2*1.98</f>
        <v>3.96</v>
      </c>
      <c r="AC36" s="305"/>
      <c r="AD36" s="305"/>
      <c r="AE36" s="625"/>
      <c r="AF36" s="625"/>
      <c r="AG36" s="625"/>
      <c r="AH36" s="305">
        <f t="shared" si="16"/>
        <v>131.34</v>
      </c>
      <c r="AI36" s="625"/>
      <c r="AJ36" s="305">
        <f>4*3.23</f>
        <v>12.92</v>
      </c>
      <c r="AK36" s="305">
        <f>4*3.23</f>
        <v>12.92</v>
      </c>
      <c r="AL36" s="305">
        <f>4*3.23</f>
        <v>12.92</v>
      </c>
      <c r="AM36" s="305">
        <f>4*3.23</f>
        <v>12.92</v>
      </c>
      <c r="AN36" s="305"/>
      <c r="AO36" s="305"/>
      <c r="AP36" s="305"/>
      <c r="AQ36" s="305"/>
      <c r="AR36" s="305"/>
      <c r="AS36" s="305"/>
      <c r="AT36" s="305"/>
      <c r="AU36" s="305"/>
      <c r="AV36" s="305"/>
      <c r="AW36" s="625"/>
      <c r="AX36" s="305">
        <f t="shared" si="17"/>
        <v>51.68</v>
      </c>
      <c r="AY36" s="305">
        <f>4*3.23</f>
        <v>12.92</v>
      </c>
      <c r="AZ36" s="625"/>
      <c r="BA36" s="305">
        <f>4*3.23</f>
        <v>12.92</v>
      </c>
      <c r="BB36" s="625"/>
      <c r="BC36" s="625"/>
      <c r="BD36" s="305">
        <f t="shared" si="18"/>
        <v>25.84</v>
      </c>
      <c r="BE36" s="625"/>
      <c r="BF36" s="625"/>
      <c r="BG36" s="625"/>
      <c r="BH36" s="625">
        <f t="shared" si="19"/>
        <v>0</v>
      </c>
      <c r="BI36" s="625"/>
      <c r="BJ36" s="625"/>
      <c r="BK36" s="625"/>
      <c r="BL36" s="625"/>
      <c r="BM36" s="625"/>
      <c r="BN36" s="625"/>
      <c r="BO36" s="625"/>
      <c r="BP36" s="305">
        <f>4*1.5</f>
        <v>6</v>
      </c>
      <c r="BQ36" s="305">
        <v>0.3</v>
      </c>
      <c r="BR36" s="305">
        <f>4*0.3</f>
        <v>1.2</v>
      </c>
      <c r="BS36" s="540"/>
      <c r="BT36" s="305">
        <f t="shared" si="20"/>
        <v>7.5</v>
      </c>
      <c r="BU36" s="305"/>
      <c r="BV36" s="305"/>
      <c r="BW36" s="305"/>
      <c r="BX36" s="305"/>
      <c r="BY36" s="305"/>
      <c r="BZ36" s="305">
        <f t="shared" si="21"/>
        <v>0</v>
      </c>
      <c r="CA36" s="365">
        <f t="shared" si="22"/>
        <v>572.6</v>
      </c>
      <c r="CB36" s="365">
        <f t="shared" si="23"/>
        <v>9.8999999999999986</v>
      </c>
      <c r="CC36" s="326"/>
    </row>
    <row r="37" spans="1:81" s="5" customFormat="1">
      <c r="A37" s="411">
        <f>'1-συμβολαια'!A37</f>
        <v>0</v>
      </c>
      <c r="B37" s="343" t="str">
        <f>'1-συμβολαια'!C37</f>
        <v>ΧΡΗΣΙΚΤΗΣΙΑ  αγροτεμαχίου -1 = αναδασμός ΑΛΛΑ πριν ΑΓΟΡΑΠΩΛΗΣΙΑ άτυπος από ;;;??? το 19???</v>
      </c>
      <c r="C37" s="394">
        <f>'5-αντίγρ'!AN37</f>
        <v>0</v>
      </c>
      <c r="D37" s="394">
        <f>'5-αντίγρ'!AM37</f>
        <v>0</v>
      </c>
      <c r="E37" s="305">
        <f>'6-μεταγρ'!P37</f>
        <v>0</v>
      </c>
      <c r="F37" s="305">
        <f>'6-μεταγρ'!N37+'6-μεταγρ'!O37</f>
        <v>0</v>
      </c>
      <c r="G37" s="305"/>
      <c r="H37" s="305">
        <f>'7-προςΔΟΥ'!V37</f>
        <v>64.31</v>
      </c>
      <c r="I37" s="268">
        <f>'7-προςΔΟΥ'!K37</f>
        <v>0</v>
      </c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7"/>
      <c r="AF37" s="267"/>
      <c r="AG37" s="267"/>
      <c r="AH37" s="269">
        <f t="shared" si="16"/>
        <v>0</v>
      </c>
      <c r="AI37" s="267"/>
      <c r="AJ37" s="269"/>
      <c r="AK37" s="269"/>
      <c r="AL37" s="269"/>
      <c r="AM37" s="269"/>
      <c r="AN37" s="269"/>
      <c r="AO37" s="269"/>
      <c r="AP37" s="269"/>
      <c r="AQ37" s="269"/>
      <c r="AR37" s="269"/>
      <c r="AS37" s="269"/>
      <c r="AT37" s="269"/>
      <c r="AU37" s="269"/>
      <c r="AV37" s="269"/>
      <c r="AW37" s="267"/>
      <c r="AX37" s="269">
        <f t="shared" si="17"/>
        <v>0</v>
      </c>
      <c r="AY37" s="269"/>
      <c r="AZ37" s="267"/>
      <c r="BA37" s="269"/>
      <c r="BB37" s="267"/>
      <c r="BC37" s="267"/>
      <c r="BD37" s="269">
        <f t="shared" si="18"/>
        <v>0</v>
      </c>
      <c r="BE37" s="267"/>
      <c r="BF37" s="267"/>
      <c r="BG37" s="267"/>
      <c r="BH37" s="267">
        <f t="shared" si="19"/>
        <v>0</v>
      </c>
      <c r="BI37" s="267"/>
      <c r="BJ37" s="267"/>
      <c r="BK37" s="267"/>
      <c r="BL37" s="267"/>
      <c r="BM37" s="267"/>
      <c r="BN37" s="267"/>
      <c r="BO37" s="267"/>
      <c r="BP37" s="269"/>
      <c r="BQ37" s="269"/>
      <c r="BR37" s="269"/>
      <c r="BS37" s="263"/>
      <c r="BT37" s="269">
        <f t="shared" si="20"/>
        <v>0</v>
      </c>
      <c r="BU37" s="305"/>
      <c r="BV37" s="305"/>
      <c r="BW37" s="305"/>
      <c r="BX37" s="305"/>
      <c r="BY37" s="305"/>
      <c r="BZ37" s="305">
        <f t="shared" si="21"/>
        <v>0</v>
      </c>
      <c r="CA37" s="365">
        <f t="shared" si="22"/>
        <v>64.31</v>
      </c>
      <c r="CB37" s="365">
        <f t="shared" si="23"/>
        <v>0</v>
      </c>
      <c r="CC37" s="326"/>
    </row>
    <row r="38" spans="1:81" s="5" customFormat="1">
      <c r="A38" s="411">
        <f>'1-συμβολαια'!A38</f>
        <v>0</v>
      </c>
      <c r="B38" s="343" t="str">
        <f>'1-συμβολαια'!C38</f>
        <v>ΧΡΗΣΙΚΤΗΣΙΑ  οικοπέδου -2 = 19?? ως αγροτεμάχιο με ΑΝΑΔΑΣΜΟ</v>
      </c>
      <c r="C38" s="394">
        <f>'5-αντίγρ'!AN38</f>
        <v>0</v>
      </c>
      <c r="D38" s="394">
        <f>'5-αντίγρ'!AM38</f>
        <v>0</v>
      </c>
      <c r="E38" s="305">
        <f>'6-μεταγρ'!P38</f>
        <v>0</v>
      </c>
      <c r="F38" s="305">
        <f>'6-μεταγρ'!N38+'6-μεταγρ'!O38</f>
        <v>0</v>
      </c>
      <c r="G38" s="305"/>
      <c r="H38" s="305">
        <f>'7-προςΔΟΥ'!V38</f>
        <v>114.22999999999999</v>
      </c>
      <c r="I38" s="268">
        <f>'7-προςΔΟΥ'!K38</f>
        <v>0</v>
      </c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7"/>
      <c r="AF38" s="267"/>
      <c r="AG38" s="267"/>
      <c r="AH38" s="269">
        <f t="shared" si="16"/>
        <v>0</v>
      </c>
      <c r="AI38" s="267"/>
      <c r="AJ38" s="269"/>
      <c r="AK38" s="269"/>
      <c r="AL38" s="269"/>
      <c r="AM38" s="269"/>
      <c r="AN38" s="269"/>
      <c r="AO38" s="269"/>
      <c r="AP38" s="269"/>
      <c r="AQ38" s="269"/>
      <c r="AR38" s="269"/>
      <c r="AS38" s="269"/>
      <c r="AT38" s="269"/>
      <c r="AU38" s="269"/>
      <c r="AV38" s="269"/>
      <c r="AW38" s="267"/>
      <c r="AX38" s="269">
        <f t="shared" si="17"/>
        <v>0</v>
      </c>
      <c r="AY38" s="269"/>
      <c r="AZ38" s="267"/>
      <c r="BA38" s="269"/>
      <c r="BB38" s="267"/>
      <c r="BC38" s="267"/>
      <c r="BD38" s="269">
        <f t="shared" si="18"/>
        <v>0</v>
      </c>
      <c r="BE38" s="267"/>
      <c r="BF38" s="267"/>
      <c r="BG38" s="267"/>
      <c r="BH38" s="267">
        <f t="shared" si="19"/>
        <v>0</v>
      </c>
      <c r="BI38" s="267"/>
      <c r="BJ38" s="267"/>
      <c r="BK38" s="267"/>
      <c r="BL38" s="267"/>
      <c r="BM38" s="267"/>
      <c r="BN38" s="267"/>
      <c r="BO38" s="267"/>
      <c r="BP38" s="269"/>
      <c r="BQ38" s="269"/>
      <c r="BR38" s="269"/>
      <c r="BS38" s="263"/>
      <c r="BT38" s="269">
        <f t="shared" si="20"/>
        <v>0</v>
      </c>
      <c r="BU38" s="305"/>
      <c r="BV38" s="305"/>
      <c r="BW38" s="305"/>
      <c r="BX38" s="305"/>
      <c r="BY38" s="305"/>
      <c r="BZ38" s="305">
        <f t="shared" si="21"/>
        <v>0</v>
      </c>
      <c r="CA38" s="365">
        <f t="shared" si="22"/>
        <v>114.22999999999999</v>
      </c>
      <c r="CB38" s="365">
        <f t="shared" si="23"/>
        <v>0</v>
      </c>
      <c r="CC38" s="326"/>
    </row>
    <row r="39" spans="1:81" s="5" customFormat="1" ht="12" thickBot="1">
      <c r="A39" s="435">
        <f>'1-συμβολαια'!A39</f>
        <v>0</v>
      </c>
      <c r="B39" s="436" t="str">
        <f>'1-συμβολαια'!C39</f>
        <v>ΧΡΗΣΙΚΤΗΣΙΑ  οικοπέδου -4 = 19?? ;;;???</v>
      </c>
      <c r="C39" s="536">
        <f>'5-αντίγρ'!AN39</f>
        <v>0</v>
      </c>
      <c r="D39" s="536">
        <f>'5-αντίγρ'!AM39</f>
        <v>0</v>
      </c>
      <c r="E39" s="619">
        <f>'6-μεταγρ'!P39</f>
        <v>0</v>
      </c>
      <c r="F39" s="619">
        <f>'6-μεταγρ'!N39+'6-μεταγρ'!O39</f>
        <v>0</v>
      </c>
      <c r="G39" s="619"/>
      <c r="H39" s="619">
        <f>'7-προςΔΟΥ'!V39</f>
        <v>114.22999999999999</v>
      </c>
      <c r="I39" s="620">
        <f>'7-προςΔΟΥ'!K39</f>
        <v>0</v>
      </c>
      <c r="J39" s="619"/>
      <c r="K39" s="619"/>
      <c r="L39" s="619"/>
      <c r="M39" s="619"/>
      <c r="N39" s="619"/>
      <c r="O39" s="619"/>
      <c r="P39" s="619"/>
      <c r="Q39" s="619"/>
      <c r="R39" s="619"/>
      <c r="S39" s="619"/>
      <c r="T39" s="619"/>
      <c r="U39" s="619"/>
      <c r="V39" s="619"/>
      <c r="W39" s="619"/>
      <c r="X39" s="619"/>
      <c r="Y39" s="619"/>
      <c r="Z39" s="619"/>
      <c r="AA39" s="619"/>
      <c r="AB39" s="619"/>
      <c r="AC39" s="619"/>
      <c r="AD39" s="619"/>
      <c r="AE39" s="626"/>
      <c r="AF39" s="626"/>
      <c r="AG39" s="626"/>
      <c r="AH39" s="619">
        <f t="shared" si="16"/>
        <v>0</v>
      </c>
      <c r="AI39" s="626"/>
      <c r="AJ39" s="619"/>
      <c r="AK39" s="619"/>
      <c r="AL39" s="619"/>
      <c r="AM39" s="619"/>
      <c r="AN39" s="619"/>
      <c r="AO39" s="619"/>
      <c r="AP39" s="619"/>
      <c r="AQ39" s="619"/>
      <c r="AR39" s="619"/>
      <c r="AS39" s="619"/>
      <c r="AT39" s="619"/>
      <c r="AU39" s="619"/>
      <c r="AV39" s="619"/>
      <c r="AW39" s="626"/>
      <c r="AX39" s="619">
        <f t="shared" si="17"/>
        <v>0</v>
      </c>
      <c r="AY39" s="619"/>
      <c r="AZ39" s="626"/>
      <c r="BA39" s="619"/>
      <c r="BB39" s="626"/>
      <c r="BC39" s="626"/>
      <c r="BD39" s="619">
        <f t="shared" si="18"/>
        <v>0</v>
      </c>
      <c r="BE39" s="626"/>
      <c r="BF39" s="626"/>
      <c r="BG39" s="626"/>
      <c r="BH39" s="626">
        <f t="shared" si="19"/>
        <v>0</v>
      </c>
      <c r="BI39" s="626"/>
      <c r="BJ39" s="626"/>
      <c r="BK39" s="626"/>
      <c r="BL39" s="626"/>
      <c r="BM39" s="626"/>
      <c r="BN39" s="626"/>
      <c r="BO39" s="626"/>
      <c r="BP39" s="619"/>
      <c r="BQ39" s="619"/>
      <c r="BR39" s="619"/>
      <c r="BS39" s="539"/>
      <c r="BT39" s="619">
        <f t="shared" si="20"/>
        <v>0</v>
      </c>
      <c r="BU39" s="305"/>
      <c r="BV39" s="305"/>
      <c r="BW39" s="305"/>
      <c r="BX39" s="305"/>
      <c r="BY39" s="305"/>
      <c r="BZ39" s="305">
        <f t="shared" si="21"/>
        <v>0</v>
      </c>
      <c r="CA39" s="365">
        <f t="shared" si="22"/>
        <v>114.22999999999999</v>
      </c>
      <c r="CB39" s="365">
        <f t="shared" si="23"/>
        <v>0</v>
      </c>
      <c r="CC39" s="326"/>
    </row>
    <row r="40" spans="1:81" s="5" customFormat="1" ht="12" thickBot="1">
      <c r="A40" s="532" t="str">
        <f>'1-συμβολαια'!A40</f>
        <v>19ο</v>
      </c>
      <c r="B40" s="621" t="str">
        <f>'1-συμβολαια'!C40</f>
        <v>*γονική ΨΙΛΗΣ ΚΥΡΙΟΤΗΤΑΣ</v>
      </c>
      <c r="C40" s="622">
        <f>'5-αντίγρ'!AN40</f>
        <v>74.029999999999987</v>
      </c>
      <c r="D40" s="622">
        <f>'5-αντίγρ'!AM40</f>
        <v>3.96</v>
      </c>
      <c r="E40" s="623">
        <f>'6-μεταγρ'!P40</f>
        <v>11.74</v>
      </c>
      <c r="F40" s="623">
        <f>'6-μεταγρ'!N40+'6-μεταγρ'!O40</f>
        <v>5.9399999999999995</v>
      </c>
      <c r="G40" s="623"/>
      <c r="H40" s="623">
        <f>'7-προςΔΟΥ'!V40</f>
        <v>175.89</v>
      </c>
      <c r="I40" s="624">
        <f>'7-προςΔΟΥ'!K40</f>
        <v>0</v>
      </c>
      <c r="J40" s="623"/>
      <c r="K40" s="623">
        <f>5.87+5.87+3.23</f>
        <v>14.97</v>
      </c>
      <c r="L40" s="623">
        <v>3.23</v>
      </c>
      <c r="M40" s="623"/>
      <c r="N40" s="623"/>
      <c r="O40" s="623">
        <v>3.23</v>
      </c>
      <c r="P40" s="623">
        <v>3.23</v>
      </c>
      <c r="Q40" s="623">
        <v>3.23</v>
      </c>
      <c r="R40" s="623">
        <v>3.23</v>
      </c>
      <c r="S40" s="623">
        <v>3.23</v>
      </c>
      <c r="T40" s="623">
        <v>3.23</v>
      </c>
      <c r="U40" s="623"/>
      <c r="V40" s="623">
        <v>3.23</v>
      </c>
      <c r="W40" s="623"/>
      <c r="X40" s="623"/>
      <c r="Y40" s="623"/>
      <c r="Z40" s="623"/>
      <c r="AA40" s="623"/>
      <c r="AB40" s="623"/>
      <c r="AC40" s="623"/>
      <c r="AD40" s="623"/>
      <c r="AE40" s="627"/>
      <c r="AF40" s="627"/>
      <c r="AG40" s="627"/>
      <c r="AH40" s="623">
        <f t="shared" si="16"/>
        <v>40.809999999999995</v>
      </c>
      <c r="AI40" s="627"/>
      <c r="AJ40" s="629">
        <f>2*3.23</f>
        <v>6.46</v>
      </c>
      <c r="AK40" s="629"/>
      <c r="AL40" s="629">
        <f>2*3.23</f>
        <v>6.46</v>
      </c>
      <c r="AM40" s="629">
        <f>2*3.23</f>
        <v>6.46</v>
      </c>
      <c r="AN40" s="629"/>
      <c r="AO40" s="629"/>
      <c r="AP40" s="629"/>
      <c r="AQ40" s="629">
        <f>2*3.23</f>
        <v>6.46</v>
      </c>
      <c r="AR40" s="629"/>
      <c r="AS40" s="629"/>
      <c r="AT40" s="629"/>
      <c r="AU40" s="629"/>
      <c r="AV40" s="629"/>
      <c r="AW40" s="630"/>
      <c r="AX40" s="629">
        <f t="shared" si="17"/>
        <v>25.84</v>
      </c>
      <c r="AY40" s="629">
        <f>2*3.23</f>
        <v>6.46</v>
      </c>
      <c r="AZ40" s="627"/>
      <c r="BA40" s="623">
        <f>2*3.23</f>
        <v>6.46</v>
      </c>
      <c r="BB40" s="627"/>
      <c r="BC40" s="627"/>
      <c r="BD40" s="623">
        <f t="shared" si="18"/>
        <v>12.92</v>
      </c>
      <c r="BE40" s="630"/>
      <c r="BF40" s="630"/>
      <c r="BG40" s="630"/>
      <c r="BH40" s="630">
        <f t="shared" si="19"/>
        <v>0</v>
      </c>
      <c r="BI40" s="630"/>
      <c r="BJ40" s="630"/>
      <c r="BK40" s="630"/>
      <c r="BL40" s="630"/>
      <c r="BM40" s="630"/>
      <c r="BN40" s="630"/>
      <c r="BO40" s="630"/>
      <c r="BP40" s="629">
        <v>1.5</v>
      </c>
      <c r="BQ40" s="629">
        <v>0.3</v>
      </c>
      <c r="BR40" s="629">
        <v>0.6</v>
      </c>
      <c r="BS40" s="545"/>
      <c r="BT40" s="629">
        <f t="shared" si="20"/>
        <v>2.4</v>
      </c>
      <c r="BU40" s="305"/>
      <c r="BV40" s="305"/>
      <c r="BW40" s="305"/>
      <c r="BX40" s="305"/>
      <c r="BY40" s="305"/>
      <c r="BZ40" s="305">
        <f t="shared" si="21"/>
        <v>0</v>
      </c>
      <c r="CA40" s="365">
        <f t="shared" si="22"/>
        <v>330.38999999999993</v>
      </c>
      <c r="CB40" s="365">
        <f t="shared" si="23"/>
        <v>9.8999999999999986</v>
      </c>
      <c r="CC40" s="326"/>
    </row>
    <row r="41" spans="1:81" s="5" customFormat="1">
      <c r="A41" s="479" t="str">
        <f>'1-συμβολαια'!A41</f>
        <v>20ο</v>
      </c>
      <c r="B41" s="433" t="str">
        <f>'1-συμβολαια'!C41</f>
        <v>δωρεά</v>
      </c>
      <c r="C41" s="394">
        <f>'5-αντίγρ'!AN41</f>
        <v>74.029999999999987</v>
      </c>
      <c r="D41" s="394">
        <f>'5-αντίγρ'!AM41</f>
        <v>3.96</v>
      </c>
      <c r="E41" s="305">
        <f>'6-μεταγρ'!P41</f>
        <v>0</v>
      </c>
      <c r="F41" s="305">
        <f>'6-μεταγρ'!N41+'6-μεταγρ'!O41</f>
        <v>5.94</v>
      </c>
      <c r="G41" s="305"/>
      <c r="H41" s="305">
        <f>'7-προςΔΟΥ'!V41</f>
        <v>164.14999999999998</v>
      </c>
      <c r="I41" s="268">
        <f>'7-προςΔΟΥ'!K41</f>
        <v>0</v>
      </c>
      <c r="J41" s="305"/>
      <c r="K41" s="305">
        <v>3.23</v>
      </c>
      <c r="L41" s="305">
        <v>3.23</v>
      </c>
      <c r="M41" s="305"/>
      <c r="N41" s="305">
        <v>3.23</v>
      </c>
      <c r="O41" s="305">
        <v>3.23</v>
      </c>
      <c r="P41" s="305">
        <v>3.23</v>
      </c>
      <c r="Q41" s="305">
        <v>3.23</v>
      </c>
      <c r="R41" s="305">
        <v>3.23</v>
      </c>
      <c r="S41" s="305">
        <v>3.23</v>
      </c>
      <c r="T41" s="305">
        <v>3.23</v>
      </c>
      <c r="U41" s="305"/>
      <c r="V41" s="305">
        <v>3.23</v>
      </c>
      <c r="W41" s="305"/>
      <c r="X41" s="305"/>
      <c r="Y41" s="305"/>
      <c r="Z41" s="305"/>
      <c r="AA41" s="305"/>
      <c r="AB41" s="305"/>
      <c r="AC41" s="305"/>
      <c r="AD41" s="305"/>
      <c r="AE41" s="625"/>
      <c r="AF41" s="625"/>
      <c r="AG41" s="625"/>
      <c r="AH41" s="305">
        <f t="shared" si="16"/>
        <v>32.299999999999997</v>
      </c>
      <c r="AI41" s="625"/>
      <c r="AJ41" s="305">
        <f>2*3.23</f>
        <v>6.46</v>
      </c>
      <c r="AK41" s="305"/>
      <c r="AL41" s="305">
        <f>2*3.23</f>
        <v>6.46</v>
      </c>
      <c r="AM41" s="305">
        <f>2*3.23</f>
        <v>6.46</v>
      </c>
      <c r="AN41" s="305"/>
      <c r="AO41" s="305"/>
      <c r="AP41" s="305"/>
      <c r="AQ41" s="305">
        <f>2*3.23</f>
        <v>6.46</v>
      </c>
      <c r="AR41" s="305"/>
      <c r="AS41" s="305"/>
      <c r="AT41" s="305"/>
      <c r="AU41" s="305"/>
      <c r="AV41" s="305"/>
      <c r="AW41" s="625"/>
      <c r="AX41" s="305">
        <f t="shared" si="17"/>
        <v>25.84</v>
      </c>
      <c r="AY41" s="305">
        <f>2*3.23</f>
        <v>6.46</v>
      </c>
      <c r="AZ41" s="625"/>
      <c r="BA41" s="305">
        <f>2*3.23</f>
        <v>6.46</v>
      </c>
      <c r="BB41" s="625"/>
      <c r="BC41" s="625"/>
      <c r="BD41" s="305">
        <f t="shared" si="18"/>
        <v>12.92</v>
      </c>
      <c r="BE41" s="625"/>
      <c r="BF41" s="625"/>
      <c r="BG41" s="625"/>
      <c r="BH41" s="625">
        <f t="shared" si="19"/>
        <v>0</v>
      </c>
      <c r="BI41" s="625"/>
      <c r="BJ41" s="625"/>
      <c r="BK41" s="625"/>
      <c r="BL41" s="625"/>
      <c r="BM41" s="625"/>
      <c r="BN41" s="625"/>
      <c r="BO41" s="625"/>
      <c r="BP41" s="305">
        <v>1.5</v>
      </c>
      <c r="BQ41" s="305">
        <v>0.3</v>
      </c>
      <c r="BR41" s="305">
        <v>0.6</v>
      </c>
      <c r="BS41" s="540"/>
      <c r="BT41" s="305">
        <f t="shared" si="20"/>
        <v>2.4</v>
      </c>
      <c r="BU41" s="305"/>
      <c r="BV41" s="305"/>
      <c r="BW41" s="305"/>
      <c r="BX41" s="305"/>
      <c r="BY41" s="305"/>
      <c r="BZ41" s="305">
        <f t="shared" si="21"/>
        <v>0</v>
      </c>
      <c r="CA41" s="365">
        <f t="shared" si="22"/>
        <v>310.13999999999993</v>
      </c>
      <c r="CB41" s="365">
        <f t="shared" si="23"/>
        <v>9.9</v>
      </c>
      <c r="CC41" s="326"/>
    </row>
    <row r="42" spans="1:81" s="5" customFormat="1" ht="12" thickBot="1">
      <c r="A42" s="435">
        <f>'1-συμβολαια'!A42</f>
        <v>0</v>
      </c>
      <c r="B42" s="436" t="str">
        <f>'1-συμβολαια'!C42</f>
        <v>χρησικτησία 1/2 οικοπέδου &amp; οικίας = συζυγου 1972 ΔΩΡΕΑ άτυπος</v>
      </c>
      <c r="C42" s="536">
        <f>'5-αντίγρ'!AN42</f>
        <v>0</v>
      </c>
      <c r="D42" s="536">
        <f>'5-αντίγρ'!AM42</f>
        <v>0</v>
      </c>
      <c r="E42" s="619">
        <f>'6-μεταγρ'!P42</f>
        <v>0</v>
      </c>
      <c r="F42" s="619">
        <f>'6-μεταγρ'!N42+'6-μεταγρ'!O42</f>
        <v>0</v>
      </c>
      <c r="G42" s="619"/>
      <c r="H42" s="619">
        <f>'7-προςΔΟΥ'!V42</f>
        <v>164.14999999999998</v>
      </c>
      <c r="I42" s="620">
        <f>'7-προςΔΟΥ'!K42</f>
        <v>0</v>
      </c>
      <c r="J42" s="619"/>
      <c r="K42" s="619"/>
      <c r="L42" s="619"/>
      <c r="M42" s="619"/>
      <c r="N42" s="619"/>
      <c r="O42" s="619"/>
      <c r="P42" s="619"/>
      <c r="Q42" s="619"/>
      <c r="R42" s="619"/>
      <c r="S42" s="619"/>
      <c r="T42" s="619"/>
      <c r="U42" s="619"/>
      <c r="V42" s="619"/>
      <c r="W42" s="619"/>
      <c r="X42" s="619"/>
      <c r="Y42" s="619"/>
      <c r="Z42" s="619">
        <f>2*(5.87+8.8)+3.23</f>
        <v>32.57</v>
      </c>
      <c r="AA42" s="619">
        <f>5.87+5.87+3.23</f>
        <v>14.97</v>
      </c>
      <c r="AB42" s="619">
        <f>2*1.98</f>
        <v>3.96</v>
      </c>
      <c r="AC42" s="619"/>
      <c r="AD42" s="619"/>
      <c r="AE42" s="626"/>
      <c r="AF42" s="626"/>
      <c r="AG42" s="626"/>
      <c r="AH42" s="619">
        <f t="shared" si="16"/>
        <v>51.5</v>
      </c>
      <c r="AI42" s="626"/>
      <c r="AJ42" s="619"/>
      <c r="AK42" s="619"/>
      <c r="AL42" s="619"/>
      <c r="AM42" s="619"/>
      <c r="AN42" s="619"/>
      <c r="AO42" s="619"/>
      <c r="AP42" s="619"/>
      <c r="AQ42" s="619"/>
      <c r="AR42" s="619"/>
      <c r="AS42" s="619"/>
      <c r="AT42" s="619"/>
      <c r="AU42" s="619"/>
      <c r="AV42" s="619"/>
      <c r="AW42" s="626"/>
      <c r="AX42" s="619">
        <f t="shared" si="17"/>
        <v>0</v>
      </c>
      <c r="AY42" s="619"/>
      <c r="AZ42" s="626"/>
      <c r="BA42" s="619"/>
      <c r="BB42" s="626"/>
      <c r="BC42" s="626"/>
      <c r="BD42" s="619">
        <f t="shared" si="18"/>
        <v>0</v>
      </c>
      <c r="BE42" s="626"/>
      <c r="BF42" s="626"/>
      <c r="BG42" s="626"/>
      <c r="BH42" s="626">
        <f t="shared" si="19"/>
        <v>0</v>
      </c>
      <c r="BI42" s="626"/>
      <c r="BJ42" s="626"/>
      <c r="BK42" s="626"/>
      <c r="BL42" s="626"/>
      <c r="BM42" s="626"/>
      <c r="BN42" s="626"/>
      <c r="BO42" s="626"/>
      <c r="BP42" s="619"/>
      <c r="BQ42" s="619"/>
      <c r="BR42" s="619"/>
      <c r="BS42" s="539"/>
      <c r="BT42" s="619">
        <f t="shared" si="20"/>
        <v>0</v>
      </c>
      <c r="BU42" s="305"/>
      <c r="BV42" s="305"/>
      <c r="BW42" s="305"/>
      <c r="BX42" s="305"/>
      <c r="BY42" s="305"/>
      <c r="BZ42" s="305">
        <f t="shared" si="21"/>
        <v>0</v>
      </c>
      <c r="CA42" s="365">
        <f t="shared" si="22"/>
        <v>211.68999999999997</v>
      </c>
      <c r="CB42" s="365">
        <f t="shared" si="23"/>
        <v>0</v>
      </c>
      <c r="CC42" s="326"/>
    </row>
    <row r="43" spans="1:81">
      <c r="A43" s="709" t="s">
        <v>47</v>
      </c>
      <c r="B43" s="685"/>
      <c r="C43" s="367">
        <f>SUM(C3:C42)</f>
        <v>587.64</v>
      </c>
      <c r="D43" s="367">
        <f t="shared" ref="D43:I43" si="25">SUM(D3:D42)</f>
        <v>35.64</v>
      </c>
      <c r="E43" s="367">
        <f t="shared" si="25"/>
        <v>35.22</v>
      </c>
      <c r="F43" s="367">
        <f t="shared" si="25"/>
        <v>53.459999999999987</v>
      </c>
      <c r="G43" s="367">
        <f t="shared" si="25"/>
        <v>0</v>
      </c>
      <c r="H43" s="367">
        <f t="shared" si="25"/>
        <v>3941.3599999999997</v>
      </c>
      <c r="I43" s="367">
        <f t="shared" si="25"/>
        <v>0</v>
      </c>
      <c r="J43" s="367">
        <f t="shared" ref="J43:AH43" si="26">SUM(J3:J42)</f>
        <v>107.46000000000001</v>
      </c>
      <c r="K43" s="367">
        <f t="shared" si="26"/>
        <v>95.72</v>
      </c>
      <c r="L43" s="367">
        <f t="shared" si="26"/>
        <v>77.52000000000001</v>
      </c>
      <c r="M43" s="367">
        <f t="shared" si="26"/>
        <v>19.38</v>
      </c>
      <c r="N43" s="367">
        <f t="shared" si="26"/>
        <v>54.909999999999975</v>
      </c>
      <c r="O43" s="367">
        <f t="shared" si="26"/>
        <v>6.46</v>
      </c>
      <c r="P43" s="367">
        <f t="shared" si="26"/>
        <v>77.52000000000001</v>
      </c>
      <c r="Q43" s="367">
        <f t="shared" si="26"/>
        <v>29.07</v>
      </c>
      <c r="R43" s="367">
        <f t="shared" si="26"/>
        <v>77.52000000000001</v>
      </c>
      <c r="S43" s="367">
        <f t="shared" si="26"/>
        <v>9.69</v>
      </c>
      <c r="T43" s="367">
        <f t="shared" si="26"/>
        <v>9.69</v>
      </c>
      <c r="U43" s="367">
        <f t="shared" si="26"/>
        <v>0</v>
      </c>
      <c r="V43" s="367">
        <f t="shared" si="26"/>
        <v>77.52000000000001</v>
      </c>
      <c r="W43" s="367">
        <f t="shared" si="26"/>
        <v>0</v>
      </c>
      <c r="X43" s="367">
        <f t="shared" si="26"/>
        <v>0</v>
      </c>
      <c r="Y43" s="367">
        <f t="shared" si="26"/>
        <v>78.06</v>
      </c>
      <c r="Z43" s="367">
        <f t="shared" si="26"/>
        <v>97.710000000000008</v>
      </c>
      <c r="AA43" s="367">
        <f t="shared" si="26"/>
        <v>44.910000000000004</v>
      </c>
      <c r="AB43" s="367">
        <f t="shared" si="26"/>
        <v>11.879999999999999</v>
      </c>
      <c r="AC43" s="367">
        <f t="shared" si="26"/>
        <v>0</v>
      </c>
      <c r="AD43" s="367">
        <f t="shared" si="26"/>
        <v>0</v>
      </c>
      <c r="AE43" s="367">
        <f t="shared" si="26"/>
        <v>0</v>
      </c>
      <c r="AF43" s="367">
        <f t="shared" si="26"/>
        <v>0</v>
      </c>
      <c r="AG43" s="367">
        <f t="shared" si="26"/>
        <v>0</v>
      </c>
      <c r="AH43" s="367">
        <f t="shared" si="26"/>
        <v>875.0200000000001</v>
      </c>
      <c r="AI43" s="367"/>
      <c r="AJ43" s="367">
        <f t="shared" ref="AJ43:AU43" si="27">SUM(AJ3:AJ42)</f>
        <v>100.12999999999998</v>
      </c>
      <c r="AK43" s="367">
        <f t="shared" si="27"/>
        <v>51.68</v>
      </c>
      <c r="AL43" s="367">
        <f t="shared" si="27"/>
        <v>100.12999999999998</v>
      </c>
      <c r="AM43" s="367">
        <f t="shared" si="27"/>
        <v>90.439999999999984</v>
      </c>
      <c r="AN43" s="367">
        <f t="shared" si="27"/>
        <v>0</v>
      </c>
      <c r="AO43" s="628">
        <f t="shared" si="27"/>
        <v>0</v>
      </c>
      <c r="AP43" s="367">
        <f t="shared" si="27"/>
        <v>35.53</v>
      </c>
      <c r="AQ43" s="367">
        <f t="shared" si="27"/>
        <v>12.92</v>
      </c>
      <c r="AR43" s="367">
        <f t="shared" si="27"/>
        <v>0</v>
      </c>
      <c r="AS43" s="367">
        <f t="shared" si="27"/>
        <v>0</v>
      </c>
      <c r="AT43" s="367">
        <f t="shared" si="27"/>
        <v>0</v>
      </c>
      <c r="AU43" s="367">
        <f t="shared" si="27"/>
        <v>0</v>
      </c>
      <c r="AV43" s="367"/>
      <c r="AW43" s="367">
        <f t="shared" ref="AW43:BP43" si="28">SUM(AW3:AW42)</f>
        <v>0</v>
      </c>
      <c r="AX43" s="367">
        <f t="shared" si="28"/>
        <v>390.83</v>
      </c>
      <c r="AY43" s="367">
        <f t="shared" si="28"/>
        <v>111.86999999999999</v>
      </c>
      <c r="AZ43" s="633">
        <f t="shared" si="28"/>
        <v>0</v>
      </c>
      <c r="BA43" s="367">
        <f t="shared" si="28"/>
        <v>111.86999999999999</v>
      </c>
      <c r="BB43" s="633">
        <f t="shared" si="28"/>
        <v>0</v>
      </c>
      <c r="BC43" s="633">
        <f t="shared" si="28"/>
        <v>0</v>
      </c>
      <c r="BD43" s="367">
        <f t="shared" si="28"/>
        <v>223.73999999999998</v>
      </c>
      <c r="BE43" s="367">
        <f t="shared" si="28"/>
        <v>0</v>
      </c>
      <c r="BF43" s="633">
        <f t="shared" si="28"/>
        <v>0</v>
      </c>
      <c r="BG43" s="367">
        <f t="shared" si="28"/>
        <v>0</v>
      </c>
      <c r="BH43" s="367">
        <f t="shared" si="28"/>
        <v>0</v>
      </c>
      <c r="BI43" s="367">
        <f t="shared" si="28"/>
        <v>0</v>
      </c>
      <c r="BJ43" s="367">
        <f t="shared" si="28"/>
        <v>0</v>
      </c>
      <c r="BK43" s="367">
        <f t="shared" si="28"/>
        <v>0</v>
      </c>
      <c r="BL43" s="367">
        <f t="shared" si="28"/>
        <v>0</v>
      </c>
      <c r="BM43" s="367">
        <f t="shared" si="28"/>
        <v>0</v>
      </c>
      <c r="BN43" s="367">
        <f t="shared" si="28"/>
        <v>0</v>
      </c>
      <c r="BO43" s="367">
        <f t="shared" si="28"/>
        <v>0</v>
      </c>
      <c r="BP43" s="367">
        <f t="shared" si="28"/>
        <v>78</v>
      </c>
      <c r="BQ43" s="367">
        <f t="shared" ref="BQ43:BR43" si="29">SUM(BQ3:BQ42)</f>
        <v>2.6999999999999997</v>
      </c>
      <c r="BR43" s="367">
        <f t="shared" si="29"/>
        <v>10.499999999999998</v>
      </c>
      <c r="BS43" s="367">
        <f>SUM(BS3:BS42)</f>
        <v>0</v>
      </c>
      <c r="BT43" s="367">
        <f>SUM(BT3:BT42)</f>
        <v>91.2</v>
      </c>
      <c r="BU43" s="38"/>
      <c r="BV43" s="38"/>
      <c r="BW43" s="38"/>
      <c r="BX43" s="38"/>
      <c r="BY43" s="38"/>
      <c r="BZ43" s="38"/>
      <c r="CA43" s="38">
        <f>SUM(CA3:CA42)</f>
        <v>6019.9100000000008</v>
      </c>
      <c r="CB43" s="38">
        <f>SUM(CB3:CB42)</f>
        <v>89.1</v>
      </c>
      <c r="CC43" s="234"/>
    </row>
    <row r="44" spans="1:81" ht="11.25" customHeight="1"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</row>
    <row r="45" spans="1:81" ht="11.25" customHeight="1">
      <c r="C45" s="120"/>
      <c r="D45" s="120"/>
      <c r="E45" s="2"/>
      <c r="F45" s="2"/>
      <c r="G45" s="2"/>
      <c r="H45" s="2"/>
      <c r="I45" s="2"/>
      <c r="J45" s="149" t="s">
        <v>531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2"/>
      <c r="AI45" s="2"/>
      <c r="AJ45" s="17" t="s">
        <v>538</v>
      </c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141" t="s">
        <v>180</v>
      </c>
      <c r="AZ45" s="2"/>
      <c r="BA45" s="2"/>
      <c r="BB45" s="2"/>
      <c r="BC45" s="2"/>
      <c r="BD45" s="2"/>
      <c r="BE45" s="141" t="s">
        <v>192</v>
      </c>
      <c r="BF45" s="2"/>
      <c r="BG45" s="2"/>
      <c r="BH45" s="2"/>
      <c r="BI45" s="141" t="s">
        <v>205</v>
      </c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 t="s">
        <v>494</v>
      </c>
      <c r="BV45" s="2"/>
      <c r="BW45" s="2"/>
      <c r="BX45" s="2"/>
      <c r="BY45" s="2"/>
      <c r="BZ45" s="2"/>
      <c r="CA45" s="2"/>
      <c r="CB45" s="2"/>
      <c r="CC45" s="2"/>
    </row>
    <row r="46" spans="1:81" ht="11.25" customHeight="1">
      <c r="C46" s="120"/>
      <c r="D46" s="120"/>
      <c r="E46" s="2"/>
      <c r="F46" s="2"/>
      <c r="G46" s="2"/>
      <c r="H46" s="2"/>
      <c r="I46" s="2"/>
      <c r="J46" s="4"/>
      <c r="K46" s="307" t="s">
        <v>409</v>
      </c>
      <c r="L46" s="308"/>
      <c r="M46" s="308"/>
      <c r="N46" s="308"/>
      <c r="O46" s="308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2"/>
      <c r="AI46" s="2"/>
      <c r="AJ46" s="2"/>
      <c r="AK46" s="149" t="s">
        <v>175</v>
      </c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33" t="s">
        <v>183</v>
      </c>
      <c r="BA46" s="2"/>
      <c r="BB46" s="2"/>
      <c r="BC46" s="2"/>
      <c r="BD46" s="2"/>
      <c r="BE46" s="2"/>
      <c r="BF46" s="232" t="s">
        <v>193</v>
      </c>
      <c r="BG46" s="2"/>
      <c r="BH46" s="2"/>
      <c r="BI46" s="2"/>
      <c r="BJ46" s="160" t="s">
        <v>208</v>
      </c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 t="s">
        <v>495</v>
      </c>
      <c r="BW46" s="2"/>
      <c r="BX46" s="2"/>
      <c r="BY46" s="2"/>
      <c r="BZ46" s="2"/>
      <c r="CA46" s="2"/>
      <c r="CB46" s="2"/>
      <c r="CC46" s="2"/>
    </row>
    <row r="47" spans="1:81" ht="11.25" customHeight="1">
      <c r="C47" s="120"/>
      <c r="D47" s="120"/>
      <c r="E47" s="2"/>
      <c r="F47" s="2"/>
      <c r="G47" s="2"/>
      <c r="H47" s="2"/>
      <c r="I47" s="2"/>
      <c r="J47" s="4"/>
      <c r="K47" s="308"/>
      <c r="L47" s="307" t="s">
        <v>410</v>
      </c>
      <c r="M47" s="308"/>
      <c r="N47" s="308"/>
      <c r="O47" s="308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2"/>
      <c r="AI47" s="2"/>
      <c r="AJ47" s="2"/>
      <c r="AK47" s="2"/>
      <c r="AL47" s="17" t="s">
        <v>418</v>
      </c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4" t="s">
        <v>181</v>
      </c>
      <c r="BB47" s="2"/>
      <c r="BC47" s="2"/>
      <c r="BD47" s="2"/>
      <c r="BE47" s="2"/>
      <c r="BF47" s="2"/>
      <c r="BG47" s="141" t="s">
        <v>194</v>
      </c>
      <c r="BH47" s="2"/>
      <c r="BI47" s="2"/>
      <c r="BJ47" s="2"/>
      <c r="BK47" s="141" t="s">
        <v>209</v>
      </c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 t="s">
        <v>31</v>
      </c>
      <c r="BX47" s="2"/>
      <c r="BY47" s="2"/>
      <c r="BZ47" s="2"/>
      <c r="CA47" s="2"/>
      <c r="CB47" s="2"/>
      <c r="CC47" s="2"/>
    </row>
    <row r="48" spans="1:81" ht="11.25" customHeight="1">
      <c r="A48" s="357" t="s">
        <v>609</v>
      </c>
      <c r="B48" s="90" t="s">
        <v>547</v>
      </c>
      <c r="C48" s="3"/>
      <c r="D48" s="3"/>
      <c r="E48" s="2"/>
      <c r="F48" s="2"/>
      <c r="G48" s="2"/>
      <c r="H48" s="2"/>
      <c r="I48" s="2"/>
      <c r="J48" s="4"/>
      <c r="K48" s="308"/>
      <c r="L48" s="308"/>
      <c r="M48" s="308" t="s">
        <v>411</v>
      </c>
      <c r="N48" s="308"/>
      <c r="O48" s="308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2"/>
      <c r="AI48" s="2"/>
      <c r="AJ48" s="2"/>
      <c r="AK48" s="2"/>
      <c r="AL48" s="2"/>
      <c r="AM48" s="111" t="s">
        <v>419</v>
      </c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33" t="s">
        <v>182</v>
      </c>
      <c r="BC48" s="2"/>
      <c r="BD48" s="2"/>
      <c r="BE48" s="2"/>
      <c r="BF48" s="2"/>
      <c r="BG48" s="2"/>
      <c r="BH48" s="2"/>
      <c r="BI48" s="2"/>
      <c r="BJ48" s="2"/>
      <c r="BK48" s="2"/>
      <c r="BL48" s="160" t="s">
        <v>211</v>
      </c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 t="s">
        <v>496</v>
      </c>
      <c r="BY48" s="2"/>
      <c r="BZ48" s="2"/>
      <c r="CA48" s="2"/>
      <c r="CB48" s="2"/>
      <c r="CC48" s="2"/>
    </row>
    <row r="49" spans="1:80" ht="11.25" customHeight="1">
      <c r="A49" s="385"/>
      <c r="B49" s="361" t="s">
        <v>548</v>
      </c>
      <c r="C49" s="2" t="s">
        <v>557</v>
      </c>
      <c r="D49" s="357" t="s">
        <v>609</v>
      </c>
      <c r="E49" s="357" t="s">
        <v>609</v>
      </c>
      <c r="F49" s="2"/>
      <c r="G49" s="2"/>
      <c r="H49" s="2"/>
      <c r="I49" s="2"/>
      <c r="J49" s="4"/>
      <c r="K49" s="4"/>
      <c r="L49" s="4"/>
      <c r="M49" s="4"/>
      <c r="N49" s="4" t="s">
        <v>412</v>
      </c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2"/>
      <c r="AI49" s="2"/>
      <c r="AJ49" s="2"/>
      <c r="AK49" s="2"/>
      <c r="AL49" s="2"/>
      <c r="AM49" s="2"/>
      <c r="AN49" s="17" t="s">
        <v>420</v>
      </c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32" t="s">
        <v>189</v>
      </c>
      <c r="BD49" s="2"/>
      <c r="BE49" s="2"/>
      <c r="BF49" s="2"/>
      <c r="BG49" s="2"/>
      <c r="BH49" s="2"/>
      <c r="BI49" s="2"/>
      <c r="BJ49" s="2"/>
      <c r="BK49" s="2"/>
      <c r="BL49" s="2"/>
      <c r="BM49" s="141" t="s">
        <v>212</v>
      </c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 t="s">
        <v>59</v>
      </c>
      <c r="BZ49" s="2"/>
      <c r="CA49" s="3"/>
      <c r="CB49" s="3"/>
    </row>
    <row r="50" spans="1:80" ht="11.25" customHeight="1">
      <c r="A50" s="357"/>
      <c r="B50" s="361" t="s">
        <v>549</v>
      </c>
      <c r="C50" s="2" t="s">
        <v>558</v>
      </c>
      <c r="D50" s="385" t="s">
        <v>600</v>
      </c>
      <c r="E50" s="385" t="s">
        <v>600</v>
      </c>
      <c r="F50" s="2"/>
      <c r="G50" s="2"/>
      <c r="H50" s="2"/>
      <c r="I50" s="2"/>
      <c r="J50" s="4"/>
      <c r="K50" s="4"/>
      <c r="L50" s="4"/>
      <c r="M50" s="4"/>
      <c r="N50" s="4"/>
      <c r="O50" s="4" t="s">
        <v>463</v>
      </c>
      <c r="P50" s="4"/>
      <c r="Q50" s="4"/>
      <c r="R50" s="4"/>
      <c r="S50" s="4"/>
      <c r="T50" s="162"/>
      <c r="U50" s="162"/>
      <c r="V50" s="162"/>
      <c r="W50" s="162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2"/>
      <c r="AI50" s="2"/>
      <c r="AJ50" s="2"/>
      <c r="AK50" s="2"/>
      <c r="AL50" s="2"/>
      <c r="AM50" s="2"/>
      <c r="AN50" s="2"/>
      <c r="AO50" s="231" t="s">
        <v>421</v>
      </c>
      <c r="AP50" s="111"/>
      <c r="AQ50" s="111"/>
      <c r="AR50" s="111"/>
      <c r="AS50" s="111"/>
      <c r="AT50" s="111"/>
      <c r="AU50" s="111"/>
      <c r="AV50" s="160"/>
      <c r="AW50" s="111"/>
      <c r="AX50" s="2"/>
      <c r="AY50" s="2"/>
      <c r="AZ50" s="2"/>
      <c r="BA50" s="2"/>
      <c r="BB50" s="2"/>
      <c r="BC50" s="2"/>
      <c r="BD50" s="2"/>
      <c r="BE50" s="2"/>
      <c r="BF50" s="2"/>
      <c r="BG50" s="141" t="s">
        <v>200</v>
      </c>
      <c r="BH50" s="2"/>
      <c r="BI50" s="2"/>
      <c r="BJ50" s="2"/>
      <c r="BK50" s="2"/>
      <c r="BL50" s="2"/>
      <c r="BM50" s="2"/>
      <c r="BN50" s="160" t="s">
        <v>213</v>
      </c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3"/>
      <c r="CB50" s="3"/>
    </row>
    <row r="51" spans="1:80" ht="11.25" customHeight="1">
      <c r="A51" s="2"/>
      <c r="B51" s="361" t="s">
        <v>551</v>
      </c>
      <c r="D51" s="565" t="s">
        <v>601</v>
      </c>
      <c r="E51" s="565" t="s">
        <v>601</v>
      </c>
      <c r="F51" s="2"/>
      <c r="G51" s="2"/>
      <c r="H51" s="2"/>
      <c r="I51" s="2"/>
      <c r="J51" s="4"/>
      <c r="K51" s="4"/>
      <c r="L51" s="4"/>
      <c r="M51" s="4"/>
      <c r="N51" s="4"/>
      <c r="O51" s="4"/>
      <c r="P51" s="4" t="s">
        <v>480</v>
      </c>
      <c r="Q51" s="4"/>
      <c r="R51" s="4"/>
      <c r="S51" s="4"/>
      <c r="T51" s="162"/>
      <c r="U51" s="162"/>
      <c r="V51" s="162"/>
      <c r="W51" s="162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2"/>
      <c r="AI51" s="2"/>
      <c r="AJ51" s="2"/>
      <c r="AK51" s="2"/>
      <c r="AL51" s="2"/>
      <c r="AM51" s="2"/>
      <c r="AN51" s="2"/>
      <c r="AO51" s="2"/>
      <c r="AP51" s="148" t="s">
        <v>422</v>
      </c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33" t="s">
        <v>198</v>
      </c>
      <c r="BH51" s="2"/>
      <c r="BI51" s="2"/>
      <c r="BJ51" s="2"/>
      <c r="BK51" s="2"/>
      <c r="BL51" s="2"/>
      <c r="BM51" s="2"/>
      <c r="BN51" s="160"/>
      <c r="BO51" s="141" t="s">
        <v>214</v>
      </c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3"/>
      <c r="CB51" s="3"/>
    </row>
    <row r="52" spans="1:80" ht="11.25" customHeight="1">
      <c r="A52" s="2"/>
      <c r="B52" s="361" t="s">
        <v>550</v>
      </c>
      <c r="E52" s="2" t="s">
        <v>606</v>
      </c>
      <c r="F52" s="2"/>
      <c r="G52" s="2"/>
      <c r="H52" s="2"/>
      <c r="I52" s="2"/>
      <c r="J52" s="4"/>
      <c r="K52" s="4"/>
      <c r="L52" s="4"/>
      <c r="M52" s="4"/>
      <c r="N52" s="4"/>
      <c r="O52" s="4"/>
      <c r="P52" s="4"/>
      <c r="Q52" s="4" t="s">
        <v>484</v>
      </c>
      <c r="R52" s="4"/>
      <c r="S52" s="4"/>
      <c r="T52" s="162"/>
      <c r="U52" s="162"/>
      <c r="V52" s="162"/>
      <c r="W52" s="162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2"/>
      <c r="AI52" s="2"/>
      <c r="AJ52" s="2"/>
      <c r="AK52" s="2"/>
      <c r="AL52" s="2"/>
      <c r="AM52" s="2"/>
      <c r="AN52" s="2"/>
      <c r="AO52" s="2"/>
      <c r="AP52" s="2"/>
      <c r="AQ52" s="111" t="s">
        <v>460</v>
      </c>
      <c r="AR52" s="111"/>
      <c r="AS52" s="111"/>
      <c r="AT52" s="111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141" t="s">
        <v>199</v>
      </c>
      <c r="BH52" s="2"/>
      <c r="BI52" s="2"/>
      <c r="BJ52" s="2"/>
      <c r="BK52" s="2"/>
      <c r="BL52" s="2"/>
      <c r="BM52" s="2"/>
      <c r="BN52" s="160"/>
      <c r="BO52" s="4"/>
      <c r="BP52" s="160" t="s">
        <v>283</v>
      </c>
      <c r="BQ52" s="160"/>
      <c r="BR52" s="160"/>
      <c r="BS52" s="2"/>
      <c r="BT52" s="2"/>
      <c r="BU52" s="2"/>
      <c r="BV52" s="2"/>
      <c r="BW52" s="2"/>
      <c r="BX52" s="2"/>
      <c r="BY52" s="2"/>
      <c r="BZ52" s="2"/>
      <c r="CA52" s="3"/>
      <c r="CB52" s="3"/>
    </row>
    <row r="53" spans="1:80">
      <c r="A53" s="2"/>
      <c r="B53" s="361" t="s">
        <v>619</v>
      </c>
      <c r="E53" s="357" t="s">
        <v>610</v>
      </c>
      <c r="F53" s="2"/>
      <c r="G53" s="2"/>
      <c r="H53" s="2"/>
      <c r="I53" s="2"/>
      <c r="J53" s="126" t="s">
        <v>475</v>
      </c>
      <c r="K53" s="4"/>
      <c r="L53" s="4"/>
      <c r="M53" s="4"/>
      <c r="N53" s="4"/>
      <c r="O53" s="4"/>
      <c r="P53" s="4"/>
      <c r="Q53" s="4"/>
      <c r="R53" s="141" t="s">
        <v>532</v>
      </c>
      <c r="S53" s="162"/>
      <c r="T53" s="162"/>
      <c r="U53" s="162"/>
      <c r="V53" s="162"/>
      <c r="W53" s="162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148" t="s">
        <v>461</v>
      </c>
      <c r="AS53" s="2"/>
      <c r="AT53" s="148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160" t="s">
        <v>201</v>
      </c>
      <c r="BH53" s="2"/>
      <c r="BI53" s="2"/>
      <c r="BJ53" s="2"/>
      <c r="BK53" s="2"/>
      <c r="BL53" s="2"/>
      <c r="BM53" s="2"/>
      <c r="BN53" s="2"/>
      <c r="BO53" s="2"/>
      <c r="BP53" s="2"/>
      <c r="BQ53" s="141" t="s">
        <v>448</v>
      </c>
      <c r="BR53" s="141"/>
      <c r="BS53" s="2"/>
      <c r="BT53" s="2"/>
      <c r="BU53" s="2"/>
      <c r="BV53" s="2"/>
      <c r="BW53" s="2"/>
      <c r="BX53" s="2"/>
      <c r="BY53" s="2"/>
      <c r="BZ53" s="2"/>
      <c r="CA53" s="3"/>
      <c r="CB53" s="3"/>
    </row>
    <row r="54" spans="1:80">
      <c r="A54" s="2"/>
      <c r="B54" s="361" t="s">
        <v>552</v>
      </c>
      <c r="E54" s="385" t="s">
        <v>600</v>
      </c>
      <c r="F54" s="2"/>
      <c r="G54" s="2"/>
      <c r="H54" s="2"/>
      <c r="I54" s="2"/>
      <c r="J54" s="4"/>
      <c r="K54" s="4"/>
      <c r="L54" s="4"/>
      <c r="M54" s="4"/>
      <c r="N54" s="4"/>
      <c r="O54" s="4"/>
      <c r="P54" s="4"/>
      <c r="Q54" s="4"/>
      <c r="R54" s="4"/>
      <c r="S54" s="162" t="s">
        <v>413</v>
      </c>
      <c r="T54" s="162"/>
      <c r="U54" s="162"/>
      <c r="V54" s="162"/>
      <c r="W54" s="162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2"/>
      <c r="AI54" s="2"/>
      <c r="AJ54" s="2"/>
      <c r="AK54" s="2"/>
      <c r="AL54" s="2"/>
      <c r="AM54" s="2"/>
      <c r="AN54" s="2"/>
      <c r="AO54" s="2"/>
      <c r="AP54" s="2"/>
      <c r="AQ54" s="85"/>
      <c r="AR54" s="85"/>
      <c r="AS54" s="111" t="s">
        <v>485</v>
      </c>
      <c r="AT54" s="111"/>
      <c r="AU54" s="85"/>
      <c r="AV54" s="345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165" t="s">
        <v>247</v>
      </c>
      <c r="BH54" s="2"/>
      <c r="BI54" s="2"/>
      <c r="BJ54" s="2"/>
      <c r="BK54" s="2"/>
      <c r="BL54" s="2"/>
      <c r="BM54" s="2"/>
      <c r="BN54" s="2"/>
      <c r="BO54" s="2"/>
      <c r="BP54" s="345"/>
      <c r="BQ54" s="85"/>
      <c r="BR54" s="162" t="s">
        <v>447</v>
      </c>
      <c r="BS54" s="2"/>
      <c r="BT54" s="2"/>
      <c r="BU54" s="2"/>
      <c r="BV54" s="2"/>
      <c r="BW54" s="2"/>
      <c r="BX54" s="2"/>
      <c r="BY54" s="2"/>
      <c r="BZ54" s="2"/>
      <c r="CA54" s="3"/>
      <c r="CB54" s="3"/>
    </row>
    <row r="55" spans="1:80">
      <c r="A55" s="2"/>
      <c r="B55" s="361" t="s">
        <v>620</v>
      </c>
      <c r="E55" s="565" t="s">
        <v>601</v>
      </c>
      <c r="F55" s="2"/>
      <c r="G55" s="2"/>
      <c r="H55" s="2"/>
      <c r="I55" s="2"/>
      <c r="J55" s="4"/>
      <c r="K55" s="4"/>
      <c r="L55" s="4"/>
      <c r="M55" s="4"/>
      <c r="N55" s="4"/>
      <c r="O55" s="4"/>
      <c r="P55" s="4"/>
      <c r="Q55" s="4"/>
      <c r="R55" s="4"/>
      <c r="S55" s="4"/>
      <c r="T55" s="4" t="s">
        <v>429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2"/>
      <c r="AI55" s="2"/>
      <c r="AJ55" s="2"/>
      <c r="AK55" s="2"/>
      <c r="AL55" s="2"/>
      <c r="AM55" s="2"/>
      <c r="AN55" s="2"/>
      <c r="AO55" s="2"/>
      <c r="AP55" s="85"/>
      <c r="AQ55" s="85"/>
      <c r="AR55" s="85"/>
      <c r="AS55" s="2"/>
      <c r="AT55" s="111" t="s">
        <v>481</v>
      </c>
      <c r="AU55" s="111"/>
      <c r="AV55" s="345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166" t="s">
        <v>248</v>
      </c>
      <c r="BH55" s="2"/>
      <c r="BI55" s="2"/>
      <c r="BJ55" s="2"/>
      <c r="BK55" s="2"/>
      <c r="BL55" s="2"/>
      <c r="BM55" s="2"/>
      <c r="BN55" s="2"/>
      <c r="BO55" s="85"/>
      <c r="BP55" s="345"/>
      <c r="BQ55" s="85"/>
      <c r="BR55" s="85"/>
      <c r="BS55" s="141" t="s">
        <v>491</v>
      </c>
      <c r="BT55" s="85"/>
      <c r="BU55" s="85"/>
      <c r="BV55" s="85"/>
      <c r="BW55" s="85"/>
      <c r="BX55" s="85"/>
      <c r="BY55" s="85"/>
      <c r="BZ55" s="85"/>
      <c r="CA55" s="85"/>
      <c r="CB55" s="3"/>
    </row>
    <row r="56" spans="1:80">
      <c r="A56" s="2"/>
      <c r="B56" s="361" t="s">
        <v>621</v>
      </c>
      <c r="E56" s="2" t="s">
        <v>606</v>
      </c>
      <c r="F56" s="2"/>
      <c r="G56" s="85"/>
      <c r="H56" s="85"/>
      <c r="I56" s="85"/>
      <c r="J56" s="85"/>
      <c r="K56" s="85"/>
      <c r="L56" s="85"/>
      <c r="M56" s="85"/>
      <c r="N56" s="4"/>
      <c r="O56" s="4"/>
      <c r="P56" s="4"/>
      <c r="Q56" s="4"/>
      <c r="R56" s="4"/>
      <c r="S56" s="4"/>
      <c r="T56" s="4"/>
      <c r="U56" s="308" t="s">
        <v>430</v>
      </c>
      <c r="V56" s="162"/>
      <c r="W56" s="162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2"/>
      <c r="AI56" s="2"/>
      <c r="AJ56" s="2"/>
      <c r="AK56" s="2"/>
      <c r="AL56" s="85"/>
      <c r="AM56" s="85"/>
      <c r="AN56" s="85"/>
      <c r="AO56" s="85"/>
      <c r="AP56" s="85"/>
      <c r="AQ56" s="85"/>
      <c r="AR56" s="85"/>
      <c r="AS56" s="2"/>
      <c r="AT56" s="2"/>
      <c r="AU56" s="148" t="s">
        <v>482</v>
      </c>
      <c r="AV56" s="2"/>
      <c r="AW56" s="2"/>
      <c r="AX56" s="2"/>
      <c r="AY56" s="85"/>
      <c r="AZ56" s="85"/>
      <c r="BA56" s="85"/>
      <c r="BB56" s="85"/>
      <c r="BC56" s="85"/>
      <c r="BD56" s="85"/>
      <c r="BE56" s="85"/>
      <c r="BF56" s="85"/>
      <c r="BG56" s="165" t="s">
        <v>249</v>
      </c>
      <c r="BH56" s="85"/>
      <c r="BI56" s="85"/>
      <c r="BJ56" s="85"/>
      <c r="BK56" s="85"/>
      <c r="BL56" s="85"/>
      <c r="BM56" s="85"/>
      <c r="BN56" s="85"/>
      <c r="BO56" s="85"/>
      <c r="BP56" s="345"/>
      <c r="BQ56" s="85"/>
      <c r="BR56" s="85"/>
      <c r="BS56" s="85"/>
      <c r="BT56" s="85"/>
      <c r="BU56" s="85"/>
      <c r="BV56" s="85"/>
      <c r="BW56" s="85"/>
      <c r="BX56" s="85"/>
      <c r="BY56" s="85"/>
      <c r="BZ56" s="85"/>
      <c r="CA56" s="3"/>
      <c r="CB56" s="3"/>
    </row>
    <row r="57" spans="1:80">
      <c r="A57" s="2"/>
      <c r="B57" s="361" t="s">
        <v>622</v>
      </c>
      <c r="E57" s="357" t="s">
        <v>611</v>
      </c>
      <c r="F57" s="2"/>
      <c r="J57" s="85"/>
      <c r="K57" s="85"/>
      <c r="L57" s="85"/>
      <c r="M57" s="85"/>
      <c r="N57" s="85"/>
      <c r="O57" s="85"/>
      <c r="P57" s="85"/>
      <c r="Q57" s="85"/>
      <c r="R57" s="85"/>
      <c r="S57" s="4"/>
      <c r="T57" s="4"/>
      <c r="U57" s="4"/>
      <c r="V57" s="4" t="s">
        <v>457</v>
      </c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2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34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  <c r="BK57" s="85"/>
      <c r="BL57" s="85"/>
      <c r="BM57" s="85"/>
      <c r="BN57" s="85"/>
      <c r="BO57" s="85"/>
      <c r="BP57" s="345"/>
      <c r="BQ57" s="85"/>
      <c r="BR57" s="85"/>
      <c r="BS57" s="85"/>
      <c r="BT57" s="85"/>
      <c r="BU57" s="85"/>
      <c r="BV57" s="85"/>
      <c r="BW57" s="85"/>
      <c r="BX57" s="85"/>
      <c r="BY57" s="85"/>
      <c r="BZ57" s="85"/>
      <c r="CA57" s="3"/>
      <c r="CB57" s="3"/>
    </row>
    <row r="58" spans="1:80">
      <c r="A58" s="2"/>
      <c r="B58" s="361" t="s">
        <v>623</v>
      </c>
      <c r="E58" s="385" t="s">
        <v>600</v>
      </c>
      <c r="F58" s="2"/>
      <c r="L58" s="85"/>
      <c r="M58" s="85"/>
      <c r="N58" s="85"/>
      <c r="O58" s="85"/>
      <c r="P58" s="85"/>
      <c r="Q58" s="85"/>
      <c r="R58" s="85"/>
      <c r="S58" s="4"/>
      <c r="T58" s="4"/>
      <c r="U58" s="4"/>
      <c r="V58" s="4"/>
      <c r="W58" s="141" t="s">
        <v>534</v>
      </c>
      <c r="X58" s="162"/>
      <c r="Y58" s="162"/>
      <c r="Z58" s="4"/>
      <c r="AA58" s="4"/>
      <c r="AB58" s="4"/>
      <c r="AC58" s="4"/>
      <c r="AD58" s="4"/>
      <c r="AE58" s="4"/>
      <c r="AF58" s="4"/>
      <c r="AG58" s="4"/>
      <c r="AH58" s="2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345"/>
      <c r="AW58" s="85"/>
      <c r="AX58" s="85"/>
      <c r="AY58" s="344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34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3"/>
      <c r="CB58" s="3"/>
    </row>
    <row r="59" spans="1:80">
      <c r="A59" s="4"/>
      <c r="B59" s="361" t="s">
        <v>624</v>
      </c>
      <c r="E59" s="565" t="s">
        <v>601</v>
      </c>
      <c r="F59" s="2"/>
      <c r="L59" s="85"/>
      <c r="M59" s="85"/>
      <c r="N59" s="85"/>
      <c r="O59" s="85"/>
      <c r="P59" s="85"/>
      <c r="Q59" s="85"/>
      <c r="R59" s="85"/>
      <c r="S59" s="4"/>
      <c r="T59" s="4"/>
      <c r="U59" s="4"/>
      <c r="V59" s="4"/>
      <c r="W59" s="4"/>
      <c r="X59" s="162" t="s">
        <v>464</v>
      </c>
      <c r="Y59" s="162"/>
      <c r="Z59" s="4"/>
      <c r="AA59" s="4"/>
      <c r="AB59" s="4"/>
      <c r="AC59" s="4"/>
      <c r="AD59" s="4"/>
      <c r="AE59" s="4"/>
      <c r="AF59" s="4"/>
      <c r="AG59" s="4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34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  <c r="BM59" s="85"/>
      <c r="BN59" s="85"/>
      <c r="BO59" s="85"/>
      <c r="BP59" s="345"/>
      <c r="BQ59" s="85"/>
      <c r="BR59" s="85"/>
      <c r="BS59" s="85"/>
      <c r="BT59" s="85"/>
      <c r="BU59" s="85"/>
      <c r="BV59" s="85"/>
      <c r="BW59" s="85"/>
      <c r="BX59" s="85"/>
      <c r="BY59" s="85"/>
      <c r="BZ59" s="85"/>
      <c r="CA59" s="3"/>
      <c r="CB59" s="3"/>
    </row>
    <row r="60" spans="1:80">
      <c r="A60" s="4"/>
      <c r="B60" s="9"/>
      <c r="D60" s="4"/>
      <c r="E60" s="2" t="s">
        <v>606</v>
      </c>
      <c r="F60" s="2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4"/>
      <c r="Y60" s="141" t="s">
        <v>537</v>
      </c>
      <c r="Z60" s="162"/>
      <c r="AA60" s="4"/>
      <c r="AB60" s="4"/>
      <c r="AC60" s="4"/>
      <c r="AD60" s="4"/>
      <c r="AE60" s="4"/>
      <c r="AF60" s="4"/>
      <c r="AG60" s="4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34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  <c r="BK60" s="85"/>
      <c r="BL60" s="85"/>
      <c r="BM60" s="85"/>
      <c r="BN60" s="85"/>
      <c r="BO60" s="85"/>
      <c r="BP60" s="34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3"/>
      <c r="CB60" s="3"/>
    </row>
    <row r="61" spans="1:80">
      <c r="A61" s="2"/>
      <c r="B61" s="9"/>
      <c r="D61" s="4"/>
      <c r="E61" s="357" t="s">
        <v>612</v>
      </c>
      <c r="F61" s="2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4"/>
      <c r="Y61" s="4"/>
      <c r="Z61" s="162" t="s">
        <v>414</v>
      </c>
      <c r="AA61" s="4"/>
      <c r="AB61" s="4"/>
      <c r="AC61" s="4"/>
      <c r="AD61" s="4"/>
      <c r="AE61" s="4"/>
      <c r="AF61" s="4"/>
      <c r="AG61" s="4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34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  <c r="BM61" s="85"/>
      <c r="BN61" s="85"/>
      <c r="BO61" s="85"/>
      <c r="BP61" s="345"/>
      <c r="BQ61" s="85"/>
      <c r="BR61" s="85"/>
      <c r="BS61" s="85"/>
      <c r="BT61" s="85"/>
      <c r="BU61" s="85"/>
      <c r="BV61" s="85"/>
      <c r="BW61" s="85"/>
      <c r="BX61" s="85"/>
      <c r="BY61" s="85"/>
      <c r="BZ61" s="85"/>
    </row>
    <row r="62" spans="1:80">
      <c r="A62" s="357" t="s">
        <v>610</v>
      </c>
      <c r="B62" s="90" t="s">
        <v>547</v>
      </c>
      <c r="E62" s="385" t="s">
        <v>600</v>
      </c>
      <c r="F62" s="2"/>
      <c r="K62" s="3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4"/>
      <c r="Y62" s="4"/>
      <c r="Z62" s="4"/>
      <c r="AA62" s="4" t="s">
        <v>415</v>
      </c>
      <c r="AB62" s="4"/>
      <c r="AC62" s="4"/>
      <c r="AD62" s="4"/>
      <c r="AE62" s="4"/>
      <c r="AF62" s="4"/>
      <c r="AG62" s="4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34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  <c r="BM62" s="85"/>
      <c r="BN62" s="85"/>
      <c r="BO62" s="85"/>
      <c r="BP62" s="345"/>
      <c r="BQ62" s="85"/>
      <c r="BR62" s="85"/>
      <c r="BS62" s="85"/>
      <c r="BT62" s="85"/>
      <c r="BU62" s="85"/>
      <c r="BV62" s="85"/>
      <c r="BW62" s="85"/>
      <c r="BX62" s="85"/>
      <c r="BY62" s="85"/>
      <c r="BZ62" s="85"/>
    </row>
    <row r="63" spans="1:80">
      <c r="A63" s="385"/>
      <c r="B63" s="361" t="s">
        <v>548</v>
      </c>
      <c r="C63" s="2" t="s">
        <v>557</v>
      </c>
      <c r="D63" s="357" t="s">
        <v>610</v>
      </c>
      <c r="E63" s="565" t="s">
        <v>601</v>
      </c>
      <c r="F63" s="2"/>
      <c r="K63" s="3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4"/>
      <c r="Y63" s="4"/>
      <c r="Z63" s="4"/>
      <c r="AA63" s="4"/>
      <c r="AB63" s="161" t="s">
        <v>416</v>
      </c>
      <c r="AC63" s="4"/>
      <c r="AD63" s="4"/>
      <c r="AE63" s="4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34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  <c r="BK63" s="85"/>
      <c r="BL63" s="85"/>
      <c r="BM63" s="85"/>
      <c r="BN63" s="85"/>
      <c r="BO63" s="85"/>
      <c r="BP63" s="345"/>
      <c r="BQ63" s="85"/>
      <c r="BR63" s="85"/>
      <c r="BS63" s="85"/>
      <c r="BT63" s="85"/>
      <c r="BU63" s="85"/>
      <c r="BV63" s="85"/>
      <c r="BW63" s="85"/>
      <c r="BX63" s="85"/>
      <c r="BY63" s="85"/>
      <c r="BZ63" s="85"/>
    </row>
    <row r="64" spans="1:80">
      <c r="A64" s="357"/>
      <c r="B64" s="361" t="s">
        <v>549</v>
      </c>
      <c r="C64" s="2" t="s">
        <v>560</v>
      </c>
      <c r="D64" s="385" t="s">
        <v>600</v>
      </c>
      <c r="E64" s="2"/>
      <c r="F64" s="2"/>
      <c r="K64" s="3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4"/>
      <c r="AA64" s="4"/>
      <c r="AB64" s="4"/>
      <c r="AC64" s="162" t="s">
        <v>488</v>
      </c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34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345"/>
      <c r="BQ64" s="85"/>
      <c r="BR64" s="85"/>
      <c r="BS64" s="85"/>
      <c r="BT64" s="85"/>
      <c r="BU64" s="85"/>
      <c r="BV64" s="85"/>
      <c r="BW64" s="85"/>
      <c r="BX64" s="85"/>
      <c r="BY64" s="85"/>
      <c r="BZ64" s="85"/>
    </row>
    <row r="65" spans="1:78">
      <c r="A65" s="2"/>
      <c r="B65" s="361" t="s">
        <v>551</v>
      </c>
      <c r="D65" s="565" t="s">
        <v>601</v>
      </c>
      <c r="E65" s="357" t="s">
        <v>613</v>
      </c>
      <c r="F65" s="2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141" t="s">
        <v>489</v>
      </c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34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345"/>
      <c r="BQ65" s="85"/>
      <c r="BR65" s="85"/>
      <c r="BS65" s="85"/>
      <c r="BT65" s="85"/>
      <c r="BU65" s="85"/>
      <c r="BV65" s="85"/>
      <c r="BW65" s="85"/>
      <c r="BX65" s="85"/>
      <c r="BY65" s="85"/>
      <c r="BZ65" s="85"/>
    </row>
    <row r="66" spans="1:78">
      <c r="A66" s="2"/>
      <c r="B66" s="361" t="s">
        <v>550</v>
      </c>
      <c r="E66" s="385" t="s">
        <v>600</v>
      </c>
      <c r="F66" s="2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162" t="s">
        <v>417</v>
      </c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34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345"/>
      <c r="BQ66" s="85"/>
      <c r="BR66" s="85"/>
      <c r="BS66" s="85"/>
      <c r="BT66" s="85"/>
      <c r="BU66" s="85"/>
      <c r="BV66" s="85"/>
      <c r="BW66" s="85"/>
      <c r="BX66" s="85"/>
      <c r="BY66" s="85"/>
      <c r="BZ66" s="85"/>
    </row>
    <row r="67" spans="1:78">
      <c r="A67" s="2"/>
      <c r="B67" s="361" t="s">
        <v>619</v>
      </c>
      <c r="E67" s="565" t="s">
        <v>601</v>
      </c>
      <c r="F67" s="2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34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345"/>
      <c r="BQ67" s="85"/>
      <c r="BR67" s="85"/>
      <c r="BS67" s="85"/>
      <c r="BT67" s="85"/>
      <c r="BU67" s="85"/>
      <c r="BV67" s="85"/>
      <c r="BW67" s="85"/>
      <c r="BX67" s="85"/>
      <c r="BY67" s="85"/>
      <c r="BZ67" s="85"/>
    </row>
    <row r="68" spans="1:78">
      <c r="A68" s="2"/>
      <c r="B68" s="361" t="s">
        <v>552</v>
      </c>
      <c r="E68" s="2" t="s">
        <v>606</v>
      </c>
      <c r="F68" s="2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34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345"/>
      <c r="BQ68" s="85"/>
      <c r="BR68" s="85"/>
      <c r="BS68" s="85"/>
      <c r="BT68" s="85"/>
      <c r="BU68" s="85"/>
      <c r="BV68" s="85"/>
      <c r="BW68" s="85"/>
      <c r="BX68" s="85"/>
      <c r="BY68" s="85"/>
      <c r="BZ68" s="85"/>
    </row>
    <row r="69" spans="1:78">
      <c r="A69" s="2"/>
      <c r="B69" s="361" t="s">
        <v>620</v>
      </c>
      <c r="E69" s="357" t="s">
        <v>614</v>
      </c>
      <c r="F69" s="2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34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345"/>
      <c r="BQ69" s="85"/>
      <c r="BR69" s="85"/>
      <c r="BS69" s="85"/>
      <c r="BT69" s="85"/>
      <c r="BU69" s="85"/>
      <c r="BV69" s="85"/>
      <c r="BW69" s="85"/>
      <c r="BX69" s="85"/>
      <c r="BY69" s="85"/>
      <c r="BZ69" s="85"/>
    </row>
    <row r="70" spans="1:78">
      <c r="A70" s="2"/>
      <c r="B70" s="361" t="s">
        <v>621</v>
      </c>
      <c r="E70" s="2" t="s">
        <v>602</v>
      </c>
      <c r="F70" s="2"/>
    </row>
    <row r="71" spans="1:78">
      <c r="A71" s="2"/>
      <c r="B71" s="361" t="s">
        <v>622</v>
      </c>
      <c r="E71" s="2" t="s">
        <v>603</v>
      </c>
      <c r="F71" s="2"/>
    </row>
    <row r="72" spans="1:78">
      <c r="A72" s="2"/>
      <c r="B72" s="361" t="s">
        <v>623</v>
      </c>
      <c r="E72" s="2"/>
      <c r="F72" s="2"/>
    </row>
    <row r="73" spans="1:78">
      <c r="A73" s="2"/>
      <c r="B73" s="361" t="s">
        <v>624</v>
      </c>
      <c r="E73" s="357" t="s">
        <v>615</v>
      </c>
      <c r="F73" s="2"/>
    </row>
    <row r="74" spans="1:78">
      <c r="A74" s="2"/>
      <c r="B74" s="3"/>
      <c r="E74" s="385" t="s">
        <v>604</v>
      </c>
      <c r="F74" s="2"/>
    </row>
    <row r="75" spans="1:78">
      <c r="A75" s="2"/>
      <c r="B75" s="3"/>
      <c r="E75" s="565" t="s">
        <v>603</v>
      </c>
      <c r="F75" s="2"/>
    </row>
    <row r="76" spans="1:78">
      <c r="A76" s="357" t="s">
        <v>611</v>
      </c>
      <c r="B76" s="90" t="s">
        <v>570</v>
      </c>
      <c r="E76" s="2" t="s">
        <v>605</v>
      </c>
      <c r="F76" s="2"/>
    </row>
    <row r="77" spans="1:78">
      <c r="A77" s="385"/>
      <c r="B77" s="361" t="s">
        <v>548</v>
      </c>
      <c r="C77" s="2" t="s">
        <v>557</v>
      </c>
      <c r="D77" s="357" t="s">
        <v>611</v>
      </c>
      <c r="E77" s="2"/>
      <c r="F77" s="2"/>
    </row>
    <row r="78" spans="1:78">
      <c r="A78" s="357"/>
      <c r="B78" s="361" t="s">
        <v>549</v>
      </c>
      <c r="C78" s="2" t="s">
        <v>571</v>
      </c>
      <c r="D78" s="385" t="s">
        <v>600</v>
      </c>
      <c r="E78" s="357" t="s">
        <v>618</v>
      </c>
      <c r="F78" s="2"/>
    </row>
    <row r="79" spans="1:78">
      <c r="A79" s="2"/>
      <c r="B79" s="361" t="s">
        <v>551</v>
      </c>
      <c r="D79" s="565" t="s">
        <v>601</v>
      </c>
      <c r="E79" s="2" t="s">
        <v>602</v>
      </c>
      <c r="F79" s="2"/>
    </row>
    <row r="80" spans="1:78">
      <c r="A80" s="2"/>
      <c r="B80" s="361" t="s">
        <v>550</v>
      </c>
      <c r="E80" s="2" t="s">
        <v>603</v>
      </c>
      <c r="F80" s="2"/>
    </row>
    <row r="81" spans="1:6">
      <c r="A81" s="2"/>
      <c r="B81" s="361" t="s">
        <v>619</v>
      </c>
      <c r="E81" s="2"/>
      <c r="F81" s="2"/>
    </row>
    <row r="82" spans="1:6">
      <c r="A82" s="2"/>
      <c r="B82" s="361" t="s">
        <v>552</v>
      </c>
      <c r="E82" s="357" t="s">
        <v>628</v>
      </c>
      <c r="F82" s="2"/>
    </row>
    <row r="83" spans="1:6">
      <c r="A83" s="2"/>
      <c r="B83" s="361" t="s">
        <v>620</v>
      </c>
      <c r="E83" s="2" t="s">
        <v>602</v>
      </c>
      <c r="F83" s="2"/>
    </row>
    <row r="84" spans="1:6">
      <c r="A84" s="2"/>
      <c r="B84" s="361" t="s">
        <v>621</v>
      </c>
      <c r="E84" s="2" t="s">
        <v>603</v>
      </c>
      <c r="F84" s="2"/>
    </row>
    <row r="85" spans="1:6">
      <c r="A85" s="2"/>
      <c r="B85" s="361" t="s">
        <v>622</v>
      </c>
      <c r="E85" s="2"/>
      <c r="F85" s="2"/>
    </row>
    <row r="86" spans="1:6">
      <c r="A86" s="2"/>
      <c r="B86" s="361" t="s">
        <v>623</v>
      </c>
      <c r="E86" s="2"/>
      <c r="F86" s="2"/>
    </row>
    <row r="87" spans="1:6">
      <c r="A87" s="2"/>
      <c r="B87" s="361" t="s">
        <v>624</v>
      </c>
      <c r="E87" s="2"/>
      <c r="F87" s="2"/>
    </row>
    <row r="88" spans="1:6">
      <c r="A88" s="2"/>
      <c r="B88" s="3"/>
      <c r="E88" s="2"/>
      <c r="F88" s="2"/>
    </row>
    <row r="89" spans="1:6">
      <c r="A89" s="2"/>
      <c r="B89" s="3"/>
      <c r="E89" s="2"/>
      <c r="F89" s="2"/>
    </row>
    <row r="90" spans="1:6">
      <c r="A90" s="357" t="s">
        <v>612</v>
      </c>
      <c r="B90" s="90" t="s">
        <v>570</v>
      </c>
      <c r="E90" s="2"/>
      <c r="F90" s="2"/>
    </row>
    <row r="91" spans="1:6">
      <c r="A91" s="385"/>
      <c r="B91" s="361" t="s">
        <v>548</v>
      </c>
      <c r="C91" s="2" t="s">
        <v>557</v>
      </c>
      <c r="D91" s="357" t="s">
        <v>612</v>
      </c>
      <c r="E91" s="2"/>
      <c r="F91" s="2"/>
    </row>
    <row r="92" spans="1:6">
      <c r="A92" s="357"/>
      <c r="B92" s="361" t="s">
        <v>549</v>
      </c>
      <c r="C92" s="2" t="s">
        <v>572</v>
      </c>
      <c r="D92" s="385" t="s">
        <v>600</v>
      </c>
      <c r="E92" s="2"/>
      <c r="F92" s="2"/>
    </row>
    <row r="93" spans="1:6">
      <c r="A93" s="2"/>
      <c r="B93" s="361" t="s">
        <v>551</v>
      </c>
      <c r="D93" s="565" t="s">
        <v>601</v>
      </c>
      <c r="E93" s="2"/>
      <c r="F93" s="2"/>
    </row>
    <row r="94" spans="1:6">
      <c r="A94" s="2"/>
      <c r="B94" s="361" t="s">
        <v>550</v>
      </c>
      <c r="E94" s="2"/>
      <c r="F94" s="2"/>
    </row>
    <row r="95" spans="1:6">
      <c r="A95" s="2"/>
      <c r="B95" s="361" t="s">
        <v>619</v>
      </c>
      <c r="E95" s="2"/>
      <c r="F95" s="2"/>
    </row>
    <row r="96" spans="1:6">
      <c r="A96" s="2"/>
      <c r="B96" s="361" t="s">
        <v>552</v>
      </c>
      <c r="E96" s="2"/>
      <c r="F96" s="2"/>
    </row>
    <row r="97" spans="1:6">
      <c r="A97" s="2"/>
      <c r="B97" s="361" t="s">
        <v>620</v>
      </c>
      <c r="E97" s="2"/>
      <c r="F97" s="2"/>
    </row>
    <row r="98" spans="1:6">
      <c r="A98" s="2"/>
      <c r="B98" s="361" t="s">
        <v>621</v>
      </c>
      <c r="E98" s="2"/>
      <c r="F98" s="2"/>
    </row>
    <row r="99" spans="1:6">
      <c r="A99" s="2"/>
      <c r="B99" s="361" t="s">
        <v>622</v>
      </c>
      <c r="E99" s="2"/>
      <c r="F99" s="2"/>
    </row>
    <row r="100" spans="1:6">
      <c r="A100" s="2"/>
      <c r="B100" s="361" t="s">
        <v>623</v>
      </c>
      <c r="E100" s="2"/>
      <c r="F100" s="2"/>
    </row>
    <row r="101" spans="1:6">
      <c r="A101" s="2"/>
      <c r="B101" s="361" t="s">
        <v>624</v>
      </c>
      <c r="E101" s="2"/>
      <c r="F101" s="2"/>
    </row>
    <row r="102" spans="1:6">
      <c r="A102" s="2"/>
      <c r="B102" s="3"/>
      <c r="E102" s="2"/>
      <c r="F102" s="2"/>
    </row>
    <row r="103" spans="1:6">
      <c r="A103" s="2"/>
      <c r="B103" s="3"/>
      <c r="E103" s="2"/>
      <c r="F103" s="2"/>
    </row>
    <row r="104" spans="1:6">
      <c r="A104" s="357" t="s">
        <v>613</v>
      </c>
      <c r="B104" s="90" t="s">
        <v>570</v>
      </c>
      <c r="E104" s="2"/>
      <c r="F104" s="2"/>
    </row>
    <row r="105" spans="1:6">
      <c r="A105" s="385"/>
      <c r="B105" s="361" t="s">
        <v>548</v>
      </c>
      <c r="C105" s="2" t="s">
        <v>557</v>
      </c>
      <c r="D105" s="357" t="s">
        <v>613</v>
      </c>
      <c r="E105" s="2"/>
      <c r="F105" s="2"/>
    </row>
    <row r="106" spans="1:6">
      <c r="A106" s="357"/>
      <c r="B106" s="361" t="s">
        <v>549</v>
      </c>
      <c r="C106" s="2" t="s">
        <v>571</v>
      </c>
      <c r="D106" s="385" t="s">
        <v>600</v>
      </c>
      <c r="E106" s="2"/>
      <c r="F106" s="2"/>
    </row>
    <row r="107" spans="1:6">
      <c r="A107" s="2"/>
      <c r="B107" s="361" t="s">
        <v>551</v>
      </c>
      <c r="D107" s="565" t="s">
        <v>601</v>
      </c>
      <c r="E107" s="2"/>
      <c r="F107" s="2"/>
    </row>
    <row r="108" spans="1:6">
      <c r="A108" s="2"/>
      <c r="B108" s="361" t="s">
        <v>550</v>
      </c>
      <c r="E108" s="2"/>
      <c r="F108" s="2"/>
    </row>
    <row r="109" spans="1:6">
      <c r="A109" s="2"/>
      <c r="B109" s="361" t="s">
        <v>619</v>
      </c>
      <c r="E109" s="2"/>
      <c r="F109" s="2"/>
    </row>
    <row r="110" spans="1:6">
      <c r="A110" s="2"/>
      <c r="B110" s="361" t="s">
        <v>552</v>
      </c>
      <c r="E110" s="2"/>
      <c r="F110" s="2"/>
    </row>
    <row r="111" spans="1:6">
      <c r="A111" s="2"/>
      <c r="B111" s="361" t="s">
        <v>620</v>
      </c>
      <c r="E111" s="2"/>
      <c r="F111" s="2"/>
    </row>
    <row r="112" spans="1:6">
      <c r="A112" s="2"/>
      <c r="B112" s="361" t="s">
        <v>621</v>
      </c>
      <c r="E112" s="2"/>
      <c r="F112" s="2"/>
    </row>
    <row r="113" spans="1:6">
      <c r="A113" s="2"/>
      <c r="B113" s="361" t="s">
        <v>622</v>
      </c>
      <c r="E113" s="2"/>
      <c r="F113" s="2"/>
    </row>
    <row r="114" spans="1:6">
      <c r="A114" s="2"/>
      <c r="B114" s="361" t="s">
        <v>623</v>
      </c>
      <c r="E114" s="2"/>
      <c r="F114" s="2"/>
    </row>
    <row r="115" spans="1:6">
      <c r="A115" s="2"/>
      <c r="B115" s="361" t="s">
        <v>624</v>
      </c>
      <c r="E115" s="2"/>
      <c r="F115" s="2"/>
    </row>
    <row r="116" spans="1:6">
      <c r="A116" s="2"/>
      <c r="B116" s="3"/>
      <c r="E116" s="2"/>
      <c r="F116" s="2"/>
    </row>
    <row r="117" spans="1:6">
      <c r="A117" s="357" t="s">
        <v>614</v>
      </c>
      <c r="B117" s="3" t="s">
        <v>576</v>
      </c>
      <c r="E117" s="2"/>
      <c r="F117" s="2"/>
    </row>
    <row r="118" spans="1:6">
      <c r="A118" s="2"/>
      <c r="B118" s="361" t="s">
        <v>575</v>
      </c>
      <c r="C118" s="2" t="s">
        <v>578</v>
      </c>
      <c r="D118" s="357" t="s">
        <v>614</v>
      </c>
      <c r="E118" s="2"/>
      <c r="F118" s="2"/>
    </row>
    <row r="119" spans="1:6">
      <c r="A119" s="2"/>
      <c r="B119" s="3"/>
      <c r="C119" s="2" t="s">
        <v>579</v>
      </c>
      <c r="D119" s="2" t="s">
        <v>602</v>
      </c>
      <c r="E119" s="2"/>
      <c r="F119" s="2"/>
    </row>
    <row r="120" spans="1:6">
      <c r="A120" s="2"/>
      <c r="B120" s="3"/>
      <c r="D120" s="2" t="s">
        <v>603</v>
      </c>
      <c r="E120" s="2"/>
      <c r="F120" s="2"/>
    </row>
    <row r="121" spans="1:6">
      <c r="A121" s="2"/>
      <c r="B121" s="3"/>
      <c r="E121" s="2"/>
      <c r="F121" s="2"/>
    </row>
    <row r="122" spans="1:6">
      <c r="A122" s="2"/>
      <c r="B122" s="3"/>
      <c r="E122" s="2"/>
      <c r="F122" s="2"/>
    </row>
    <row r="123" spans="1:6">
      <c r="A123" s="2"/>
      <c r="B123" s="3" t="s">
        <v>582</v>
      </c>
      <c r="C123" s="2" t="s">
        <v>590</v>
      </c>
      <c r="E123" s="2"/>
      <c r="F123" s="2"/>
    </row>
    <row r="124" spans="1:6">
      <c r="A124" s="357" t="s">
        <v>615</v>
      </c>
      <c r="B124" s="361" t="s">
        <v>625</v>
      </c>
      <c r="C124" s="2" t="s">
        <v>591</v>
      </c>
      <c r="E124" s="2"/>
      <c r="F124" s="2"/>
    </row>
    <row r="125" spans="1:6">
      <c r="A125" s="385"/>
      <c r="B125" s="361" t="s">
        <v>626</v>
      </c>
      <c r="D125" s="357" t="s">
        <v>615</v>
      </c>
      <c r="E125" s="2"/>
      <c r="F125" s="2"/>
    </row>
    <row r="126" spans="1:6">
      <c r="A126" s="357"/>
      <c r="B126" s="361" t="s">
        <v>583</v>
      </c>
      <c r="D126" s="385" t="s">
        <v>604</v>
      </c>
      <c r="E126" s="2"/>
      <c r="F126" s="2"/>
    </row>
    <row r="127" spans="1:6">
      <c r="A127" s="2"/>
      <c r="B127" s="361" t="s">
        <v>584</v>
      </c>
      <c r="D127" s="565" t="s">
        <v>603</v>
      </c>
      <c r="E127" s="2"/>
      <c r="F127" s="2"/>
    </row>
    <row r="128" spans="1:6">
      <c r="A128" s="2"/>
      <c r="B128" s="361"/>
      <c r="D128" s="2" t="s">
        <v>605</v>
      </c>
      <c r="E128" s="2"/>
      <c r="F128" s="2"/>
    </row>
    <row r="129" spans="1:6">
      <c r="A129" s="2"/>
      <c r="B129" s="361"/>
      <c r="E129" s="2"/>
      <c r="F129" s="2"/>
    </row>
    <row r="130" spans="1:6">
      <c r="A130" s="2"/>
      <c r="B130" s="3"/>
      <c r="C130" s="2" t="s">
        <v>599</v>
      </c>
      <c r="D130" s="8" t="s">
        <v>616</v>
      </c>
      <c r="E130" s="2"/>
      <c r="F130" s="2"/>
    </row>
    <row r="131" spans="1:6">
      <c r="A131" s="2"/>
      <c r="B131" s="3"/>
      <c r="C131" s="2" t="s">
        <v>581</v>
      </c>
      <c r="E131" s="2"/>
      <c r="F131" s="2"/>
    </row>
    <row r="132" spans="1:6">
      <c r="A132" s="2"/>
      <c r="B132" s="3"/>
      <c r="C132" s="2" t="s">
        <v>599</v>
      </c>
      <c r="D132" s="8" t="s">
        <v>617</v>
      </c>
      <c r="E132" s="2"/>
      <c r="F132" s="2"/>
    </row>
    <row r="133" spans="1:6">
      <c r="A133" s="2"/>
      <c r="B133" s="3"/>
      <c r="C133" s="2" t="s">
        <v>581</v>
      </c>
      <c r="E133" s="2"/>
      <c r="F133" s="2"/>
    </row>
    <row r="134" spans="1:6">
      <c r="A134" s="2"/>
      <c r="B134" s="3"/>
      <c r="E134" s="2"/>
      <c r="F134" s="2"/>
    </row>
    <row r="135" spans="1:6">
      <c r="A135" s="2"/>
      <c r="B135" s="3"/>
      <c r="E135" s="2"/>
      <c r="F135" s="2"/>
    </row>
    <row r="136" spans="1:6">
      <c r="A136" s="357" t="s">
        <v>618</v>
      </c>
      <c r="B136" s="3" t="s">
        <v>627</v>
      </c>
      <c r="C136" s="2" t="s">
        <v>590</v>
      </c>
      <c r="E136" s="2"/>
      <c r="F136" s="2"/>
    </row>
    <row r="137" spans="1:6">
      <c r="A137" s="2"/>
      <c r="B137" s="361" t="s">
        <v>592</v>
      </c>
      <c r="C137" s="2" t="s">
        <v>581</v>
      </c>
      <c r="D137" s="357" t="s">
        <v>618</v>
      </c>
      <c r="E137" s="2"/>
      <c r="F137" s="2"/>
    </row>
    <row r="138" spans="1:6">
      <c r="A138" s="2"/>
      <c r="B138" s="3"/>
      <c r="D138" s="2" t="s">
        <v>602</v>
      </c>
      <c r="E138" s="2"/>
      <c r="F138" s="2"/>
    </row>
    <row r="139" spans="1:6">
      <c r="A139" s="2"/>
      <c r="B139" s="3"/>
      <c r="D139" s="2" t="s">
        <v>603</v>
      </c>
      <c r="E139" s="2"/>
      <c r="F139" s="2"/>
    </row>
    <row r="140" spans="1:6">
      <c r="A140" s="2"/>
      <c r="B140" s="3"/>
      <c r="E140" s="2"/>
      <c r="F140" s="2"/>
    </row>
    <row r="141" spans="1:6">
      <c r="A141" s="357" t="s">
        <v>628</v>
      </c>
      <c r="B141" s="3" t="s">
        <v>627</v>
      </c>
      <c r="E141" s="2"/>
      <c r="F141" s="2"/>
    </row>
    <row r="142" spans="1:6">
      <c r="A142" s="2"/>
      <c r="B142" s="361" t="s">
        <v>595</v>
      </c>
      <c r="C142" s="2" t="s">
        <v>590</v>
      </c>
      <c r="D142" s="357" t="s">
        <v>628</v>
      </c>
      <c r="E142" s="2"/>
      <c r="F142" s="2"/>
    </row>
    <row r="143" spans="1:6">
      <c r="A143" s="2"/>
      <c r="B143" s="3"/>
      <c r="C143" s="2" t="s">
        <v>581</v>
      </c>
      <c r="D143" s="2" t="s">
        <v>602</v>
      </c>
      <c r="E143" s="2"/>
      <c r="F143" s="2"/>
    </row>
    <row r="144" spans="1:6">
      <c r="A144" s="2"/>
      <c r="B144" s="3"/>
      <c r="D144" s="2" t="s">
        <v>603</v>
      </c>
      <c r="E144" s="2"/>
      <c r="F144" s="2"/>
    </row>
    <row r="145" spans="2:6">
      <c r="B145" s="88"/>
      <c r="C145" s="3"/>
      <c r="D145" s="3"/>
      <c r="E145" s="2"/>
      <c r="F145" s="2"/>
    </row>
    <row r="146" spans="2:6">
      <c r="B146" s="88"/>
      <c r="C146" s="3"/>
      <c r="D146" s="3"/>
      <c r="E146" s="2"/>
      <c r="F146" s="2"/>
    </row>
  </sheetData>
  <mergeCells count="13">
    <mergeCell ref="CA1:CC1"/>
    <mergeCell ref="A43:B43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49"/>
  <sheetViews>
    <sheetView workbookViewId="0">
      <pane ySplit="2" topLeftCell="A3" activePane="bottomLeft" state="frozen"/>
      <selection pane="bottomLeft" activeCell="P46" sqref="P46"/>
    </sheetView>
  </sheetViews>
  <sheetFormatPr defaultRowHeight="11.25"/>
  <cols>
    <col min="1" max="1" width="7.28515625" style="8" bestFit="1" customWidth="1"/>
    <col min="2" max="2" width="65" style="88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2" customWidth="1"/>
    <col min="19" max="19" width="5.85546875" style="3" customWidth="1"/>
    <col min="20" max="20" width="8.7109375" style="3" customWidth="1"/>
    <col min="21" max="22" width="3.28515625" style="3" bestFit="1" customWidth="1"/>
    <col min="23" max="16384" width="9.140625" style="3"/>
  </cols>
  <sheetData>
    <row r="1" spans="1:20" ht="15.75" customHeight="1">
      <c r="A1" s="880" t="s">
        <v>1</v>
      </c>
      <c r="B1" s="882" t="s">
        <v>0</v>
      </c>
      <c r="C1" s="884" t="s">
        <v>7</v>
      </c>
      <c r="D1" s="875" t="s">
        <v>6</v>
      </c>
      <c r="E1" s="876"/>
      <c r="F1" s="877" t="s">
        <v>5</v>
      </c>
      <c r="G1" s="878"/>
      <c r="H1" s="875" t="s">
        <v>63</v>
      </c>
      <c r="I1" s="876"/>
      <c r="J1" s="869" t="s">
        <v>9</v>
      </c>
      <c r="K1" s="675" t="s">
        <v>423</v>
      </c>
      <c r="L1" s="871"/>
      <c r="M1" s="675" t="s">
        <v>81</v>
      </c>
      <c r="N1" s="676"/>
      <c r="O1" s="676"/>
      <c r="P1" s="676"/>
      <c r="Q1" s="676"/>
      <c r="R1" s="868" t="s">
        <v>83</v>
      </c>
      <c r="S1" s="868"/>
      <c r="T1" s="868"/>
    </row>
    <row r="2" spans="1:20" ht="15.75" customHeight="1" thickBot="1">
      <c r="A2" s="881"/>
      <c r="B2" s="883"/>
      <c r="C2" s="693"/>
      <c r="D2" s="61"/>
      <c r="E2" s="36" t="s">
        <v>9</v>
      </c>
      <c r="F2" s="61"/>
      <c r="G2" s="62" t="s">
        <v>9</v>
      </c>
      <c r="H2" s="61"/>
      <c r="I2" s="36" t="s">
        <v>9</v>
      </c>
      <c r="J2" s="870"/>
      <c r="K2" s="314"/>
      <c r="L2" s="164" t="s">
        <v>9</v>
      </c>
      <c r="M2" s="167" t="s">
        <v>136</v>
      </c>
      <c r="N2" s="167" t="s">
        <v>423</v>
      </c>
      <c r="O2" s="167" t="s">
        <v>362</v>
      </c>
      <c r="P2" s="167" t="s">
        <v>59</v>
      </c>
      <c r="Q2" s="168" t="s">
        <v>135</v>
      </c>
      <c r="R2" s="872"/>
      <c r="S2" s="873"/>
      <c r="T2" s="874"/>
    </row>
    <row r="3" spans="1:20" s="5" customFormat="1">
      <c r="A3" s="411" t="str">
        <f>'1-συμβολαια'!A3</f>
        <v>10ο</v>
      </c>
      <c r="B3" s="343" t="str">
        <f>'1-συμβολαια'!C3</f>
        <v>κληρονομιάς ΑΠΟΔΟΧΗ</v>
      </c>
      <c r="C3" s="347">
        <f>'1-συμβολαια'!D3</f>
        <v>0</v>
      </c>
      <c r="D3" s="326"/>
      <c r="E3" s="326"/>
      <c r="F3" s="326"/>
      <c r="G3" s="326"/>
      <c r="H3" s="326"/>
      <c r="I3" s="326"/>
      <c r="J3" s="318">
        <f>'1-συμβολαια'!N3</f>
        <v>77.38000000000001</v>
      </c>
      <c r="K3" s="318">
        <f>'2-δικαιώμ'!O3+'5-αντίγρ'!O3</f>
        <v>13.176900000000002</v>
      </c>
      <c r="L3" s="318">
        <v>5.41</v>
      </c>
      <c r="M3" s="318">
        <f>'1-συμβολαια'!O3</f>
        <v>222.13310000000001</v>
      </c>
      <c r="N3" s="318">
        <f t="shared" ref="N3" si="0">K3-L3</f>
        <v>7.7669000000000015</v>
      </c>
      <c r="O3" s="318">
        <f>'8-κ-15-17'!AG3</f>
        <v>0</v>
      </c>
      <c r="P3" s="318">
        <f>'11-χαρτόσ'!L3+'5-αντίγρ'!AM3+'6-μεταγρ'!N3+'6-μεταγρ'!O3+'7-προςΔΟΥ'!K3+'13-ντιΜιΧο'!CB3</f>
        <v>19.799999999999997</v>
      </c>
      <c r="Q3" s="318">
        <f>'13-ντιΜιΧο'!CA3</f>
        <v>790.96</v>
      </c>
      <c r="R3" s="270"/>
      <c r="S3" s="262"/>
      <c r="T3" s="265"/>
    </row>
    <row r="4" spans="1:20" s="5" customFormat="1">
      <c r="A4" s="411">
        <f>'1-συμβολαια'!A4</f>
        <v>0</v>
      </c>
      <c r="B4" s="343" t="str">
        <f>'1-συμβολαια'!C4</f>
        <v>ΧΡΗΣΙΚΤΗΣΙΑ οικοπέδου &amp; οικοδομής = 1992 αδερφού ΚΛΗΡΟΝΟΜΙΑ άτυπη</v>
      </c>
      <c r="C4" s="347">
        <f>'1-συμβολαια'!D4</f>
        <v>1111.1099999999999</v>
      </c>
      <c r="D4" s="326"/>
      <c r="E4" s="326"/>
      <c r="F4" s="326"/>
      <c r="G4" s="326"/>
      <c r="H4" s="326"/>
      <c r="I4" s="326"/>
      <c r="J4" s="318">
        <f>'1-συμβολαια'!N4</f>
        <v>0</v>
      </c>
      <c r="K4" s="318">
        <f>'2-δικαιώμ'!O4+'5-αντίγρ'!O4</f>
        <v>3.3236919999999994</v>
      </c>
      <c r="L4" s="318"/>
      <c r="M4" s="318">
        <f>'1-συμβολαια'!O4</f>
        <v>43.655588000000002</v>
      </c>
      <c r="N4" s="318">
        <f t="shared" ref="N4:N42" si="1">K4-L4</f>
        <v>3.3236919999999994</v>
      </c>
      <c r="O4" s="318">
        <f>'8-κ-15-17'!AG4</f>
        <v>8.6111024999999994</v>
      </c>
      <c r="P4" s="318">
        <f>'11-χαρτόσ'!L4+'5-αντίγρ'!AM4+'6-μεταγρ'!N4+'6-μεταγρ'!O4+'7-προςΔΟΥ'!K4+'13-ντιΜιΧο'!CB4</f>
        <v>3</v>
      </c>
      <c r="Q4" s="318">
        <f>'13-ντιΜιΧο'!CA4</f>
        <v>167.37999999999997</v>
      </c>
      <c r="R4" s="270"/>
      <c r="S4" s="262"/>
      <c r="T4" s="265"/>
    </row>
    <row r="5" spans="1:20" s="5" customFormat="1">
      <c r="A5" s="411">
        <f>'1-συμβολαια'!A5</f>
        <v>0</v>
      </c>
      <c r="B5" s="343" t="str">
        <f>'1-συμβολαια'!C5</f>
        <v>ΧΡΗΣΙΚΤΗΣΙΑ οικοπέδων 2'-3' = 1992 αδερφού ΚΛΗΡΟΝΟΜΙΑ άτυπη</v>
      </c>
      <c r="C5" s="347">
        <f>'1-συμβολαια'!D5</f>
        <v>1111.1099999999999</v>
      </c>
      <c r="D5" s="326"/>
      <c r="E5" s="326"/>
      <c r="F5" s="326"/>
      <c r="G5" s="326"/>
      <c r="H5" s="326"/>
      <c r="I5" s="326"/>
      <c r="J5" s="318">
        <f>'1-συμβολαια'!N5</f>
        <v>0</v>
      </c>
      <c r="K5" s="318">
        <f>'2-δικαιώμ'!O5+'5-αντίγρ'!O5</f>
        <v>3.3236919999999994</v>
      </c>
      <c r="L5" s="318"/>
      <c r="M5" s="318">
        <f>'1-συμβολαια'!O5</f>
        <v>43.655588000000002</v>
      </c>
      <c r="N5" s="318">
        <f t="shared" si="1"/>
        <v>3.3236919999999994</v>
      </c>
      <c r="O5" s="318">
        <f>'8-κ-15-17'!AG5</f>
        <v>8.6111024999999994</v>
      </c>
      <c r="P5" s="318">
        <f>'11-χαρτόσ'!L5+'5-αντίγρ'!AM5+'6-μεταγρ'!N5+'6-μεταγρ'!O5+'7-προςΔΟΥ'!K5+'13-ντιΜιΧο'!CB5</f>
        <v>3</v>
      </c>
      <c r="Q5" s="318">
        <f>'13-ντιΜιΧο'!CA5</f>
        <v>149.46999999999997</v>
      </c>
      <c r="R5" s="270"/>
      <c r="S5" s="262"/>
      <c r="T5" s="265"/>
    </row>
    <row r="6" spans="1:20" s="5" customFormat="1">
      <c r="A6" s="411">
        <f>'1-συμβολαια'!A6</f>
        <v>0</v>
      </c>
      <c r="B6" s="343" t="str">
        <f>'1-συμβολαια'!C6</f>
        <v>ΧΡΗΣΙΚΤΗΣΙΑ αγροτεμαχίου 9' = 1968 μητρός ΚΛΗΡΟΝΟΜΙΑ άτυπη</v>
      </c>
      <c r="C6" s="347">
        <f>'1-συμβολαια'!D6</f>
        <v>111.11</v>
      </c>
      <c r="D6" s="326"/>
      <c r="E6" s="326"/>
      <c r="F6" s="326"/>
      <c r="G6" s="326"/>
      <c r="H6" s="326"/>
      <c r="I6" s="326"/>
      <c r="J6" s="318">
        <f>'1-συμβολαια'!N6</f>
        <v>0</v>
      </c>
      <c r="K6" s="318">
        <f>'2-δικαιώμ'!O6+'5-αντίγρ'!O6</f>
        <v>1.9063000000000001</v>
      </c>
      <c r="L6" s="318"/>
      <c r="M6" s="318">
        <f>'1-συμβολαια'!O6</f>
        <v>35.623699999999999</v>
      </c>
      <c r="N6" s="318">
        <f t="shared" si="1"/>
        <v>1.9063000000000001</v>
      </c>
      <c r="O6" s="318">
        <f>'8-κ-15-17'!AG6</f>
        <v>0.8611025000000001</v>
      </c>
      <c r="P6" s="318">
        <f>'11-χαρτόσ'!L6+'5-αντίγρ'!AM6+'6-μεταγρ'!N6+'6-μεταγρ'!O6+'7-προςΔΟΥ'!K6+'13-ντιΜιΧο'!CB6</f>
        <v>3</v>
      </c>
      <c r="Q6" s="318">
        <f>'13-ντιΜιΧο'!CA6</f>
        <v>67.540000000000006</v>
      </c>
      <c r="R6" s="270"/>
      <c r="S6" s="262"/>
      <c r="T6" s="265"/>
    </row>
    <row r="7" spans="1:20" s="5" customFormat="1">
      <c r="A7" s="411">
        <f>'1-συμβολαια'!A7</f>
        <v>0</v>
      </c>
      <c r="B7" s="343" t="str">
        <f>'1-συμβολαια'!C7</f>
        <v>ΧΡΗΣΙΚΤΗΣΙΑ οικοπέδου 4' = 19?? ΑΓΟΡΑΠΩΛΗΣΙΑ άτυπη</v>
      </c>
      <c r="C7" s="347">
        <f>'1-συμβολαια'!D7</f>
        <v>111.11</v>
      </c>
      <c r="D7" s="326"/>
      <c r="E7" s="326"/>
      <c r="F7" s="326"/>
      <c r="G7" s="326"/>
      <c r="H7" s="326"/>
      <c r="I7" s="326"/>
      <c r="J7" s="318">
        <f>'1-συμβολαια'!N7</f>
        <v>0</v>
      </c>
      <c r="K7" s="318">
        <f>'2-δικαιώμ'!O7+'5-αντίγρ'!O7</f>
        <v>1.9063000000000001</v>
      </c>
      <c r="L7" s="318"/>
      <c r="M7" s="318">
        <f>'1-συμβολαια'!O7</f>
        <v>35.623699999999999</v>
      </c>
      <c r="N7" s="318">
        <f t="shared" si="1"/>
        <v>1.9063000000000001</v>
      </c>
      <c r="O7" s="318">
        <f>'8-κ-15-17'!AG7</f>
        <v>0.8611025000000001</v>
      </c>
      <c r="P7" s="318">
        <f>'11-χαρτόσ'!L7+'5-αντίγρ'!AM7+'6-μεταγρ'!N7+'6-μεταγρ'!O7+'7-προςΔΟΥ'!K7+'13-ντιΜιΧο'!CB7</f>
        <v>3</v>
      </c>
      <c r="Q7" s="318">
        <f>'13-ντιΜιΧο'!CA7</f>
        <v>114.22999999999999</v>
      </c>
      <c r="R7" s="270"/>
      <c r="S7" s="262"/>
      <c r="T7" s="265"/>
    </row>
    <row r="8" spans="1:20" s="5" customFormat="1" ht="12" thickBot="1">
      <c r="A8" s="435">
        <f>'1-συμβολαια'!A8</f>
        <v>0</v>
      </c>
      <c r="B8" s="436" t="str">
        <f>'1-συμβολαια'!C8</f>
        <v>ΧΡΗΣΙΚΤΗΣΙΑ αγροτεμαχίου 8' = 19??? ΑΓΟΡΑΠΩΛΗΣΙΑ άτυπη</v>
      </c>
      <c r="C8" s="437">
        <f>'1-συμβολαια'!D8</f>
        <v>1111.1099999999999</v>
      </c>
      <c r="D8" s="431"/>
      <c r="E8" s="431"/>
      <c r="F8" s="431"/>
      <c r="G8" s="431"/>
      <c r="H8" s="431"/>
      <c r="I8" s="431"/>
      <c r="J8" s="438">
        <f>'1-συμβολαια'!N8</f>
        <v>0</v>
      </c>
      <c r="K8" s="438">
        <f>'2-δικαιώμ'!O8+'5-αντίγρ'!O8</f>
        <v>3.3236919999999994</v>
      </c>
      <c r="L8" s="438"/>
      <c r="M8" s="438">
        <f>'1-συμβολαια'!O8</f>
        <v>43.655588000000002</v>
      </c>
      <c r="N8" s="438">
        <f t="shared" si="1"/>
        <v>3.3236919999999994</v>
      </c>
      <c r="O8" s="438">
        <f>'8-κ-15-17'!AG8</f>
        <v>8.6111024999999994</v>
      </c>
      <c r="P8" s="438">
        <f>'11-χαρτόσ'!L8+'5-αντίγρ'!AM8+'6-μεταγρ'!N8+'6-μεταγρ'!O8+'7-προςΔΟΥ'!K8+'13-ντιΜιΧο'!CB8</f>
        <v>3</v>
      </c>
      <c r="Q8" s="438">
        <f>'13-ντιΜιΧο'!CA8</f>
        <v>64.31</v>
      </c>
      <c r="R8" s="634"/>
      <c r="S8" s="552"/>
      <c r="T8" s="463"/>
    </row>
    <row r="9" spans="1:20" s="5" customFormat="1">
      <c r="A9" s="478" t="str">
        <f>'1-συμβολαια'!A9</f>
        <v>11ο</v>
      </c>
      <c r="B9" s="433" t="str">
        <f>'1-συμβολαια'!C9</f>
        <v>κληρονομιάς ΑΠΟΔΟΧΗ</v>
      </c>
      <c r="C9" s="434">
        <f>'1-συμβολαια'!D9</f>
        <v>0</v>
      </c>
      <c r="D9" s="319"/>
      <c r="E9" s="319"/>
      <c r="F9" s="319"/>
      <c r="G9" s="319"/>
      <c r="H9" s="319"/>
      <c r="I9" s="319"/>
      <c r="J9" s="318">
        <f>'1-συμβολαια'!N9</f>
        <v>77.38000000000001</v>
      </c>
      <c r="K9" s="318">
        <f>'2-δικαιώμ'!O9+'5-αντίγρ'!O9</f>
        <v>10.689800000000002</v>
      </c>
      <c r="L9" s="318">
        <v>5.41</v>
      </c>
      <c r="M9" s="318">
        <f>'1-συμβολαια'!O9</f>
        <v>148.87020000000001</v>
      </c>
      <c r="N9" s="318">
        <f t="shared" si="1"/>
        <v>5.2798000000000016</v>
      </c>
      <c r="O9" s="318">
        <f>'8-κ-15-17'!AG9</f>
        <v>0</v>
      </c>
      <c r="P9" s="318">
        <f>'11-χαρτόσ'!L9+'5-αντίγρ'!AM9+'6-μεταγρ'!N9+'6-μεταγρ'!O9+'7-προςΔΟΥ'!K9+'13-ντιΜιΧο'!CB9</f>
        <v>19.799999999999997</v>
      </c>
      <c r="Q9" s="318">
        <f>'13-ντιΜιΧο'!CA9</f>
        <v>597.0100000000001</v>
      </c>
      <c r="R9" s="270"/>
      <c r="S9" s="266"/>
      <c r="T9" s="427"/>
    </row>
    <row r="10" spans="1:20" s="5" customFormat="1">
      <c r="A10" s="450">
        <f>'1-συμβολαια'!A10</f>
        <v>0</v>
      </c>
      <c r="B10" s="343" t="str">
        <f>'1-συμβολαια'!C10</f>
        <v>ΧΡΗΣΙΚΤΗΣΙΑ οικοπέδου &amp; οικοδομής = 1992 αδερφού ΚΛΗΡΟΝΟΜΙΑ άτυπη</v>
      </c>
      <c r="C10" s="347">
        <f>'1-συμβολαια'!D10</f>
        <v>1111.1099999999999</v>
      </c>
      <c r="D10" s="326"/>
      <c r="E10" s="326"/>
      <c r="F10" s="326"/>
      <c r="G10" s="326"/>
      <c r="H10" s="326"/>
      <c r="I10" s="326"/>
      <c r="J10" s="318">
        <f>'1-συμβολαια'!N10</f>
        <v>0</v>
      </c>
      <c r="K10" s="318">
        <f>'2-δικαιώμ'!O10+'5-αντίγρ'!O10</f>
        <v>3.3236919999999994</v>
      </c>
      <c r="L10" s="318"/>
      <c r="M10" s="318">
        <f>'1-συμβολαια'!O10</f>
        <v>37.195588000000001</v>
      </c>
      <c r="N10" s="318">
        <f t="shared" si="1"/>
        <v>3.3236919999999994</v>
      </c>
      <c r="O10" s="318">
        <f>'8-κ-15-17'!AG10</f>
        <v>8.6111024999999994</v>
      </c>
      <c r="P10" s="318">
        <f>'11-χαρτόσ'!L10+'5-αντίγρ'!AM10+'6-μεταγρ'!N10+'6-μεταγρ'!O10+'7-προςΔΟΥ'!K10+'13-ντιΜιΧο'!CB10</f>
        <v>3</v>
      </c>
      <c r="Q10" s="318">
        <f>'13-ντιΜιΧο'!CA10</f>
        <v>3.23</v>
      </c>
      <c r="R10" s="270"/>
      <c r="S10" s="262"/>
      <c r="T10" s="265"/>
    </row>
    <row r="11" spans="1:20" s="5" customFormat="1">
      <c r="A11" s="450">
        <f>'1-συμβολαια'!A11</f>
        <v>0</v>
      </c>
      <c r="B11" s="343" t="str">
        <f>'1-συμβολαια'!C11</f>
        <v>ΧΡΗΣΙΚΤΗΣΙΑ οικοπέδων 2'-3' = 1992 αδερφού ΚΛΗΡΟΝΟΜΙΑ άτυπη</v>
      </c>
      <c r="C11" s="347">
        <f>'1-συμβολαια'!D11</f>
        <v>1111.1099999999999</v>
      </c>
      <c r="D11" s="326"/>
      <c r="E11" s="326"/>
      <c r="F11" s="326"/>
      <c r="G11" s="326"/>
      <c r="H11" s="326"/>
      <c r="I11" s="326"/>
      <c r="J11" s="318">
        <f>'1-συμβολαια'!N11</f>
        <v>0</v>
      </c>
      <c r="K11" s="318">
        <f>'2-δικαιώμ'!O11+'5-αντίγρ'!O11</f>
        <v>3.3236919999999994</v>
      </c>
      <c r="L11" s="318"/>
      <c r="M11" s="318">
        <f>'1-συμβολαια'!O11</f>
        <v>37.195588000000001</v>
      </c>
      <c r="N11" s="318">
        <f t="shared" si="1"/>
        <v>3.3236919999999994</v>
      </c>
      <c r="O11" s="318">
        <f>'8-κ-15-17'!AG11</f>
        <v>8.6111024999999994</v>
      </c>
      <c r="P11" s="318">
        <f>'11-χαρτόσ'!L11+'5-αντίγρ'!AM11+'6-μεταγρ'!N11+'6-μεταγρ'!O11+'7-προςΔΟΥ'!K11+'13-ντιΜιΧο'!CB11</f>
        <v>3</v>
      </c>
      <c r="Q11" s="318">
        <f>'13-ντιΜιΧο'!CA11</f>
        <v>0</v>
      </c>
      <c r="R11" s="270"/>
      <c r="S11" s="262"/>
      <c r="T11" s="265"/>
    </row>
    <row r="12" spans="1:20" s="5" customFormat="1">
      <c r="A12" s="450">
        <f>'1-συμβολαια'!A12</f>
        <v>0</v>
      </c>
      <c r="B12" s="343" t="str">
        <f>'1-συμβολαια'!C12</f>
        <v>ΧΡΗΣΙΚΤΗΣΙΑ αγροτεμαχίου 9' = 1968 μητρός ΚΛΗΡΟΝΟΜΙΑ άτυπη</v>
      </c>
      <c r="C12" s="347">
        <f>'1-συμβολαια'!D12</f>
        <v>111.11</v>
      </c>
      <c r="D12" s="326"/>
      <c r="E12" s="326"/>
      <c r="F12" s="326"/>
      <c r="G12" s="326"/>
      <c r="H12" s="326"/>
      <c r="I12" s="326"/>
      <c r="J12" s="318">
        <f>'1-συμβολαια'!N12</f>
        <v>0</v>
      </c>
      <c r="K12" s="318">
        <f>'2-δικαιώμ'!O12+'5-αντίγρ'!O12</f>
        <v>1.9063000000000001</v>
      </c>
      <c r="L12" s="318"/>
      <c r="M12" s="318">
        <f>'1-συμβολαια'!O12</f>
        <v>29.163700000000002</v>
      </c>
      <c r="N12" s="318">
        <f t="shared" si="1"/>
        <v>1.9063000000000001</v>
      </c>
      <c r="O12" s="318">
        <f>'8-κ-15-17'!AG12</f>
        <v>0.8611025000000001</v>
      </c>
      <c r="P12" s="318">
        <f>'11-χαρτόσ'!L12+'5-αντίγρ'!AM12+'6-μεταγρ'!N12+'6-μεταγρ'!O12+'7-προςΔΟΥ'!K12+'13-ντιΜιΧο'!CB12</f>
        <v>3</v>
      </c>
      <c r="Q12" s="318">
        <f>'13-ντιΜιΧο'!CA12</f>
        <v>3.23</v>
      </c>
      <c r="R12" s="270"/>
      <c r="S12" s="262"/>
      <c r="T12" s="265"/>
    </row>
    <row r="13" spans="1:20" s="5" customFormat="1">
      <c r="A13" s="450">
        <f>'1-συμβολαια'!A13</f>
        <v>0</v>
      </c>
      <c r="B13" s="343" t="str">
        <f>'1-συμβολαια'!C13</f>
        <v>ΧΡΗΣΙΚΤΗΣΙΑ οικοπέδου 4' = 19?? ΑΓΟΡΑΠΩΛΗΣΙΑ άτυπη</v>
      </c>
      <c r="C13" s="347">
        <f>'1-συμβολαια'!D13</f>
        <v>111.11</v>
      </c>
      <c r="D13" s="326"/>
      <c r="E13" s="326"/>
      <c r="F13" s="326"/>
      <c r="G13" s="326"/>
      <c r="H13" s="326"/>
      <c r="I13" s="326"/>
      <c r="J13" s="318">
        <f>'1-συμβολαια'!N13</f>
        <v>0</v>
      </c>
      <c r="K13" s="318">
        <f>'2-δικαιώμ'!O13+'5-αντίγρ'!O13</f>
        <v>1.9063000000000001</v>
      </c>
      <c r="L13" s="318"/>
      <c r="M13" s="318">
        <f>'1-συμβολαια'!O13</f>
        <v>29.163700000000002</v>
      </c>
      <c r="N13" s="318">
        <f t="shared" si="1"/>
        <v>1.9063000000000001</v>
      </c>
      <c r="O13" s="318">
        <f>'8-κ-15-17'!AG13</f>
        <v>0.8611025000000001</v>
      </c>
      <c r="P13" s="318">
        <f>'11-χαρτόσ'!L13+'5-αντίγρ'!AM13+'6-μεταγρ'!N13+'6-μεταγρ'!O13+'7-προςΔΟΥ'!K13+'13-ντιΜιΧο'!CB13</f>
        <v>3</v>
      </c>
      <c r="Q13" s="318">
        <f>'13-ντιΜιΧο'!CA13</f>
        <v>0</v>
      </c>
      <c r="R13" s="270"/>
      <c r="S13" s="262"/>
      <c r="T13" s="265"/>
    </row>
    <row r="14" spans="1:20" s="5" customFormat="1" ht="12" thickBot="1">
      <c r="A14" s="480">
        <f>'1-συμβολαια'!A14</f>
        <v>0</v>
      </c>
      <c r="B14" s="436" t="str">
        <f>'1-συμβολαια'!C14</f>
        <v>ΧΡΗΣΙΚΤΗΣΙΑ αγροτεμαχίου 8' = 19??? ΑΓΟΡΑΠΩΛΗΣΙΑ άτυπη</v>
      </c>
      <c r="C14" s="437">
        <f>'1-συμβολαια'!D14</f>
        <v>1111.1099999999999</v>
      </c>
      <c r="D14" s="431"/>
      <c r="E14" s="431"/>
      <c r="F14" s="431"/>
      <c r="G14" s="431"/>
      <c r="H14" s="431"/>
      <c r="I14" s="431"/>
      <c r="J14" s="438">
        <f>'1-συμβολαια'!N14</f>
        <v>0</v>
      </c>
      <c r="K14" s="438">
        <f>'2-δικαιώμ'!O14+'5-αντίγρ'!O14</f>
        <v>3.3236919999999994</v>
      </c>
      <c r="L14" s="438"/>
      <c r="M14" s="438">
        <f>'1-συμβολαια'!O14</f>
        <v>37.195588000000001</v>
      </c>
      <c r="N14" s="438">
        <f t="shared" si="1"/>
        <v>3.3236919999999994</v>
      </c>
      <c r="O14" s="438">
        <f>'8-κ-15-17'!AG14</f>
        <v>8.6111024999999994</v>
      </c>
      <c r="P14" s="438">
        <f>'11-χαρτόσ'!L14+'5-αντίγρ'!AM14+'6-μεταγρ'!N14+'6-μεταγρ'!O14+'7-προςΔΟΥ'!K14+'13-ντιΜιΧο'!CB14</f>
        <v>3</v>
      </c>
      <c r="Q14" s="438">
        <f>'13-ντιΜιΧο'!CA14</f>
        <v>0</v>
      </c>
      <c r="R14" s="270"/>
      <c r="S14" s="262"/>
      <c r="T14" s="265"/>
    </row>
    <row r="15" spans="1:20" s="5" customFormat="1">
      <c r="A15" s="479" t="str">
        <f>'1-συμβολαια'!A15</f>
        <v>12ο</v>
      </c>
      <c r="B15" s="433" t="str">
        <f>'1-συμβολαια'!C15</f>
        <v>κληρονομιάς ΑΠΟΔΟΧΗ</v>
      </c>
      <c r="C15" s="434">
        <f>'1-συμβολαια'!D15</f>
        <v>0</v>
      </c>
      <c r="D15" s="319"/>
      <c r="E15" s="319"/>
      <c r="F15" s="319"/>
      <c r="G15" s="319"/>
      <c r="H15" s="319"/>
      <c r="I15" s="319"/>
      <c r="J15" s="318">
        <f>'1-συμβολαια'!N15</f>
        <v>77.38000000000001</v>
      </c>
      <c r="K15" s="318">
        <f>'2-δικαιώμ'!O15+'5-αντίγρ'!O15</f>
        <v>8.2027000000000001</v>
      </c>
      <c r="L15" s="318">
        <v>5.41</v>
      </c>
      <c r="M15" s="318">
        <f>'1-συμβολαια'!O15</f>
        <v>75.607300000000023</v>
      </c>
      <c r="N15" s="318">
        <f t="shared" si="1"/>
        <v>2.7927</v>
      </c>
      <c r="O15" s="318">
        <f>'8-κ-15-17'!AG15</f>
        <v>0</v>
      </c>
      <c r="P15" s="318">
        <f>'11-χαρτόσ'!L15+'5-αντίγρ'!AM15+'6-μεταγρ'!N15+'6-μεταγρ'!O15+'7-προςΔΟΥ'!K15+'13-ντιΜιΧο'!CB15</f>
        <v>19.799999999999997</v>
      </c>
      <c r="Q15" s="318">
        <f>'13-ντιΜιΧο'!CA15</f>
        <v>577.33000000000004</v>
      </c>
      <c r="R15" s="270"/>
      <c r="S15" s="262"/>
      <c r="T15" s="265"/>
    </row>
    <row r="16" spans="1:20" s="5" customFormat="1">
      <c r="A16" s="411">
        <f>'1-συμβολαια'!A16</f>
        <v>0</v>
      </c>
      <c r="B16" s="343" t="str">
        <f>'1-συμβολαια'!C16</f>
        <v>ΧΡΗΣΙΚΤΗΣΙΑ οικοπέδου &amp; οικοδομής = 1992 αδερφού ΚΛΗΡΟΝΟΜΙΑ άτυπη</v>
      </c>
      <c r="C16" s="347">
        <f>'1-συμβολαια'!D16</f>
        <v>1111.1099999999999</v>
      </c>
      <c r="D16" s="326"/>
      <c r="E16" s="326"/>
      <c r="F16" s="326"/>
      <c r="G16" s="326"/>
      <c r="H16" s="326"/>
      <c r="I16" s="326"/>
      <c r="J16" s="318">
        <f>'1-συμβολαια'!N16</f>
        <v>0</v>
      </c>
      <c r="K16" s="318">
        <f>'2-δικαιώμ'!O16+'5-αντίγρ'!O16</f>
        <v>3.3236919999999994</v>
      </c>
      <c r="L16" s="318"/>
      <c r="M16" s="318">
        <f>'1-συμβολαια'!O16</f>
        <v>37.195588000000001</v>
      </c>
      <c r="N16" s="318">
        <f t="shared" si="1"/>
        <v>3.3236919999999994</v>
      </c>
      <c r="O16" s="318">
        <f>'8-κ-15-17'!AG16</f>
        <v>8.6111024999999994</v>
      </c>
      <c r="P16" s="318">
        <f>'11-χαρτόσ'!L16+'5-αντίγρ'!AM16+'6-μεταγρ'!N16+'6-μεταγρ'!O16+'7-προςΔΟΥ'!K16+'13-ντιΜιΧο'!CB16</f>
        <v>3</v>
      </c>
      <c r="Q16" s="318">
        <f>'13-ντιΜιΧο'!CA16</f>
        <v>3.23</v>
      </c>
      <c r="R16" s="270"/>
      <c r="S16" s="262"/>
      <c r="T16" s="265"/>
    </row>
    <row r="17" spans="1:20" s="5" customFormat="1">
      <c r="A17" s="411">
        <f>'1-συμβολαια'!A17</f>
        <v>0</v>
      </c>
      <c r="B17" s="343" t="str">
        <f>'1-συμβολαια'!C17</f>
        <v>ΧΡΗΣΙΚΤΗΣΙΑ οικοπέδων 2'-3' = 1992 αδερφού ΚΛΗΡΟΝΟΜΙΑ άτυπη</v>
      </c>
      <c r="C17" s="347">
        <f>'1-συμβολαια'!D17</f>
        <v>1111.1099999999999</v>
      </c>
      <c r="D17" s="326"/>
      <c r="E17" s="326"/>
      <c r="F17" s="326"/>
      <c r="G17" s="326"/>
      <c r="H17" s="326"/>
      <c r="I17" s="326"/>
      <c r="J17" s="318">
        <f>'1-συμβολαια'!N17</f>
        <v>0</v>
      </c>
      <c r="K17" s="318">
        <f>'2-δικαιώμ'!O17+'5-αντίγρ'!O17</f>
        <v>3.3236919999999994</v>
      </c>
      <c r="L17" s="318"/>
      <c r="M17" s="318">
        <f>'1-συμβολαια'!O17</f>
        <v>37.195588000000001</v>
      </c>
      <c r="N17" s="318">
        <f t="shared" si="1"/>
        <v>3.3236919999999994</v>
      </c>
      <c r="O17" s="318">
        <f>'8-κ-15-17'!AG17</f>
        <v>8.6111024999999994</v>
      </c>
      <c r="P17" s="318">
        <f>'11-χαρτόσ'!L17+'5-αντίγρ'!AM17+'6-μεταγρ'!N17+'6-μεταγρ'!O17+'7-προςΔΟΥ'!K17+'13-ντιΜιΧο'!CB17</f>
        <v>3</v>
      </c>
      <c r="Q17" s="318">
        <f>'13-ντιΜιΧο'!CA17</f>
        <v>0</v>
      </c>
      <c r="R17" s="270"/>
      <c r="S17" s="262"/>
      <c r="T17" s="265"/>
    </row>
    <row r="18" spans="1:20" s="5" customFormat="1">
      <c r="A18" s="411">
        <f>'1-συμβολαια'!A18</f>
        <v>0</v>
      </c>
      <c r="B18" s="343" t="str">
        <f>'1-συμβολαια'!C18</f>
        <v>ΧΡΗΣΙΚΤΗΣΙΑ αγροτεμαχίου 9' = 1968 μητρός ΚΛΗΡΟΝΟΜΙΑ άτυπη</v>
      </c>
      <c r="C18" s="347">
        <f>'1-συμβολαια'!D18</f>
        <v>111.11</v>
      </c>
      <c r="D18" s="326"/>
      <c r="E18" s="326"/>
      <c r="F18" s="326"/>
      <c r="G18" s="326"/>
      <c r="H18" s="326"/>
      <c r="I18" s="326"/>
      <c r="J18" s="318">
        <f>'1-συμβολαια'!N18</f>
        <v>0</v>
      </c>
      <c r="K18" s="318">
        <f>'2-δικαιώμ'!O18+'5-αντίγρ'!O18</f>
        <v>1.9063000000000001</v>
      </c>
      <c r="L18" s="318"/>
      <c r="M18" s="318">
        <f>'1-συμβολαια'!O18</f>
        <v>29.163700000000002</v>
      </c>
      <c r="N18" s="318">
        <f t="shared" si="1"/>
        <v>1.9063000000000001</v>
      </c>
      <c r="O18" s="318">
        <f>'8-κ-15-17'!AG18</f>
        <v>0.8611025000000001</v>
      </c>
      <c r="P18" s="318">
        <f>'11-χαρτόσ'!L18+'5-αντίγρ'!AM18+'6-μεταγρ'!N18+'6-μεταγρ'!O18+'7-προςΔΟΥ'!K18+'13-ντιΜιΧο'!CB18</f>
        <v>3</v>
      </c>
      <c r="Q18" s="318">
        <f>'13-ντιΜιΧο'!CA18</f>
        <v>3.23</v>
      </c>
      <c r="R18" s="270"/>
      <c r="S18" s="262"/>
      <c r="T18" s="265"/>
    </row>
    <row r="19" spans="1:20" s="5" customFormat="1">
      <c r="A19" s="411">
        <f>'1-συμβολαια'!A19</f>
        <v>0</v>
      </c>
      <c r="B19" s="343" t="str">
        <f>'1-συμβολαια'!C19</f>
        <v>ΧΡΗΣΙΚΤΗΣΙΑ οικοπέδου 4' = 19?? ΑΓΟΡΑΠΩΛΗΣΙΑ άτυπη</v>
      </c>
      <c r="C19" s="347">
        <f>'1-συμβολαια'!D19</f>
        <v>111.11</v>
      </c>
      <c r="D19" s="326"/>
      <c r="E19" s="326"/>
      <c r="F19" s="326"/>
      <c r="G19" s="326"/>
      <c r="H19" s="326"/>
      <c r="I19" s="326"/>
      <c r="J19" s="318">
        <f>'1-συμβολαια'!N19</f>
        <v>0</v>
      </c>
      <c r="K19" s="318">
        <f>'2-δικαιώμ'!O19+'5-αντίγρ'!O19</f>
        <v>1.9063000000000001</v>
      </c>
      <c r="L19" s="318"/>
      <c r="M19" s="318">
        <f>'1-συμβολαια'!O19</f>
        <v>29.163700000000002</v>
      </c>
      <c r="N19" s="318">
        <f t="shared" si="1"/>
        <v>1.9063000000000001</v>
      </c>
      <c r="O19" s="318">
        <f>'8-κ-15-17'!AG19</f>
        <v>0.8611025000000001</v>
      </c>
      <c r="P19" s="318">
        <f>'11-χαρτόσ'!L19+'5-αντίγρ'!AM19+'6-μεταγρ'!N19+'6-μεταγρ'!O19+'7-προςΔΟΥ'!K19+'13-ντιΜιΧο'!CB19</f>
        <v>3</v>
      </c>
      <c r="Q19" s="318">
        <f>'13-ντιΜιΧο'!CA19</f>
        <v>0</v>
      </c>
      <c r="R19" s="270"/>
      <c r="S19" s="262"/>
      <c r="T19" s="265"/>
    </row>
    <row r="20" spans="1:20" s="5" customFormat="1" ht="12" thickBot="1">
      <c r="A20" s="435">
        <f>'1-συμβολαια'!A20</f>
        <v>0</v>
      </c>
      <c r="B20" s="436" t="str">
        <f>'1-συμβολαια'!C20</f>
        <v>ΧΡΗΣΙΚΤΗΣΙΑ αγροτεμαχίου 8' = 19??? ΑΓΟΡΑΠΩΛΗΣΙΑ άτυπη</v>
      </c>
      <c r="C20" s="437">
        <f>'1-συμβολαια'!D20</f>
        <v>1111.1099999999999</v>
      </c>
      <c r="D20" s="431"/>
      <c r="E20" s="431"/>
      <c r="F20" s="431"/>
      <c r="G20" s="431"/>
      <c r="H20" s="431"/>
      <c r="I20" s="431"/>
      <c r="J20" s="438">
        <f>'1-συμβολαια'!N20</f>
        <v>0</v>
      </c>
      <c r="K20" s="438">
        <f>'2-δικαιώμ'!O20+'5-αντίγρ'!O20</f>
        <v>3.3236919999999994</v>
      </c>
      <c r="L20" s="438"/>
      <c r="M20" s="438">
        <f>'1-συμβολαια'!O20</f>
        <v>37.195588000000001</v>
      </c>
      <c r="N20" s="438">
        <f t="shared" si="1"/>
        <v>3.3236919999999994</v>
      </c>
      <c r="O20" s="438">
        <f>'8-κ-15-17'!AG20</f>
        <v>8.6111024999999994</v>
      </c>
      <c r="P20" s="438">
        <f>'11-χαρτόσ'!L20+'5-αντίγρ'!AM20+'6-μεταγρ'!N20+'6-μεταγρ'!O20+'7-προςΔΟΥ'!K20+'13-ντιΜιΧο'!CB20</f>
        <v>3</v>
      </c>
      <c r="Q20" s="438">
        <f>'13-ντιΜιΧο'!CA20</f>
        <v>0</v>
      </c>
      <c r="R20" s="270"/>
      <c r="S20" s="262"/>
      <c r="T20" s="265"/>
    </row>
    <row r="21" spans="1:20" s="5" customFormat="1">
      <c r="A21" s="478" t="str">
        <f>'1-συμβολαια'!A21</f>
        <v>13ο</v>
      </c>
      <c r="B21" s="433" t="str">
        <f>'1-συμβολαια'!C21</f>
        <v>κληρονομιάς ΑΠΟΔΟΧΗ</v>
      </c>
      <c r="C21" s="434">
        <f>'1-συμβολαια'!D21</f>
        <v>0</v>
      </c>
      <c r="D21" s="319"/>
      <c r="E21" s="319"/>
      <c r="F21" s="319"/>
      <c r="G21" s="319"/>
      <c r="H21" s="319"/>
      <c r="I21" s="319"/>
      <c r="J21" s="318">
        <f>'1-συμβολαια'!N21</f>
        <v>77.38000000000001</v>
      </c>
      <c r="K21" s="318">
        <f>'2-δικαιώμ'!O21+'5-αντίγρ'!O21</f>
        <v>8.2027000000000001</v>
      </c>
      <c r="L21" s="318">
        <v>5.41</v>
      </c>
      <c r="M21" s="318">
        <f>'1-συμβολαια'!O21</f>
        <v>22.46729999999998</v>
      </c>
      <c r="N21" s="318">
        <f t="shared" si="1"/>
        <v>2.7927</v>
      </c>
      <c r="O21" s="318">
        <f>'8-κ-15-17'!AG21</f>
        <v>0</v>
      </c>
      <c r="P21" s="318">
        <f>'11-χαρτόσ'!L21+'5-αντίγρ'!AM21+'6-μεταγρ'!N21+'6-μεταγρ'!O21+'7-προςΔΟΥ'!K21+'13-ντιΜιΧο'!CB21</f>
        <v>19.799999999999997</v>
      </c>
      <c r="Q21" s="318">
        <f>'13-ντιΜιΧο'!CA21</f>
        <v>554.42000000000019</v>
      </c>
      <c r="R21" s="270"/>
      <c r="S21" s="262"/>
      <c r="T21" s="265"/>
    </row>
    <row r="22" spans="1:20" s="5" customFormat="1">
      <c r="A22" s="450">
        <f>'1-συμβολαια'!A22</f>
        <v>0</v>
      </c>
      <c r="B22" s="343" t="str">
        <f>'1-συμβολαια'!C22</f>
        <v>ΧΡΗΣΙΚΤΗΣΙΑ οικοπέδου &amp; οικοδομής = 1992 αδερφού ΚΛΗΡΟΝΟΜΙΑ άτυπη</v>
      </c>
      <c r="C22" s="347">
        <f>'1-συμβολαια'!D22</f>
        <v>1111.1099999999999</v>
      </c>
      <c r="D22" s="326"/>
      <c r="E22" s="326"/>
      <c r="F22" s="326"/>
      <c r="G22" s="326"/>
      <c r="H22" s="326"/>
      <c r="I22" s="326"/>
      <c r="J22" s="318">
        <f>'1-συμβολαια'!N22</f>
        <v>0</v>
      </c>
      <c r="K22" s="318">
        <f>'2-δικαιώμ'!O22+'5-αντίγρ'!O22</f>
        <v>3.3236919999999994</v>
      </c>
      <c r="L22" s="318"/>
      <c r="M22" s="318">
        <f>'1-συμβολαια'!O22</f>
        <v>37.195588000000001</v>
      </c>
      <c r="N22" s="318">
        <f t="shared" si="1"/>
        <v>3.3236919999999994</v>
      </c>
      <c r="O22" s="318">
        <f>'8-κ-15-17'!AG22</f>
        <v>8.6111024999999994</v>
      </c>
      <c r="P22" s="318">
        <f>'11-χαρτόσ'!L22+'5-αντίγρ'!AM22+'6-μεταγρ'!N22+'6-μεταγρ'!O22+'7-προςΔΟΥ'!K22+'13-ντιΜιΧο'!CB22</f>
        <v>3</v>
      </c>
      <c r="Q22" s="318">
        <f>'13-ντιΜιΧο'!CA22</f>
        <v>3.23</v>
      </c>
      <c r="R22" s="270"/>
      <c r="S22" s="262"/>
      <c r="T22" s="265"/>
    </row>
    <row r="23" spans="1:20" s="5" customFormat="1">
      <c r="A23" s="450">
        <f>'1-συμβολαια'!A23</f>
        <v>0</v>
      </c>
      <c r="B23" s="343" t="str">
        <f>'1-συμβολαια'!C23</f>
        <v>ΧΡΗΣΙΚΤΗΣΙΑ οικοπέδων 2'-3' = 1992 αδερφού ΚΛΗΡΟΝΟΜΙΑ άτυπη</v>
      </c>
      <c r="C23" s="347">
        <f>'1-συμβολαια'!D23</f>
        <v>1111.1099999999999</v>
      </c>
      <c r="D23" s="326"/>
      <c r="E23" s="326"/>
      <c r="F23" s="326"/>
      <c r="G23" s="326"/>
      <c r="H23" s="326"/>
      <c r="I23" s="326"/>
      <c r="J23" s="318">
        <f>'1-συμβολαια'!N23</f>
        <v>0</v>
      </c>
      <c r="K23" s="318">
        <f>'2-δικαιώμ'!O23+'5-αντίγρ'!O23</f>
        <v>3.3236919999999994</v>
      </c>
      <c r="L23" s="318"/>
      <c r="M23" s="318">
        <f>'1-συμβολαια'!O23</f>
        <v>37.195588000000001</v>
      </c>
      <c r="N23" s="318">
        <f t="shared" si="1"/>
        <v>3.3236919999999994</v>
      </c>
      <c r="O23" s="318">
        <f>'8-κ-15-17'!AG23</f>
        <v>8.6111024999999994</v>
      </c>
      <c r="P23" s="318">
        <f>'11-χαρτόσ'!L23+'5-αντίγρ'!AM23+'6-μεταγρ'!N23+'6-μεταγρ'!O23+'7-προςΔΟΥ'!K23+'13-ντιΜιΧο'!CB23</f>
        <v>3</v>
      </c>
      <c r="Q23" s="318">
        <f>'13-ντιΜιΧο'!CA23</f>
        <v>0</v>
      </c>
      <c r="R23" s="270"/>
      <c r="S23" s="262"/>
      <c r="T23" s="265"/>
    </row>
    <row r="24" spans="1:20" s="5" customFormat="1">
      <c r="A24" s="450">
        <f>'1-συμβολαια'!A24</f>
        <v>0</v>
      </c>
      <c r="B24" s="343" t="str">
        <f>'1-συμβολαια'!C24</f>
        <v>ΧΡΗΣΙΚΤΗΣΙΑ αγροτεμαχίου 9' = 1968 μητρός ΚΛΗΡΟΝΟΜΙΑ άτυπη</v>
      </c>
      <c r="C24" s="347">
        <f>'1-συμβολαια'!D24</f>
        <v>111.11</v>
      </c>
      <c r="D24" s="326"/>
      <c r="E24" s="326"/>
      <c r="F24" s="326"/>
      <c r="G24" s="326"/>
      <c r="H24" s="326"/>
      <c r="I24" s="326"/>
      <c r="J24" s="318">
        <f>'1-συμβολαια'!N24</f>
        <v>0</v>
      </c>
      <c r="K24" s="318">
        <f>'2-δικαιώμ'!O24+'5-αντίγρ'!O24</f>
        <v>1.9063000000000001</v>
      </c>
      <c r="L24" s="318"/>
      <c r="M24" s="318">
        <f>'1-συμβολαια'!O24</f>
        <v>29.163700000000002</v>
      </c>
      <c r="N24" s="318">
        <f t="shared" si="1"/>
        <v>1.9063000000000001</v>
      </c>
      <c r="O24" s="318">
        <f>'8-κ-15-17'!AG24</f>
        <v>0.8611025000000001</v>
      </c>
      <c r="P24" s="318">
        <f>'11-χαρτόσ'!L24+'5-αντίγρ'!AM24+'6-μεταγρ'!N24+'6-μεταγρ'!O24+'7-προςΔΟΥ'!K24+'13-ντιΜιΧο'!CB24</f>
        <v>3</v>
      </c>
      <c r="Q24" s="318">
        <f>'13-ντιΜιΧο'!CA24</f>
        <v>3.23</v>
      </c>
      <c r="R24" s="270"/>
      <c r="S24" s="262"/>
      <c r="T24" s="265"/>
    </row>
    <row r="25" spans="1:20" s="5" customFormat="1">
      <c r="A25" s="450">
        <f>'1-συμβολαια'!A25</f>
        <v>0</v>
      </c>
      <c r="B25" s="343" t="str">
        <f>'1-συμβολαια'!C25</f>
        <v>ΧΡΗΣΙΚΤΗΣΙΑ οικοπέδου 4' = 19?? ΑΓΟΡΑΠΩΛΗΣΙΑ άτυπη</v>
      </c>
      <c r="C25" s="347">
        <f>'1-συμβολαια'!D25</f>
        <v>111.11</v>
      </c>
      <c r="D25" s="326"/>
      <c r="E25" s="326"/>
      <c r="F25" s="326"/>
      <c r="G25" s="326"/>
      <c r="H25" s="326"/>
      <c r="I25" s="326"/>
      <c r="J25" s="318">
        <f>'1-συμβολαια'!N25</f>
        <v>0</v>
      </c>
      <c r="K25" s="318">
        <f>'2-δικαιώμ'!O25+'5-αντίγρ'!O25</f>
        <v>1.9063000000000001</v>
      </c>
      <c r="L25" s="318"/>
      <c r="M25" s="318">
        <f>'1-συμβολαια'!O25</f>
        <v>29.163700000000002</v>
      </c>
      <c r="N25" s="318">
        <f t="shared" si="1"/>
        <v>1.9063000000000001</v>
      </c>
      <c r="O25" s="318">
        <f>'8-κ-15-17'!AG25</f>
        <v>0.8611025000000001</v>
      </c>
      <c r="P25" s="318">
        <f>'11-χαρτόσ'!L25+'5-αντίγρ'!AM25+'6-μεταγρ'!N25+'6-μεταγρ'!O25+'7-προςΔΟΥ'!K25+'13-ντιΜιΧο'!CB25</f>
        <v>3</v>
      </c>
      <c r="Q25" s="318">
        <f>'13-ντιΜιΧο'!CA25</f>
        <v>0</v>
      </c>
      <c r="R25" s="270"/>
      <c r="S25" s="262"/>
      <c r="T25" s="265"/>
    </row>
    <row r="26" spans="1:20" s="5" customFormat="1" ht="12" thickBot="1">
      <c r="A26" s="480">
        <f>'1-συμβολαια'!A26</f>
        <v>0</v>
      </c>
      <c r="B26" s="436" t="str">
        <f>'1-συμβολαια'!C26</f>
        <v>ΧΡΗΣΙΚΤΗΣΙΑ αγροτεμαχίου 8' = 19??? ΑΓΟΡΑΠΩΛΗΣΙΑ άτυπη</v>
      </c>
      <c r="C26" s="437">
        <f>'1-συμβολαια'!D26</f>
        <v>1111.1099999999999</v>
      </c>
      <c r="D26" s="431"/>
      <c r="E26" s="431"/>
      <c r="F26" s="431"/>
      <c r="G26" s="431"/>
      <c r="H26" s="431"/>
      <c r="I26" s="431"/>
      <c r="J26" s="438">
        <f>'1-συμβολαια'!N26</f>
        <v>0</v>
      </c>
      <c r="K26" s="438">
        <f>'2-δικαιώμ'!O26+'5-αντίγρ'!O26</f>
        <v>3.3236919999999994</v>
      </c>
      <c r="L26" s="438"/>
      <c r="M26" s="438">
        <f>'1-συμβολαια'!O26</f>
        <v>37.195588000000001</v>
      </c>
      <c r="N26" s="438">
        <f t="shared" si="1"/>
        <v>3.3236919999999994</v>
      </c>
      <c r="O26" s="438">
        <f>'8-κ-15-17'!AG26</f>
        <v>8.6111024999999994</v>
      </c>
      <c r="P26" s="438">
        <f>'11-χαρτόσ'!L26+'5-αντίγρ'!AM26+'6-μεταγρ'!N26+'6-μεταγρ'!O26+'7-προςΔΟΥ'!K26+'13-ντιΜιΧο'!CB26</f>
        <v>3</v>
      </c>
      <c r="Q26" s="438">
        <f>'13-ντιΜιΧο'!CA26</f>
        <v>0</v>
      </c>
      <c r="R26" s="634"/>
      <c r="S26" s="552"/>
      <c r="T26" s="463"/>
    </row>
    <row r="27" spans="1:20" s="5" customFormat="1">
      <c r="A27" s="479" t="str">
        <f>'1-συμβολαια'!A27</f>
        <v>14ο</v>
      </c>
      <c r="B27" s="433" t="str">
        <f>'1-συμβολαια'!C27</f>
        <v>κληρονομιάς ΑΠΟΔΟΧΗ</v>
      </c>
      <c r="C27" s="434">
        <f>'1-συμβολαια'!D27</f>
        <v>0</v>
      </c>
      <c r="D27" s="319"/>
      <c r="E27" s="319"/>
      <c r="F27" s="319"/>
      <c r="G27" s="319"/>
      <c r="H27" s="319"/>
      <c r="I27" s="319"/>
      <c r="J27" s="318">
        <f>'1-συμβολαια'!N27</f>
        <v>77.38000000000001</v>
      </c>
      <c r="K27" s="318">
        <f>'2-δικαιώμ'!O27+'5-αντίγρ'!O27</f>
        <v>8.2027000000000001</v>
      </c>
      <c r="L27" s="318">
        <v>5.41</v>
      </c>
      <c r="M27" s="318">
        <f>'1-συμβολαια'!O27</f>
        <v>119.80730000000001</v>
      </c>
      <c r="N27" s="318">
        <f t="shared" si="1"/>
        <v>2.7927</v>
      </c>
      <c r="O27" s="318">
        <f>'8-κ-15-17'!AG27</f>
        <v>0</v>
      </c>
      <c r="P27" s="318">
        <f>'11-χαρτόσ'!L27+'5-αντίγρ'!AM27+'6-μεταγρ'!N27+'6-μεταγρ'!O27+'7-προςΔΟΥ'!K27+'13-ντιΜιΧο'!CB27</f>
        <v>19.799999999999997</v>
      </c>
      <c r="Q27" s="318">
        <f>'13-ντιΜιΧο'!CA27</f>
        <v>570.87</v>
      </c>
      <c r="R27" s="270"/>
      <c r="S27" s="266"/>
      <c r="T27" s="427"/>
    </row>
    <row r="28" spans="1:20" s="5" customFormat="1">
      <c r="A28" s="411">
        <f>'1-συμβολαια'!A28</f>
        <v>0</v>
      </c>
      <c r="B28" s="343" t="str">
        <f>'1-συμβολαια'!C28</f>
        <v>ΧΡΗΣΙΚΤΗΣΙΑ οικοπέδου &amp; οικοδομής = 1935 πατρός ΚΛΗΡΟΝΟΜΙΑ άτυπη</v>
      </c>
      <c r="C28" s="347">
        <f>'1-συμβολαια'!D28</f>
        <v>1111.1099999999999</v>
      </c>
      <c r="D28" s="326"/>
      <c r="E28" s="326"/>
      <c r="F28" s="326"/>
      <c r="G28" s="326"/>
      <c r="H28" s="326"/>
      <c r="I28" s="326"/>
      <c r="J28" s="318">
        <f>'1-συμβολαια'!N28</f>
        <v>0</v>
      </c>
      <c r="K28" s="318">
        <f>'2-δικαιώμ'!O28+'5-αντίγρ'!O28</f>
        <v>3.3236919999999994</v>
      </c>
      <c r="L28" s="318"/>
      <c r="M28" s="318">
        <f>'1-συμβολαια'!O28</f>
        <v>37.195588000000001</v>
      </c>
      <c r="N28" s="318">
        <f t="shared" si="1"/>
        <v>3.3236919999999994</v>
      </c>
      <c r="O28" s="318">
        <f>'8-κ-15-17'!AG28</f>
        <v>8.6111024999999994</v>
      </c>
      <c r="P28" s="318">
        <f>'11-χαρτόσ'!L28+'5-αντίγρ'!AM28+'6-μεταγρ'!N28+'6-μεταγρ'!O28+'7-προςΔΟΥ'!K28+'13-ντιΜιΧο'!CB28</f>
        <v>3</v>
      </c>
      <c r="Q28" s="318">
        <f>'13-ντιΜιΧο'!CA28</f>
        <v>3.23</v>
      </c>
      <c r="R28" s="270"/>
      <c r="S28" s="262"/>
      <c r="T28" s="265"/>
    </row>
    <row r="29" spans="1:20" s="5" customFormat="1">
      <c r="A29" s="411">
        <f>'1-συμβολαια'!A29</f>
        <v>0</v>
      </c>
      <c r="B29" s="343" t="str">
        <f>'1-συμβολαια'!C29</f>
        <v>ΧΡΗΣΙΚΤΗΣΙΑ οικοπέδων 2'-3' = 1992 αδερφού ΚΛΗΡΟΝΟΜΙΑ άτυπη</v>
      </c>
      <c r="C29" s="347">
        <f>'1-συμβολαια'!D29</f>
        <v>1111.1099999999999</v>
      </c>
      <c r="D29" s="326"/>
      <c r="E29" s="326"/>
      <c r="F29" s="326"/>
      <c r="G29" s="326"/>
      <c r="H29" s="326"/>
      <c r="I29" s="326"/>
      <c r="J29" s="318">
        <f>'1-συμβολαια'!N29</f>
        <v>0</v>
      </c>
      <c r="K29" s="318">
        <f>'2-δικαιώμ'!O29+'5-αντίγρ'!O29</f>
        <v>3.3236919999999994</v>
      </c>
      <c r="L29" s="318"/>
      <c r="M29" s="318">
        <f>'1-συμβολαια'!O29</f>
        <v>37.195588000000001</v>
      </c>
      <c r="N29" s="318">
        <f t="shared" si="1"/>
        <v>3.3236919999999994</v>
      </c>
      <c r="O29" s="318">
        <f>'8-κ-15-17'!AG29</f>
        <v>8.6111024999999994</v>
      </c>
      <c r="P29" s="318">
        <f>'11-χαρτόσ'!L29+'5-αντίγρ'!AM29+'6-μεταγρ'!N29+'6-μεταγρ'!O29+'7-προςΔΟΥ'!K29+'13-ντιΜιΧο'!CB29</f>
        <v>3</v>
      </c>
      <c r="Q29" s="318">
        <f>'13-ντιΜιΧο'!CA29</f>
        <v>0</v>
      </c>
      <c r="R29" s="270"/>
      <c r="S29" s="262"/>
      <c r="T29" s="265"/>
    </row>
    <row r="30" spans="1:20" s="5" customFormat="1">
      <c r="A30" s="411">
        <f>'1-συμβολαια'!A30</f>
        <v>0</v>
      </c>
      <c r="B30" s="343" t="str">
        <f>'1-συμβολαια'!C30</f>
        <v>ΧΡΗΣΙΚΤΗΣΙΑ αγροτεμαχίου 9' = 1968 μητρός ΚΛΗΡΟΝΟΜΙΑ άτυπη</v>
      </c>
      <c r="C30" s="347">
        <f>'1-συμβολαια'!D30</f>
        <v>111.11</v>
      </c>
      <c r="D30" s="326"/>
      <c r="E30" s="326"/>
      <c r="F30" s="326"/>
      <c r="G30" s="326"/>
      <c r="H30" s="326"/>
      <c r="I30" s="326"/>
      <c r="J30" s="318">
        <f>'1-συμβολαια'!N30</f>
        <v>0</v>
      </c>
      <c r="K30" s="318">
        <f>'2-δικαιώμ'!O30+'5-αντίγρ'!O30</f>
        <v>1.9063000000000001</v>
      </c>
      <c r="L30" s="318"/>
      <c r="M30" s="318">
        <f>'1-συμβολαια'!O30</f>
        <v>29.163700000000002</v>
      </c>
      <c r="N30" s="318">
        <f t="shared" si="1"/>
        <v>1.9063000000000001</v>
      </c>
      <c r="O30" s="318">
        <f>'8-κ-15-17'!AG30</f>
        <v>0.8611025000000001</v>
      </c>
      <c r="P30" s="318">
        <f>'11-χαρτόσ'!L30+'5-αντίγρ'!AM30+'6-μεταγρ'!N30+'6-μεταγρ'!O30+'7-προςΔΟΥ'!K30+'13-ντιΜιΧο'!CB30</f>
        <v>3</v>
      </c>
      <c r="Q30" s="318">
        <f>'13-ντιΜιΧο'!CA30</f>
        <v>3.23</v>
      </c>
      <c r="R30" s="270"/>
      <c r="S30" s="262"/>
      <c r="T30" s="265"/>
    </row>
    <row r="31" spans="1:20" s="5" customFormat="1">
      <c r="A31" s="411">
        <f>'1-συμβολαια'!A31</f>
        <v>0</v>
      </c>
      <c r="B31" s="343" t="str">
        <f>'1-συμβολαια'!C31</f>
        <v>ΧΡΗΣΙΚΤΗΣΙΑ οικοπέδου 4' = 19?? ΑΓΟΡΑΠΩΛΗΣΙΑ άτυπη</v>
      </c>
      <c r="C31" s="347">
        <f>'1-συμβολαια'!D31</f>
        <v>111.11</v>
      </c>
      <c r="D31" s="326"/>
      <c r="E31" s="326"/>
      <c r="F31" s="326"/>
      <c r="G31" s="326"/>
      <c r="H31" s="326"/>
      <c r="I31" s="326"/>
      <c r="J31" s="318">
        <f>'1-συμβολαια'!N31</f>
        <v>0</v>
      </c>
      <c r="K31" s="318">
        <f>'2-δικαιώμ'!O31+'5-αντίγρ'!O31</f>
        <v>1.9063000000000001</v>
      </c>
      <c r="L31" s="318"/>
      <c r="M31" s="318">
        <f>'1-συμβολαια'!O31</f>
        <v>29.163700000000002</v>
      </c>
      <c r="N31" s="318">
        <f t="shared" si="1"/>
        <v>1.9063000000000001</v>
      </c>
      <c r="O31" s="318">
        <f>'8-κ-15-17'!AG31</f>
        <v>0.8611025000000001</v>
      </c>
      <c r="P31" s="318">
        <f>'11-χαρτόσ'!L31+'5-αντίγρ'!AM31+'6-μεταγρ'!N31+'6-μεταγρ'!O31+'7-προςΔΟΥ'!K31+'13-ντιΜιΧο'!CB31</f>
        <v>3</v>
      </c>
      <c r="Q31" s="318">
        <f>'13-ντιΜιΧο'!CA31</f>
        <v>0</v>
      </c>
      <c r="R31" s="270"/>
      <c r="S31" s="262"/>
      <c r="T31" s="265"/>
    </row>
    <row r="32" spans="1:20" s="5" customFormat="1" ht="12" thickBot="1">
      <c r="A32" s="435">
        <f>'1-συμβολαια'!A32</f>
        <v>0</v>
      </c>
      <c r="B32" s="436" t="str">
        <f>'1-συμβολαια'!C32</f>
        <v>ΧΡΗΣΙΚΤΗΣΙΑ αγροτεμαχίου 8' = 19??? ΑΓΟΡΑΠΩΛΗΣΙΑ άτυπη</v>
      </c>
      <c r="C32" s="437">
        <f>'1-συμβολαια'!D32</f>
        <v>1111.1099999999999</v>
      </c>
      <c r="D32" s="431"/>
      <c r="E32" s="431"/>
      <c r="F32" s="431"/>
      <c r="G32" s="431"/>
      <c r="H32" s="431"/>
      <c r="I32" s="431"/>
      <c r="J32" s="438">
        <f>'1-συμβολαια'!N32</f>
        <v>0</v>
      </c>
      <c r="K32" s="438">
        <f>'2-δικαιώμ'!O32+'5-αντίγρ'!O32</f>
        <v>3.3236919999999994</v>
      </c>
      <c r="L32" s="438"/>
      <c r="M32" s="438">
        <f>'1-συμβολαια'!O32</f>
        <v>37.195588000000001</v>
      </c>
      <c r="N32" s="438">
        <f t="shared" si="1"/>
        <v>3.3236919999999994</v>
      </c>
      <c r="O32" s="438">
        <f>'8-κ-15-17'!AG32</f>
        <v>8.6111024999999994</v>
      </c>
      <c r="P32" s="438">
        <f>'11-χαρτόσ'!L32+'5-αντίγρ'!AM32+'6-μεταγρ'!N32+'6-μεταγρ'!O32+'7-προςΔΟΥ'!K32+'13-ντιΜιΧο'!CB32</f>
        <v>3</v>
      </c>
      <c r="Q32" s="438">
        <f>'13-ντιΜιΧο'!CA32</f>
        <v>0</v>
      </c>
      <c r="R32" s="634"/>
      <c r="S32" s="552"/>
      <c r="T32" s="463"/>
    </row>
    <row r="33" spans="1:24" s="5" customFormat="1">
      <c r="A33" s="432" t="str">
        <f>'1-συμβολαια'!A33</f>
        <v>15ο</v>
      </c>
      <c r="B33" s="433" t="str">
        <f>'1-συμβολαια'!C33</f>
        <v>αγοραπωλησία τίμημα = Δ.Ο.Υ. =</v>
      </c>
      <c r="C33" s="434">
        <f>'1-συμβολαια'!D33</f>
        <v>8237.2199999999993</v>
      </c>
      <c r="D33" s="319"/>
      <c r="E33" s="319"/>
      <c r="F33" s="319"/>
      <c r="G33" s="319"/>
      <c r="H33" s="319"/>
      <c r="I33" s="319"/>
      <c r="J33" s="318">
        <f>'1-συμβολαια'!N33</f>
        <v>136.25</v>
      </c>
      <c r="K33" s="318">
        <f>'2-δικαιώμ'!O33+'5-αντίγρ'!O33</f>
        <v>39.600490000000001</v>
      </c>
      <c r="L33" s="318">
        <v>20.41</v>
      </c>
      <c r="M33" s="318">
        <f>'1-συμβολαια'!O33</f>
        <v>334.80210999999997</v>
      </c>
      <c r="N33" s="318">
        <f t="shared" si="1"/>
        <v>19.19049</v>
      </c>
      <c r="O33" s="318">
        <f>'8-κ-15-17'!AG33</f>
        <v>0</v>
      </c>
      <c r="P33" s="318">
        <f>'11-χαρτόσ'!L33+'5-αντίγρ'!AM33+'6-μεταγρ'!N33+'6-μεταγρ'!O33+'7-προςΔΟΥ'!K33+'13-ντιΜιΧο'!CB33</f>
        <v>22.799999999999997</v>
      </c>
      <c r="Q33" s="318">
        <f>'13-ντιΜιΧο'!CA33</f>
        <v>621.75999999999988</v>
      </c>
      <c r="R33" s="270"/>
      <c r="S33" s="266"/>
      <c r="T33" s="427"/>
    </row>
    <row r="34" spans="1:24" s="5" customFormat="1">
      <c r="A34" s="338" t="str">
        <f>'1-συμβολαια'!A34</f>
        <v>16ο</v>
      </c>
      <c r="B34" s="343" t="str">
        <f>'1-συμβολαια'!C34</f>
        <v>πληρεξούσιο</v>
      </c>
      <c r="C34" s="347">
        <f>'1-συμβολαια'!D34</f>
        <v>0</v>
      </c>
      <c r="D34" s="326"/>
      <c r="E34" s="326"/>
      <c r="F34" s="326"/>
      <c r="G34" s="326"/>
      <c r="H34" s="326"/>
      <c r="I34" s="326"/>
      <c r="J34" s="318">
        <f>'1-συμβολαια'!N34</f>
        <v>23.09</v>
      </c>
      <c r="K34" s="318">
        <f>'2-δικαιώμ'!O34+'5-αντίγρ'!O34</f>
        <v>2.0339</v>
      </c>
      <c r="L34" s="318">
        <v>2.0299999999999998</v>
      </c>
      <c r="M34" s="318">
        <f>'1-συμβολαια'!O34</f>
        <v>19.196099999999998</v>
      </c>
      <c r="N34" s="318">
        <f t="shared" si="1"/>
        <v>3.9000000000002366E-3</v>
      </c>
      <c r="O34" s="318">
        <f>'8-κ-15-17'!AG34</f>
        <v>0</v>
      </c>
      <c r="P34" s="318">
        <f>'11-χαρτόσ'!L34+'5-αντίγρ'!AM34+'6-μεταγρ'!N34+'6-μεταγρ'!O34+'7-προςΔΟΥ'!K34+'13-ντιΜιΧο'!CB34</f>
        <v>0.5</v>
      </c>
      <c r="Q34" s="318">
        <f>'13-ντιΜιΧο'!CA34</f>
        <v>0.6</v>
      </c>
      <c r="R34" s="270"/>
      <c r="S34" s="262"/>
      <c r="T34" s="265"/>
    </row>
    <row r="35" spans="1:24" s="5" customFormat="1" ht="12" thickBot="1">
      <c r="A35" s="476" t="str">
        <f>'1-συμβολαια'!A35</f>
        <v>17ο</v>
      </c>
      <c r="B35" s="436" t="str">
        <f>'1-συμβολαια'!C35</f>
        <v>πληρεξούσιο</v>
      </c>
      <c r="C35" s="437">
        <f>'1-συμβολαια'!D35</f>
        <v>0</v>
      </c>
      <c r="D35" s="431"/>
      <c r="E35" s="431"/>
      <c r="F35" s="431"/>
      <c r="G35" s="431"/>
      <c r="H35" s="431"/>
      <c r="I35" s="431"/>
      <c r="J35" s="438">
        <f>'1-συμβολαια'!N35</f>
        <v>23.09</v>
      </c>
      <c r="K35" s="438">
        <f>'2-δικαιώμ'!O35+'5-αντίγρ'!O35</f>
        <v>2.0339</v>
      </c>
      <c r="L35" s="438">
        <v>2.0299999999999998</v>
      </c>
      <c r="M35" s="438">
        <f>'1-συμβολαια'!O35</f>
        <v>19.196099999999998</v>
      </c>
      <c r="N35" s="438">
        <f t="shared" si="1"/>
        <v>3.9000000000002366E-3</v>
      </c>
      <c r="O35" s="438">
        <f>'8-κ-15-17'!AG35</f>
        <v>0</v>
      </c>
      <c r="P35" s="438">
        <f>'11-χαρτόσ'!L35+'5-αντίγρ'!AM35+'6-μεταγρ'!N35+'6-μεταγρ'!O35+'7-προςΔΟΥ'!K35+'13-ντιΜιΧο'!CB35</f>
        <v>0.5</v>
      </c>
      <c r="Q35" s="438">
        <f>'13-ντιΜιΧο'!CA35</f>
        <v>0.6</v>
      </c>
      <c r="R35" s="634"/>
      <c r="S35" s="552"/>
      <c r="T35" s="463"/>
    </row>
    <row r="36" spans="1:24" s="5" customFormat="1">
      <c r="A36" s="479" t="str">
        <f>'1-συμβολαια'!A36</f>
        <v>18ο</v>
      </c>
      <c r="B36" s="433" t="str">
        <f>'1-συμβολαια'!C36</f>
        <v>αποδοχή κληρονομιάς</v>
      </c>
      <c r="C36" s="434">
        <f>'1-συμβολαια'!D36</f>
        <v>0</v>
      </c>
      <c r="D36" s="319"/>
      <c r="E36" s="319"/>
      <c r="F36" s="319"/>
      <c r="G36" s="319"/>
      <c r="H36" s="319"/>
      <c r="I36" s="319"/>
      <c r="J36" s="318">
        <f>'1-συμβολαια'!N36</f>
        <v>91.28</v>
      </c>
      <c r="K36" s="318">
        <f>'2-δικαιώμ'!O36+'5-αντίγρ'!O36</f>
        <v>10.3345</v>
      </c>
      <c r="L36" s="318">
        <v>10.33</v>
      </c>
      <c r="M36" s="318">
        <f>'1-συμβολαια'!O36</f>
        <v>134.13550000000001</v>
      </c>
      <c r="N36" s="318">
        <f t="shared" si="1"/>
        <v>4.5000000000001705E-3</v>
      </c>
      <c r="O36" s="318">
        <f>'8-κ-15-17'!AG36</f>
        <v>0</v>
      </c>
      <c r="P36" s="318">
        <f>'11-χαρτόσ'!L36+'5-αντίγρ'!AM36+'6-μεταγρ'!N36+'6-μεταγρ'!O36+'7-προςΔΟΥ'!K36+'13-ντιΜιΧο'!CB36</f>
        <v>20.299999999999997</v>
      </c>
      <c r="Q36" s="318">
        <f>'13-ντιΜιΧο'!CA36</f>
        <v>572.6</v>
      </c>
      <c r="R36" s="270"/>
      <c r="S36" s="266"/>
      <c r="T36" s="427"/>
    </row>
    <row r="37" spans="1:24" s="5" customFormat="1">
      <c r="A37" s="411">
        <f>'1-συμβολαια'!A37</f>
        <v>0</v>
      </c>
      <c r="B37" s="343" t="str">
        <f>'1-συμβολαια'!C37</f>
        <v>ΧΡΗΣΙΚΤΗΣΙΑ  αγροτεμαχίου -1 = αναδασμός ΑΛΛΑ πριν ΑΓΟΡΑΠΩΛΗΣΙΑ άτυπος από ;;;??? το 19???</v>
      </c>
      <c r="C37" s="347">
        <f>'1-συμβολαια'!D37</f>
        <v>3333.33</v>
      </c>
      <c r="D37" s="326"/>
      <c r="E37" s="326"/>
      <c r="F37" s="326"/>
      <c r="G37" s="326"/>
      <c r="H37" s="326"/>
      <c r="I37" s="326"/>
      <c r="J37" s="318">
        <f>'1-συμβολαια'!N37</f>
        <v>0</v>
      </c>
      <c r="K37" s="318">
        <f>'2-δικαιώμ'!O37+'5-αντίγρ'!O37</f>
        <v>7.3236879999999998</v>
      </c>
      <c r="L37" s="318"/>
      <c r="M37" s="318">
        <f>'1-συμβολαια'!O37</f>
        <v>60.462232</v>
      </c>
      <c r="N37" s="318">
        <f t="shared" si="1"/>
        <v>7.3236879999999998</v>
      </c>
      <c r="O37" s="318">
        <f>'8-κ-15-17'!AG37</f>
        <v>25.833307500000004</v>
      </c>
      <c r="P37" s="318">
        <f>'11-χαρτόσ'!L37+'5-αντίγρ'!AM37+'6-μεταγρ'!N37+'6-μεταγρ'!O37+'7-προςΔΟΥ'!K37+'13-ντιΜιΧο'!CB37</f>
        <v>3</v>
      </c>
      <c r="Q37" s="318">
        <f>'13-ντιΜιΧο'!CA37</f>
        <v>64.31</v>
      </c>
      <c r="R37" s="270"/>
      <c r="S37" s="262"/>
      <c r="T37" s="265"/>
    </row>
    <row r="38" spans="1:24" s="5" customFormat="1">
      <c r="A38" s="411">
        <f>'1-συμβολαια'!A38</f>
        <v>0</v>
      </c>
      <c r="B38" s="343" t="str">
        <f>'1-συμβολαια'!C38</f>
        <v>ΧΡΗΣΙΚΤΗΣΙΑ  οικοπέδου -2 = 19?? ως αγροτεμάχιο με ΑΝΑΔΑΣΜΟ</v>
      </c>
      <c r="C38" s="347">
        <f>'1-συμβολαια'!D38</f>
        <v>33333.33</v>
      </c>
      <c r="D38" s="326"/>
      <c r="E38" s="326"/>
      <c r="F38" s="326"/>
      <c r="G38" s="326"/>
      <c r="H38" s="326"/>
      <c r="I38" s="326"/>
      <c r="J38" s="318">
        <f>'1-συμβολαια'!N38</f>
        <v>0</v>
      </c>
      <c r="K38" s="318">
        <f>'2-δικαιώμ'!O38+'5-αντίγρ'!O38</f>
        <v>61.323688000000018</v>
      </c>
      <c r="L38" s="318"/>
      <c r="M38" s="318">
        <f>'1-συμβολαια'!O38</f>
        <v>366.46223200000009</v>
      </c>
      <c r="N38" s="318">
        <f t="shared" si="1"/>
        <v>61.323688000000018</v>
      </c>
      <c r="O38" s="318">
        <f>'8-κ-15-17'!AG38</f>
        <v>258.33330750000005</v>
      </c>
      <c r="P38" s="318">
        <f>'11-χαρτόσ'!L38+'5-αντίγρ'!AM38+'6-μεταγρ'!N38+'6-μεταγρ'!O38+'7-προςΔΟΥ'!K38+'13-ντιΜιΧο'!CB38</f>
        <v>3</v>
      </c>
      <c r="Q38" s="318">
        <f>'13-ντιΜιΧο'!CA38</f>
        <v>114.22999999999999</v>
      </c>
      <c r="R38" s="270"/>
      <c r="S38" s="262"/>
      <c r="T38" s="265"/>
    </row>
    <row r="39" spans="1:24" s="5" customFormat="1" ht="12" thickBot="1">
      <c r="A39" s="435">
        <f>'1-συμβολαια'!A39</f>
        <v>0</v>
      </c>
      <c r="B39" s="436" t="str">
        <f>'1-συμβολαια'!C39</f>
        <v>ΧΡΗΣΙΚΤΗΣΙΑ  οικοπέδου -4 = 19?? ;;;???</v>
      </c>
      <c r="C39" s="437">
        <f>'1-συμβολαια'!D39</f>
        <v>11111.11</v>
      </c>
      <c r="D39" s="431"/>
      <c r="E39" s="431"/>
      <c r="F39" s="431"/>
      <c r="G39" s="431"/>
      <c r="H39" s="431"/>
      <c r="I39" s="431"/>
      <c r="J39" s="438">
        <f>'1-συμβολαια'!N39</f>
        <v>0</v>
      </c>
      <c r="K39" s="438">
        <f>'2-δικαιώμ'!O39+'5-αντίγρ'!O39</f>
        <v>21.323692000000001</v>
      </c>
      <c r="L39" s="438"/>
      <c r="M39" s="438">
        <f>'1-συμβολαια'!O39</f>
        <v>139.79558800000004</v>
      </c>
      <c r="N39" s="438">
        <f t="shared" si="1"/>
        <v>21.323692000000001</v>
      </c>
      <c r="O39" s="438">
        <f>'8-κ-15-17'!AG39</f>
        <v>86.111102500000001</v>
      </c>
      <c r="P39" s="438">
        <f>'11-χαρτόσ'!L39+'5-αντίγρ'!AM39+'6-μεταγρ'!N39+'6-μεταγρ'!O39+'7-προςΔΟΥ'!K39+'13-ντιΜιΧο'!CB39</f>
        <v>3</v>
      </c>
      <c r="Q39" s="438">
        <f>'13-ντιΜιΧο'!CA39</f>
        <v>114.22999999999999</v>
      </c>
      <c r="R39" s="634"/>
      <c r="S39" s="552"/>
      <c r="T39" s="463"/>
    </row>
    <row r="40" spans="1:24" s="5" customFormat="1" ht="12" thickBot="1">
      <c r="A40" s="532" t="str">
        <f>'1-συμβολαια'!A40</f>
        <v>19ο</v>
      </c>
      <c r="B40" s="621" t="str">
        <f>'1-συμβολαια'!C40</f>
        <v>*γονική ΨΙΛΗΣ ΚΥΡΙΟΤΗΤΑΣ</v>
      </c>
      <c r="C40" s="639">
        <f>'1-συμβολαια'!D40</f>
        <v>18629.93</v>
      </c>
      <c r="D40" s="511"/>
      <c r="E40" s="511"/>
      <c r="F40" s="511"/>
      <c r="G40" s="511"/>
      <c r="H40" s="511"/>
      <c r="I40" s="511"/>
      <c r="J40" s="510">
        <f>'1-συμβολαια'!N40</f>
        <v>236.9</v>
      </c>
      <c r="K40" s="510">
        <f>'2-δικαιώμ'!O40+'5-αντίγρ'!O40</f>
        <v>38.410568000000005</v>
      </c>
      <c r="L40" s="510">
        <v>38.409999999999997</v>
      </c>
      <c r="M40" s="510">
        <f>'1-συμβολαια'!O40</f>
        <v>18.024552</v>
      </c>
      <c r="N40" s="510">
        <f t="shared" si="1"/>
        <v>5.6800000000833961E-4</v>
      </c>
      <c r="O40" s="510">
        <f>'8-κ-15-17'!AG40</f>
        <v>1.957500000003165E-3</v>
      </c>
      <c r="P40" s="510">
        <f>'11-χαρτόσ'!L40+'5-αντίγρ'!AM40+'6-μεταγρ'!N40+'6-μεταγρ'!O40+'7-προςΔΟΥ'!K40+'13-ντιΜιΧο'!CB40</f>
        <v>22.799999999999997</v>
      </c>
      <c r="Q40" s="510">
        <f>'13-ντιΜιΧο'!CA40</f>
        <v>330.38999999999993</v>
      </c>
      <c r="R40" s="640"/>
      <c r="S40" s="641"/>
      <c r="T40" s="513"/>
    </row>
    <row r="41" spans="1:24" s="5" customFormat="1" ht="12" thickBot="1">
      <c r="A41" s="642" t="str">
        <f>'1-συμβολαια'!A41</f>
        <v>20ο</v>
      </c>
      <c r="B41" s="643" t="str">
        <f>'1-συμβολαια'!C41</f>
        <v>δωρεά</v>
      </c>
      <c r="C41" s="644">
        <f>'1-συμβολαια'!D41</f>
        <v>26827.1</v>
      </c>
      <c r="D41" s="568"/>
      <c r="E41" s="568"/>
      <c r="F41" s="568"/>
      <c r="G41" s="568"/>
      <c r="H41" s="568"/>
      <c r="I41" s="568"/>
      <c r="J41" s="645">
        <f>'1-συμβολαια'!N41</f>
        <v>329.90000000000003</v>
      </c>
      <c r="K41" s="645">
        <f>'2-δικαιώμ'!O41+'5-αντίγρ'!O41</f>
        <v>53.165474000000003</v>
      </c>
      <c r="L41" s="645">
        <v>53.17</v>
      </c>
      <c r="M41" s="645">
        <f>'1-συμβολαια'!O41</f>
        <v>23.285685999999941</v>
      </c>
      <c r="N41" s="645">
        <f t="shared" si="1"/>
        <v>-4.5259999999984757E-3</v>
      </c>
      <c r="O41" s="645">
        <f>'8-κ-15-17'!AG41</f>
        <v>2.4999999993724487E-5</v>
      </c>
      <c r="P41" s="645">
        <f>'11-χαρτόσ'!L41+'5-αντίγρ'!AM41+'6-μεταγρ'!N41+'6-μεταγρ'!O41+'7-προςΔΟΥ'!K41+'13-ντιΜιΧο'!CB41</f>
        <v>22.8</v>
      </c>
      <c r="Q41" s="645">
        <f>'13-ντιΜιΧο'!CA41</f>
        <v>310.13999999999993</v>
      </c>
      <c r="R41" s="646"/>
      <c r="S41" s="571"/>
      <c r="T41" s="647"/>
    </row>
    <row r="42" spans="1:24" s="5" customFormat="1" ht="12" thickBot="1">
      <c r="A42" s="638">
        <f>'1-συμβολαια'!A42</f>
        <v>0</v>
      </c>
      <c r="B42" s="621" t="str">
        <f>'1-συμβολαια'!C42</f>
        <v>χρησικτησία 1/2 οικοπέδου &amp; οικίας = συζυγου 1972 ΔΩΡΕΑ άτυπος</v>
      </c>
      <c r="C42" s="639">
        <f>'1-συμβολαια'!D42</f>
        <v>11206.2</v>
      </c>
      <c r="D42" s="511"/>
      <c r="E42" s="511"/>
      <c r="F42" s="511"/>
      <c r="G42" s="511"/>
      <c r="H42" s="511"/>
      <c r="I42" s="511"/>
      <c r="J42" s="510">
        <f>'1-συμβολαια'!N42</f>
        <v>0</v>
      </c>
      <c r="K42" s="510">
        <f>'2-δικαιώμ'!O42+'5-αντίγρ'!O42</f>
        <v>21.494854</v>
      </c>
      <c r="L42" s="510"/>
      <c r="M42" s="510">
        <f>'1-συμβολαια'!O42</f>
        <v>140.76550600000002</v>
      </c>
      <c r="N42" s="510">
        <f t="shared" si="1"/>
        <v>21.494854</v>
      </c>
      <c r="O42" s="510">
        <f>'8-κ-15-17'!AG42</f>
        <v>86.848050000000015</v>
      </c>
      <c r="P42" s="510">
        <f>'11-χαρτόσ'!L42+'5-αντίγρ'!AM42+'6-μεταγρ'!N42+'6-μεταγρ'!O42+'7-προςΔΟΥ'!K42+'13-ντιΜιΧο'!CB42</f>
        <v>3</v>
      </c>
      <c r="Q42" s="510">
        <f>'13-ντιΜιΧο'!CA42</f>
        <v>211.68999999999997</v>
      </c>
      <c r="R42" s="640"/>
      <c r="S42" s="641"/>
      <c r="T42" s="513"/>
    </row>
    <row r="43" spans="1:24">
      <c r="A43" s="879" t="s">
        <v>56</v>
      </c>
      <c r="B43" s="879"/>
      <c r="C43" s="879"/>
      <c r="D43" s="635">
        <f t="shared" ref="D43:T43" si="2">SUM(D3:D42)</f>
        <v>0</v>
      </c>
      <c r="E43" s="635">
        <f t="shared" si="2"/>
        <v>0</v>
      </c>
      <c r="F43" s="635">
        <f t="shared" si="2"/>
        <v>0</v>
      </c>
      <c r="G43" s="635">
        <f t="shared" si="2"/>
        <v>0</v>
      </c>
      <c r="H43" s="635">
        <f t="shared" si="2"/>
        <v>0</v>
      </c>
      <c r="I43" s="635">
        <f t="shared" si="2"/>
        <v>0</v>
      </c>
      <c r="J43" s="635">
        <f t="shared" si="2"/>
        <v>1227.4100000000001</v>
      </c>
      <c r="K43" s="635">
        <f t="shared" si="2"/>
        <v>374.43793399999998</v>
      </c>
      <c r="L43" s="635">
        <f t="shared" si="2"/>
        <v>153.43</v>
      </c>
      <c r="M43" s="635">
        <f t="shared" si="2"/>
        <v>2726.8816260000008</v>
      </c>
      <c r="N43" s="635">
        <f t="shared" si="2"/>
        <v>221.00793400000003</v>
      </c>
      <c r="O43" s="635">
        <f t="shared" si="2"/>
        <v>594.90531250000004</v>
      </c>
      <c r="P43" s="635">
        <f t="shared" si="2"/>
        <v>275.70000000000005</v>
      </c>
      <c r="Q43" s="635">
        <f t="shared" si="2"/>
        <v>6019.9100000000008</v>
      </c>
      <c r="R43" s="636">
        <f t="shared" si="2"/>
        <v>0</v>
      </c>
      <c r="S43" s="636">
        <f t="shared" si="2"/>
        <v>0</v>
      </c>
      <c r="T43" s="637">
        <f t="shared" si="2"/>
        <v>0</v>
      </c>
    </row>
    <row r="45" spans="1:24" ht="15.75" customHeight="1">
      <c r="L45" s="63"/>
      <c r="R45" s="2"/>
      <c r="S45" s="2"/>
    </row>
    <row r="46" spans="1:24">
      <c r="S46" s="82"/>
      <c r="T46" s="82"/>
      <c r="U46" s="82"/>
      <c r="V46" s="82"/>
      <c r="W46" s="82"/>
      <c r="X46" s="82"/>
    </row>
    <row r="47" spans="1:24">
      <c r="S47" s="82"/>
      <c r="T47" s="82"/>
      <c r="U47" s="82"/>
      <c r="V47" s="82"/>
      <c r="W47" s="82"/>
      <c r="X47" s="82"/>
    </row>
    <row r="48" spans="1:24" s="5" customFormat="1">
      <c r="A48" s="58"/>
      <c r="B48" s="108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82"/>
      <c r="S48" s="82"/>
      <c r="T48" s="82"/>
      <c r="U48" s="82"/>
      <c r="V48" s="82"/>
      <c r="W48" s="82"/>
      <c r="X48" s="82"/>
    </row>
    <row r="49" spans="11:11">
      <c r="K49" s="4"/>
    </row>
  </sheetData>
  <mergeCells count="12">
    <mergeCell ref="D1:E1"/>
    <mergeCell ref="F1:G1"/>
    <mergeCell ref="H1:I1"/>
    <mergeCell ref="A43:C43"/>
    <mergeCell ref="A1:A2"/>
    <mergeCell ref="B1:B2"/>
    <mergeCell ref="C1:C2"/>
    <mergeCell ref="R1:T1"/>
    <mergeCell ref="M1:Q1"/>
    <mergeCell ref="J1:J2"/>
    <mergeCell ref="K1:L1"/>
    <mergeCell ref="R2:T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57"/>
  <sheetViews>
    <sheetView workbookViewId="0">
      <pane ySplit="2" topLeftCell="A3" activePane="bottomLeft" state="frozen"/>
      <selection pane="bottomLeft" activeCell="A47" sqref="A4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87" t="s">
        <v>75</v>
      </c>
      <c r="B1" s="887"/>
      <c r="C1" s="887"/>
      <c r="D1" s="887"/>
      <c r="E1" s="887"/>
      <c r="F1" s="887"/>
      <c r="G1" s="887"/>
      <c r="H1" s="887"/>
      <c r="I1" s="887"/>
      <c r="J1" s="887"/>
      <c r="K1" s="887"/>
      <c r="L1" s="887"/>
      <c r="M1" s="887"/>
      <c r="N1" s="887"/>
      <c r="O1" s="887"/>
      <c r="P1" s="887"/>
      <c r="Q1" s="887"/>
    </row>
    <row r="2" spans="1:17" s="9" customFormat="1" ht="23.25" customHeight="1" thickBot="1">
      <c r="A2" s="238" t="s">
        <v>19</v>
      </c>
      <c r="B2" s="888" t="s">
        <v>29</v>
      </c>
      <c r="C2" s="889"/>
      <c r="D2" s="890"/>
      <c r="E2" s="891" t="s">
        <v>83</v>
      </c>
      <c r="F2" s="892"/>
      <c r="G2" s="892"/>
      <c r="H2" s="893"/>
      <c r="I2" s="894" t="s">
        <v>83</v>
      </c>
      <c r="J2" s="895"/>
      <c r="K2" s="895"/>
      <c r="L2" s="896"/>
      <c r="M2" s="239" t="s">
        <v>38</v>
      </c>
      <c r="N2" s="239" t="s">
        <v>39</v>
      </c>
      <c r="O2" s="239" t="s">
        <v>40</v>
      </c>
      <c r="P2" s="239" t="s">
        <v>41</v>
      </c>
      <c r="Q2" s="239" t="s">
        <v>42</v>
      </c>
    </row>
    <row r="3" spans="1:17" s="17" customFormat="1">
      <c r="A3" s="29" t="str">
        <f>'1-συμβολαια'!A3</f>
        <v>10ο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11ο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>
        <f>'1-συμβολαια'!A12</f>
        <v>0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>
        <f>'1-συμβολαια'!A13</f>
        <v>0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>
        <f>'1-συμβολαια'!A14</f>
        <v>0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 t="str">
        <f>'1-συμβολαια'!A15</f>
        <v>12ο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>
      <c r="A17" s="29">
        <f>'1-συμβολαια'!A17</f>
        <v>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>
      <c r="A18" s="29">
        <f>'1-συμβολαια'!A18</f>
        <v>0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>
      <c r="A19" s="29">
        <f>'1-συμβολαια'!A19</f>
        <v>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>
      <c r="A20" s="29">
        <f>'1-συμβολαια'!A20</f>
        <v>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>
      <c r="A21" s="29" t="str">
        <f>'1-συμβολαια'!A21</f>
        <v>13ο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>
      <c r="A22" s="29">
        <f>'1-συμβολαια'!A22</f>
        <v>0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>
      <c r="A23" s="29">
        <f>'1-συμβολαια'!A23</f>
        <v>0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>
      <c r="A24" s="29">
        <f>'1-συμβολαια'!A24</f>
        <v>0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>
      <c r="A25" s="29">
        <f>'1-συμβολαια'!A25</f>
        <v>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>
      <c r="A26" s="29">
        <f>'1-συμβολαια'!A26</f>
        <v>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>
      <c r="A27" s="29" t="str">
        <f>'1-συμβολαια'!A27</f>
        <v>14ο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>
      <c r="A28" s="29">
        <f>'1-συμβολαια'!A28</f>
        <v>0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>
      <c r="A29" s="29">
        <f>'1-συμβολαια'!A29</f>
        <v>0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>
      <c r="A30" s="29">
        <f>'1-συμβολαια'!A30</f>
        <v>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>
      <c r="A31" s="29">
        <f>'1-συμβολαια'!A31</f>
        <v>0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>
      <c r="A32" s="29">
        <f>'1-συμβολαια'!A32</f>
        <v>0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>
      <c r="A33" s="29" t="str">
        <f>'1-συμβολαια'!A33</f>
        <v>15ο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>
      <c r="A34" s="29" t="str">
        <f>'1-συμβολαια'!A34</f>
        <v>16ο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>
      <c r="A35" s="29" t="str">
        <f>'1-συμβολαια'!A35</f>
        <v>17ο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>
      <c r="A36" s="29" t="str">
        <f>'1-συμβολαια'!A36</f>
        <v>18ο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>
      <c r="A37" s="29">
        <f>'1-συμβολαια'!A37</f>
        <v>0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>
      <c r="A38" s="29">
        <f>'1-συμβολαια'!A38</f>
        <v>0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>
      <c r="A39" s="29">
        <f>'1-συμβολαια'!A39</f>
        <v>0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>
      <c r="A40" s="29" t="str">
        <f>'1-συμβολαια'!A40</f>
        <v>19ο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>
      <c r="A41" s="29" t="str">
        <f>'1-συμβολαια'!A41</f>
        <v>20ο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>
      <c r="A42" s="29">
        <f>'1-συμβολαια'!A42</f>
        <v>0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4" spans="1:17" ht="15.75" customHeight="1">
      <c r="B44" s="885" t="s">
        <v>103</v>
      </c>
      <c r="C44" s="885"/>
      <c r="D44" s="885"/>
      <c r="E44" s="885"/>
      <c r="F44" s="885"/>
      <c r="G44" s="885"/>
      <c r="H44" s="885"/>
      <c r="I44" s="885"/>
      <c r="J44" s="885"/>
      <c r="K44" s="885"/>
      <c r="L44" s="3"/>
      <c r="M44" s="3"/>
      <c r="N44" s="3"/>
      <c r="O44" s="3"/>
      <c r="P44" s="3"/>
      <c r="Q44" s="3"/>
    </row>
    <row r="45" spans="1:17" ht="15.75" customHeight="1">
      <c r="C45" s="886" t="s">
        <v>104</v>
      </c>
      <c r="D45" s="886"/>
      <c r="E45" s="886"/>
      <c r="F45" s="886"/>
      <c r="G45" s="886"/>
      <c r="H45" s="886"/>
      <c r="I45" s="886"/>
      <c r="J45" s="886"/>
      <c r="K45" s="886"/>
      <c r="L45" s="3"/>
      <c r="M45" s="3"/>
      <c r="N45" s="3"/>
      <c r="O45" s="3"/>
      <c r="P45" s="3"/>
      <c r="Q45" s="3"/>
    </row>
    <row r="46" spans="1:17" ht="15.75" customHeight="1">
      <c r="D46" s="885" t="s">
        <v>284</v>
      </c>
      <c r="E46" s="885"/>
      <c r="F46" s="885"/>
      <c r="G46" s="885"/>
      <c r="H46" s="885"/>
      <c r="I46" s="885"/>
      <c r="J46" s="885"/>
      <c r="K46" s="885"/>
      <c r="L46" s="885"/>
      <c r="M46" s="885"/>
      <c r="N46" s="885"/>
      <c r="O46" s="885"/>
      <c r="P46" s="3"/>
      <c r="Q46" s="3"/>
    </row>
    <row r="47" spans="1:17" s="5" customFormat="1" ht="15.75" customHeight="1">
      <c r="A47" s="58"/>
      <c r="B47" s="236"/>
      <c r="C47" s="236"/>
      <c r="D47" s="237"/>
      <c r="E47" s="886" t="s">
        <v>424</v>
      </c>
      <c r="F47" s="886"/>
      <c r="G47" s="886"/>
      <c r="H47" s="886"/>
      <c r="I47" s="886"/>
      <c r="J47" s="886"/>
      <c r="K47" s="886"/>
      <c r="L47" s="886"/>
      <c r="M47" s="886"/>
      <c r="N47" s="3"/>
      <c r="O47" s="3"/>
      <c r="P47" s="3"/>
      <c r="Q47" s="3"/>
    </row>
    <row r="48" spans="1:17" s="5" customFormat="1" ht="15.75" customHeight="1">
      <c r="A48" s="58"/>
      <c r="B48" s="236"/>
      <c r="C48" s="236"/>
      <c r="D48" s="237"/>
      <c r="E48" s="6"/>
      <c r="F48" s="885" t="s">
        <v>126</v>
      </c>
      <c r="G48" s="885"/>
      <c r="H48" s="885"/>
      <c r="I48" s="885"/>
      <c r="J48" s="885"/>
      <c r="K48" s="885"/>
      <c r="L48" s="885"/>
      <c r="M48" s="885"/>
      <c r="N48" s="885"/>
      <c r="O48" s="885"/>
      <c r="P48" s="885"/>
      <c r="Q48" s="3"/>
    </row>
    <row r="49" spans="1:23" s="5" customFormat="1" ht="15.75" customHeight="1">
      <c r="A49" s="58"/>
      <c r="B49" s="236"/>
      <c r="C49" s="236"/>
      <c r="D49" s="237"/>
      <c r="E49" s="6"/>
      <c r="F49" s="6"/>
      <c r="G49" s="886" t="s">
        <v>425</v>
      </c>
      <c r="H49" s="886"/>
      <c r="I49" s="886"/>
      <c r="J49" s="886"/>
      <c r="K49" s="886"/>
      <c r="L49" s="886"/>
      <c r="M49" s="886"/>
      <c r="N49" s="886"/>
      <c r="O49" s="886"/>
      <c r="P49" s="886"/>
      <c r="Q49" s="886"/>
    </row>
    <row r="50" spans="1:23" s="5" customFormat="1" ht="15.75" customHeight="1">
      <c r="A50" s="58"/>
      <c r="B50" s="236"/>
      <c r="C50" s="236"/>
      <c r="D50" s="237"/>
      <c r="E50" s="6"/>
      <c r="F50" s="6"/>
      <c r="G50" s="230"/>
      <c r="H50" s="885" t="s">
        <v>105</v>
      </c>
      <c r="I50" s="885"/>
      <c r="J50" s="885"/>
      <c r="K50" s="885"/>
      <c r="L50" s="885"/>
      <c r="M50" s="885"/>
      <c r="N50" s="885"/>
      <c r="O50" s="3"/>
      <c r="P50" s="3"/>
      <c r="Q50" s="3"/>
      <c r="R50" s="3"/>
      <c r="S50" s="3"/>
      <c r="T50" s="3"/>
      <c r="U50" s="3"/>
      <c r="V50" s="3"/>
      <c r="W50" s="3"/>
    </row>
    <row r="51" spans="1:23" s="5" customFormat="1" ht="15.75" customHeight="1">
      <c r="A51" s="58"/>
      <c r="B51" s="236"/>
      <c r="C51" s="236"/>
      <c r="D51" s="237"/>
      <c r="E51" s="6"/>
      <c r="F51" s="6"/>
      <c r="G51" s="230"/>
      <c r="H51" s="6"/>
      <c r="I51" s="886" t="s">
        <v>106</v>
      </c>
      <c r="J51" s="886"/>
      <c r="K51" s="886"/>
      <c r="L51" s="886"/>
      <c r="M51" s="886"/>
      <c r="N51" s="886"/>
      <c r="O51" s="886"/>
      <c r="P51" s="886"/>
      <c r="Q51" s="886"/>
      <c r="R51" s="886"/>
      <c r="S51" s="3"/>
      <c r="T51" s="3"/>
      <c r="U51" s="3"/>
      <c r="V51" s="3"/>
      <c r="W51" s="3"/>
    </row>
    <row r="52" spans="1:23" s="5" customFormat="1" ht="15.75" customHeight="1">
      <c r="A52" s="58"/>
      <c r="B52" s="236"/>
      <c r="C52" s="236"/>
      <c r="D52" s="237"/>
      <c r="E52" s="6"/>
      <c r="F52" s="6"/>
      <c r="G52" s="230"/>
      <c r="H52" s="6"/>
      <c r="I52" s="6"/>
      <c r="J52" s="885" t="s">
        <v>107</v>
      </c>
      <c r="K52" s="885"/>
      <c r="L52" s="885"/>
      <c r="M52" s="885"/>
      <c r="N52" s="885"/>
      <c r="O52" s="885"/>
      <c r="P52" s="885"/>
      <c r="Q52" s="885"/>
      <c r="R52" s="3"/>
      <c r="S52" s="3"/>
      <c r="T52" s="3"/>
      <c r="U52" s="3"/>
      <c r="V52" s="3"/>
      <c r="W52" s="3"/>
    </row>
    <row r="53" spans="1:23" s="5" customFormat="1" ht="15.75" customHeight="1">
      <c r="A53" s="58"/>
      <c r="B53" s="236"/>
      <c r="C53" s="236"/>
      <c r="D53" s="237"/>
      <c r="E53" s="6"/>
      <c r="F53" s="6"/>
      <c r="G53" s="230"/>
      <c r="H53" s="6"/>
      <c r="I53" s="6"/>
      <c r="J53" s="6"/>
      <c r="K53" s="897" t="s">
        <v>127</v>
      </c>
      <c r="L53" s="897"/>
      <c r="M53" s="897"/>
      <c r="N53" s="897"/>
      <c r="O53" s="897"/>
      <c r="P53" s="897"/>
      <c r="Q53" s="897"/>
      <c r="R53" s="897"/>
      <c r="S53" s="897"/>
      <c r="T53" s="897"/>
      <c r="U53" s="897"/>
      <c r="V53" s="3"/>
      <c r="W53" s="3"/>
    </row>
    <row r="54" spans="1:23" s="5" customFormat="1" ht="15.75" customHeight="1">
      <c r="A54" s="58"/>
      <c r="B54" s="236"/>
      <c r="C54" s="236"/>
      <c r="D54" s="237"/>
      <c r="E54" s="6"/>
      <c r="F54" s="6"/>
      <c r="G54" s="230"/>
      <c r="H54" s="6"/>
      <c r="I54" s="6"/>
      <c r="J54" s="6"/>
      <c r="K54" s="6"/>
      <c r="L54" s="885" t="s">
        <v>108</v>
      </c>
      <c r="M54" s="885"/>
      <c r="N54" s="885"/>
      <c r="O54" s="885"/>
      <c r="P54" s="885"/>
      <c r="Q54" s="885"/>
      <c r="R54" s="885"/>
      <c r="S54" s="885"/>
      <c r="T54" s="3"/>
      <c r="U54" s="3"/>
      <c r="V54" s="3"/>
      <c r="W54" s="3"/>
    </row>
    <row r="55" spans="1:23" s="5" customFormat="1" ht="15.75" customHeight="1">
      <c r="A55" s="58"/>
      <c r="B55" s="236"/>
      <c r="C55" s="236"/>
      <c r="D55" s="237"/>
      <c r="E55" s="6"/>
      <c r="F55" s="6"/>
      <c r="G55" s="230"/>
      <c r="H55" s="6"/>
      <c r="I55" s="6"/>
      <c r="J55" s="6"/>
      <c r="K55" s="6"/>
      <c r="L55" s="3"/>
      <c r="M55" s="886" t="s">
        <v>109</v>
      </c>
      <c r="N55" s="886"/>
      <c r="O55" s="886"/>
      <c r="P55" s="886"/>
      <c r="Q55" s="886"/>
      <c r="R55" s="886"/>
      <c r="S55" s="886"/>
      <c r="T55" s="886"/>
      <c r="U55" s="3"/>
      <c r="V55" s="3"/>
      <c r="W55" s="3"/>
    </row>
    <row r="56" spans="1:23" s="5" customFormat="1" ht="15.75" customHeight="1">
      <c r="A56" s="58"/>
      <c r="B56" s="236"/>
      <c r="C56" s="236"/>
      <c r="D56" s="237"/>
      <c r="E56" s="6"/>
      <c r="F56" s="6"/>
      <c r="G56" s="230"/>
      <c r="H56" s="6"/>
      <c r="I56" s="6"/>
      <c r="J56" s="6"/>
      <c r="K56" s="6"/>
      <c r="L56" s="3"/>
      <c r="M56" s="3"/>
      <c r="N56" s="885" t="s">
        <v>110</v>
      </c>
      <c r="O56" s="885"/>
      <c r="P56" s="885"/>
      <c r="Q56" s="885"/>
      <c r="R56" s="885"/>
      <c r="S56" s="885"/>
      <c r="T56" s="885"/>
      <c r="U56" s="885"/>
      <c r="V56" s="885"/>
      <c r="W56" s="885"/>
    </row>
    <row r="57" spans="1:23" s="5" customFormat="1" ht="15.75" customHeight="1">
      <c r="A57" s="58"/>
      <c r="B57" s="236"/>
      <c r="C57" s="236"/>
      <c r="D57" s="237"/>
      <c r="E57" s="6"/>
      <c r="F57" s="6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</row>
  </sheetData>
  <mergeCells count="17">
    <mergeCell ref="J52:Q52"/>
    <mergeCell ref="K53:U53"/>
    <mergeCell ref="L54:S54"/>
    <mergeCell ref="M55:T55"/>
    <mergeCell ref="N56:W56"/>
    <mergeCell ref="A1:Q1"/>
    <mergeCell ref="B2:D2"/>
    <mergeCell ref="E2:H2"/>
    <mergeCell ref="I2:L2"/>
    <mergeCell ref="B44:K44"/>
    <mergeCell ref="H50:N50"/>
    <mergeCell ref="I51:R51"/>
    <mergeCell ref="C45:K45"/>
    <mergeCell ref="D46:O46"/>
    <mergeCell ref="E47:M47"/>
    <mergeCell ref="F48:P48"/>
    <mergeCell ref="G49:Q4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51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887" t="s">
        <v>75</v>
      </c>
      <c r="B1" s="887"/>
      <c r="C1" s="887"/>
      <c r="D1" s="887"/>
      <c r="E1" s="887"/>
      <c r="F1" s="887"/>
      <c r="G1" s="887"/>
      <c r="H1" s="887"/>
      <c r="I1" s="887"/>
      <c r="J1" s="887"/>
      <c r="K1" s="887"/>
      <c r="L1" s="887"/>
      <c r="M1" s="887"/>
      <c r="N1" s="887"/>
      <c r="O1" s="887"/>
      <c r="P1" s="887"/>
      <c r="Q1" s="887"/>
      <c r="R1" s="887"/>
      <c r="S1" s="887"/>
      <c r="T1" s="887"/>
    </row>
    <row r="2" spans="1:20" s="9" customFormat="1" ht="23.25" customHeight="1" thickBot="1">
      <c r="A2" s="238" t="s">
        <v>19</v>
      </c>
      <c r="B2" s="888" t="s">
        <v>29</v>
      </c>
      <c r="C2" s="889"/>
      <c r="D2" s="890"/>
      <c r="E2" s="891" t="s">
        <v>83</v>
      </c>
      <c r="F2" s="892"/>
      <c r="G2" s="893"/>
      <c r="H2" s="898" t="s">
        <v>83</v>
      </c>
      <c r="I2" s="899"/>
      <c r="J2" s="900"/>
      <c r="K2" s="894" t="s">
        <v>83</v>
      </c>
      <c r="L2" s="895"/>
      <c r="M2" s="896"/>
      <c r="N2" s="239" t="s">
        <v>36</v>
      </c>
      <c r="O2" s="239" t="s">
        <v>37</v>
      </c>
      <c r="P2" s="239" t="s">
        <v>38</v>
      </c>
      <c r="Q2" s="239" t="s">
        <v>39</v>
      </c>
      <c r="R2" s="239" t="s">
        <v>40</v>
      </c>
      <c r="S2" s="239" t="s">
        <v>41</v>
      </c>
      <c r="T2" s="239" t="s">
        <v>42</v>
      </c>
    </row>
    <row r="3" spans="1:20" s="17" customFormat="1">
      <c r="A3" s="29" t="str">
        <f>'1-συμβολαια'!A3</f>
        <v>10ο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>
        <f>'1-συμβολαια'!A6</f>
        <v>0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7" customFormat="1">
      <c r="A7" s="29">
        <f>'1-συμβολαια'!A7</f>
        <v>0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7" customFormat="1">
      <c r="A8" s="29">
        <f>'1-συμβολαια'!A8</f>
        <v>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17" customFormat="1">
      <c r="A9" s="29" t="str">
        <f>'1-συμβολαια'!A9</f>
        <v>11ο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17" customFormat="1">
      <c r="A10" s="29">
        <f>'1-συμβολαια'!A10</f>
        <v>0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17" customFormat="1">
      <c r="A11" s="29">
        <f>'1-συμβολαια'!A11</f>
        <v>0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17" customFormat="1">
      <c r="A12" s="29">
        <f>'1-συμβολαια'!A12</f>
        <v>0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17" customFormat="1">
      <c r="A13" s="29">
        <f>'1-συμβολαια'!A13</f>
        <v>0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17" customFormat="1">
      <c r="A14" s="29">
        <f>'1-συμβολαια'!A14</f>
        <v>0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17" customFormat="1">
      <c r="A15" s="29" t="str">
        <f>'1-συμβολαια'!A15</f>
        <v>12ο</v>
      </c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17" customFormat="1">
      <c r="A16" s="29">
        <f>'1-συμβολαια'!A16</f>
        <v>0</v>
      </c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17" customFormat="1">
      <c r="A17" s="29">
        <f>'1-συμβολαια'!A17</f>
        <v>0</v>
      </c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17" customFormat="1">
      <c r="A18" s="29">
        <f>'1-συμβολαια'!A18</f>
        <v>0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17" customFormat="1">
      <c r="A19" s="29">
        <f>'1-συμβολαια'!A19</f>
        <v>0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17" customFormat="1">
      <c r="A20" s="29">
        <f>'1-συμβολαια'!A20</f>
        <v>0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17" customFormat="1">
      <c r="A21" s="29" t="str">
        <f>'1-συμβολαια'!A21</f>
        <v>13ο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17" customFormat="1">
      <c r="A22" s="29">
        <f>'1-συμβολαια'!A22</f>
        <v>0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17" customFormat="1">
      <c r="A23" s="29">
        <f>'1-συμβολαια'!A23</f>
        <v>0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17" customFormat="1">
      <c r="A24" s="29">
        <f>'1-συμβολαια'!A24</f>
        <v>0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17" customFormat="1">
      <c r="A25" s="29">
        <f>'1-συμβολαια'!A25</f>
        <v>0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17" customFormat="1">
      <c r="A26" s="29">
        <f>'1-συμβολαια'!A26</f>
        <v>0</v>
      </c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17" customFormat="1">
      <c r="A27" s="29" t="str">
        <f>'1-συμβολαια'!A27</f>
        <v>14ο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17" customFormat="1">
      <c r="A28" s="29">
        <f>'1-συμβολαια'!A28</f>
        <v>0</v>
      </c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17" customFormat="1">
      <c r="A29" s="29">
        <f>'1-συμβολαια'!A29</f>
        <v>0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17" customFormat="1">
      <c r="A30" s="29">
        <f>'1-συμβολαια'!A30</f>
        <v>0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17" customFormat="1">
      <c r="A31" s="29">
        <f>'1-συμβολαια'!A31</f>
        <v>0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17" customFormat="1">
      <c r="A32" s="29">
        <f>'1-συμβολαια'!A32</f>
        <v>0</v>
      </c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17" customFormat="1">
      <c r="A33" s="29" t="str">
        <f>'1-συμβολαια'!A33</f>
        <v>15ο</v>
      </c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17" customFormat="1">
      <c r="A34" s="29" t="str">
        <f>'1-συμβολαια'!A34</f>
        <v>16ο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17" customFormat="1">
      <c r="A35" s="29" t="str">
        <f>'1-συμβολαια'!A35</f>
        <v>17ο</v>
      </c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17" customFormat="1">
      <c r="A36" s="29" t="str">
        <f>'1-συμβολαια'!A36</f>
        <v>18ο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17" customFormat="1">
      <c r="A37" s="29">
        <f>'1-συμβολαια'!A37</f>
        <v>0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17" customFormat="1">
      <c r="A38" s="29">
        <f>'1-συμβολαια'!A38</f>
        <v>0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17" customFormat="1">
      <c r="A39" s="29">
        <f>'1-συμβολαια'!A39</f>
        <v>0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17" customFormat="1">
      <c r="A40" s="29" t="str">
        <f>'1-συμβολαια'!A40</f>
        <v>19ο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17" customFormat="1">
      <c r="A41" s="29" t="str">
        <f>'1-συμβολαια'!A41</f>
        <v>20ο</v>
      </c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17" customFormat="1">
      <c r="A42" s="29">
        <f>'1-συμβολαια'!A42</f>
        <v>0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4" spans="1:20" ht="15.75">
      <c r="B44" s="885" t="s">
        <v>111</v>
      </c>
      <c r="C44" s="885"/>
      <c r="D44" s="885"/>
      <c r="E44" s="885"/>
      <c r="F44" s="885"/>
      <c r="G44" s="885"/>
      <c r="H44" s="885"/>
      <c r="I44" s="114"/>
      <c r="J44" s="6"/>
      <c r="K44" s="6"/>
      <c r="L44" s="3"/>
      <c r="M44" s="3"/>
      <c r="N44" s="3"/>
      <c r="O44" s="3"/>
    </row>
    <row r="45" spans="1:20" ht="15.75">
      <c r="B45" s="6"/>
      <c r="C45" s="886" t="s">
        <v>112</v>
      </c>
      <c r="D45" s="886"/>
      <c r="E45" s="886"/>
      <c r="F45" s="886"/>
      <c r="G45" s="886"/>
      <c r="H45" s="886"/>
      <c r="I45" s="886"/>
      <c r="J45" s="6"/>
      <c r="K45" s="6"/>
      <c r="L45" s="3"/>
      <c r="M45" s="3"/>
      <c r="N45" s="3"/>
      <c r="O45" s="3"/>
    </row>
    <row r="46" spans="1:20" ht="15.75" customHeight="1">
      <c r="B46" s="6"/>
      <c r="C46" s="6"/>
      <c r="D46" s="885" t="s">
        <v>113</v>
      </c>
      <c r="E46" s="885"/>
      <c r="F46" s="885"/>
      <c r="G46" s="885"/>
      <c r="H46" s="885"/>
      <c r="I46" s="885"/>
      <c r="J46" s="885"/>
      <c r="K46" s="885"/>
      <c r="L46" s="3"/>
      <c r="M46" s="3"/>
      <c r="N46" s="3"/>
      <c r="O46" s="3"/>
    </row>
    <row r="47" spans="1:20" ht="15.75" customHeight="1">
      <c r="B47" s="6"/>
      <c r="C47" s="6"/>
      <c r="D47" s="6"/>
      <c r="E47" s="901" t="s">
        <v>118</v>
      </c>
      <c r="F47" s="901"/>
      <c r="G47" s="901"/>
      <c r="H47" s="901"/>
      <c r="I47" s="901"/>
      <c r="J47" s="901"/>
      <c r="K47" s="901"/>
      <c r="L47" s="901"/>
      <c r="M47" s="3"/>
      <c r="N47" s="3"/>
      <c r="O47" s="3"/>
    </row>
    <row r="48" spans="1:20" ht="15.75" customHeight="1">
      <c r="B48" s="6"/>
      <c r="C48" s="6"/>
      <c r="D48" s="6"/>
      <c r="E48" s="6"/>
      <c r="F48" s="885" t="s">
        <v>114</v>
      </c>
      <c r="G48" s="885"/>
      <c r="H48" s="885"/>
      <c r="I48" s="885"/>
      <c r="J48" s="885"/>
      <c r="K48" s="885"/>
      <c r="L48" s="885"/>
      <c r="M48" s="3"/>
      <c r="N48" s="3"/>
      <c r="O48" s="3"/>
    </row>
    <row r="49" spans="2:15" ht="15.75" customHeight="1">
      <c r="B49" s="6"/>
      <c r="C49" s="6"/>
      <c r="D49" s="6"/>
      <c r="E49" s="6"/>
      <c r="F49" s="6"/>
      <c r="G49" s="886" t="s">
        <v>115</v>
      </c>
      <c r="H49" s="886"/>
      <c r="I49" s="886"/>
      <c r="J49" s="886"/>
      <c r="K49" s="886"/>
      <c r="L49" s="886"/>
      <c r="M49" s="886"/>
      <c r="N49" s="3"/>
      <c r="O49" s="3"/>
    </row>
    <row r="50" spans="2:15" ht="15.75">
      <c r="B50" s="6"/>
      <c r="C50" s="6"/>
      <c r="D50" s="6"/>
      <c r="E50" s="6"/>
      <c r="F50" s="6"/>
      <c r="G50" s="6"/>
      <c r="H50" s="885" t="s">
        <v>116</v>
      </c>
      <c r="I50" s="885"/>
      <c r="J50" s="885"/>
      <c r="K50" s="885"/>
      <c r="L50" s="885"/>
      <c r="M50" s="885"/>
      <c r="N50" s="885"/>
      <c r="O50" s="3"/>
    </row>
    <row r="51" spans="2:15" ht="15.75">
      <c r="B51" s="6"/>
      <c r="C51" s="6"/>
      <c r="D51" s="6"/>
      <c r="E51" s="6"/>
      <c r="F51" s="6"/>
      <c r="G51" s="6"/>
      <c r="H51" s="6"/>
      <c r="I51" s="886" t="s">
        <v>117</v>
      </c>
      <c r="J51" s="886"/>
      <c r="K51" s="886"/>
      <c r="L51" s="886"/>
      <c r="M51" s="886"/>
      <c r="N51" s="886"/>
      <c r="O51" s="886"/>
    </row>
  </sheetData>
  <mergeCells count="13">
    <mergeCell ref="G49:M49"/>
    <mergeCell ref="H50:N50"/>
    <mergeCell ref="I51:O51"/>
    <mergeCell ref="B44:H44"/>
    <mergeCell ref="C45:I45"/>
    <mergeCell ref="D46:K46"/>
    <mergeCell ref="E47:L47"/>
    <mergeCell ref="F48:L48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51"/>
  <sheetViews>
    <sheetView zoomScaleNormal="100" workbookViewId="0">
      <pane ySplit="2" topLeftCell="A3" activePane="bottomLeft" state="frozen"/>
      <selection pane="bottomLeft" activeCell="E47" sqref="E47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739" t="s">
        <v>65</v>
      </c>
      <c r="B1" s="739"/>
      <c r="C1" s="903" t="s">
        <v>66</v>
      </c>
      <c r="D1" s="903"/>
      <c r="E1" s="739" t="s">
        <v>0</v>
      </c>
      <c r="F1" s="739"/>
      <c r="G1" s="904" t="s">
        <v>10</v>
      </c>
      <c r="H1" s="904"/>
      <c r="I1" s="904"/>
      <c r="J1" s="739" t="s">
        <v>8</v>
      </c>
      <c r="K1" s="739"/>
      <c r="L1" s="905" t="s">
        <v>426</v>
      </c>
      <c r="M1" s="906"/>
      <c r="N1" s="906"/>
      <c r="O1" s="907"/>
      <c r="P1" s="902" t="s">
        <v>64</v>
      </c>
      <c r="Q1" s="902"/>
      <c r="R1" s="904" t="s">
        <v>55</v>
      </c>
      <c r="S1" s="904"/>
      <c r="T1" s="910" t="s">
        <v>46</v>
      </c>
      <c r="U1" s="908" t="s">
        <v>83</v>
      </c>
      <c r="V1" s="908"/>
      <c r="W1" s="908"/>
      <c r="X1" s="908"/>
      <c r="Y1" s="908"/>
      <c r="Z1" s="908"/>
      <c r="AA1" s="908"/>
      <c r="AB1" s="908"/>
      <c r="AC1" s="908"/>
    </row>
    <row r="2" spans="1:29" s="11" customFormat="1" ht="15.75" customHeight="1" thickBot="1">
      <c r="A2" s="93"/>
      <c r="B2" s="51"/>
      <c r="C2" s="83"/>
      <c r="D2" s="54" t="s">
        <v>67</v>
      </c>
      <c r="E2" s="94"/>
      <c r="F2" s="52" t="s">
        <v>67</v>
      </c>
      <c r="G2" s="48" t="s">
        <v>11</v>
      </c>
      <c r="H2" s="46" t="s">
        <v>12</v>
      </c>
      <c r="I2" s="47" t="s">
        <v>29</v>
      </c>
      <c r="J2" s="72" t="s">
        <v>23</v>
      </c>
      <c r="K2" s="53" t="s">
        <v>67</v>
      </c>
      <c r="L2" s="72" t="s">
        <v>314</v>
      </c>
      <c r="M2" s="72" t="s">
        <v>318</v>
      </c>
      <c r="N2" s="72" t="s">
        <v>319</v>
      </c>
      <c r="O2" s="235" t="s">
        <v>29</v>
      </c>
      <c r="P2" s="60" t="s">
        <v>23</v>
      </c>
      <c r="Q2" s="53" t="s">
        <v>67</v>
      </c>
      <c r="R2" s="72" t="s">
        <v>23</v>
      </c>
      <c r="S2" s="35" t="s">
        <v>67</v>
      </c>
      <c r="T2" s="911"/>
      <c r="U2" s="909"/>
      <c r="V2" s="909"/>
      <c r="W2" s="909"/>
      <c r="X2" s="909"/>
      <c r="Y2" s="909"/>
      <c r="Z2" s="909"/>
      <c r="AA2" s="909"/>
      <c r="AB2" s="909"/>
      <c r="AC2" s="909"/>
    </row>
    <row r="3" spans="1:29" s="17" customFormat="1">
      <c r="A3" s="12" t="str">
        <f>'1-συμβολαια'!A3</f>
        <v>10ο</v>
      </c>
      <c r="B3" s="50"/>
      <c r="C3" s="79">
        <f>'1-συμβολαια'!B3</f>
        <v>37930</v>
      </c>
      <c r="D3" s="18"/>
      <c r="E3" s="89" t="str">
        <f>'1-συμβολαια'!C3</f>
        <v>κληρονομιάς ΑΠΟΔΟΧΗ</v>
      </c>
      <c r="F3" s="13"/>
      <c r="G3" s="14" t="str">
        <f>'4-πολλυπρ'!D3</f>
        <v>219-17</v>
      </c>
      <c r="H3" s="14" t="str">
        <f>'4-πολλυπρ'!I3</f>
        <v>219-17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4.9742000000000015</v>
      </c>
      <c r="S3" s="22"/>
      <c r="T3" s="23"/>
      <c r="U3" s="84"/>
      <c r="V3" s="84"/>
      <c r="W3" s="80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50"/>
      <c r="C4" s="79">
        <f>'1-συμβολαια'!B4</f>
        <v>0</v>
      </c>
      <c r="D4" s="18"/>
      <c r="E4" s="89" t="str">
        <f>'1-συμβολαια'!C4</f>
        <v>ΧΡΗΣΙΚΤΗΣΙΑ οικοπέδου &amp; οικοδομής = 1992 αδερφού ΚΛΗΡΟΝΟΜΙΑ άτυπη</v>
      </c>
      <c r="F4" s="13"/>
      <c r="G4" s="14">
        <f>'4-πολλυπρ'!D4</f>
        <v>0</v>
      </c>
      <c r="H4" s="14" t="str">
        <f>'4-πολλυπρ'!I4</f>
        <v>219-17</v>
      </c>
      <c r="I4" s="19"/>
      <c r="J4" s="19">
        <f>'1-συμβολαια'!D4</f>
        <v>1111.1099999999999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80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50"/>
      <c r="C5" s="79">
        <f>'1-συμβολαια'!B5</f>
        <v>0</v>
      </c>
      <c r="D5" s="18"/>
      <c r="E5" s="89" t="str">
        <f>'1-συμβολαια'!C5</f>
        <v>ΧΡΗΣΙΚΤΗΣΙΑ οικοπέδων 2'-3' = 1992 αδερφού ΚΛΗΡΟΝΟΜΙΑ άτυπη</v>
      </c>
      <c r="F5" s="13"/>
      <c r="G5" s="14">
        <f>'4-πολλυπρ'!D5</f>
        <v>0</v>
      </c>
      <c r="H5" s="14" t="str">
        <f>'4-πολλυπρ'!I5</f>
        <v>219-17</v>
      </c>
      <c r="I5" s="19"/>
      <c r="J5" s="19">
        <f>'1-συμβολαια'!D5</f>
        <v>1111.1099999999999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4"/>
      <c r="V5" s="84"/>
      <c r="W5" s="80"/>
      <c r="X5" s="24"/>
      <c r="Y5" s="24"/>
      <c r="Z5" s="24"/>
      <c r="AA5" s="24"/>
      <c r="AB5" s="24"/>
      <c r="AC5" s="24"/>
    </row>
    <row r="6" spans="1:29" s="17" customFormat="1">
      <c r="A6" s="12">
        <f>'1-συμβολαια'!A6</f>
        <v>0</v>
      </c>
      <c r="B6" s="50"/>
      <c r="C6" s="79">
        <f>'1-συμβολαια'!B6</f>
        <v>0</v>
      </c>
      <c r="D6" s="18"/>
      <c r="E6" s="89" t="str">
        <f>'1-συμβολαια'!C6</f>
        <v>ΧΡΗΣΙΚΤΗΣΙΑ αγροτεμαχίου 9' = 1968 μητρός ΚΛΗΡΟΝΟΜΙΑ άτυπη</v>
      </c>
      <c r="F6" s="13"/>
      <c r="G6" s="14">
        <f>'4-πολλυπρ'!D6</f>
        <v>0</v>
      </c>
      <c r="H6" s="14" t="str">
        <f>'4-πολλυπρ'!I6</f>
        <v>219-17</v>
      </c>
      <c r="I6" s="19"/>
      <c r="J6" s="19">
        <f>'1-συμβολαια'!D6</f>
        <v>111.11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4"/>
      <c r="V6" s="84"/>
      <c r="W6" s="80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50"/>
      <c r="C7" s="79">
        <f>'1-συμβολαια'!B7</f>
        <v>0</v>
      </c>
      <c r="D7" s="18"/>
      <c r="E7" s="89" t="str">
        <f>'1-συμβολαια'!C7</f>
        <v>ΧΡΗΣΙΚΤΗΣΙΑ οικοπέδου 4' = 19?? ΑΓΟΡΑΠΩΛΗΣΙΑ άτυπη</v>
      </c>
      <c r="F7" s="13"/>
      <c r="G7" s="14">
        <f>'4-πολλυπρ'!D7</f>
        <v>0</v>
      </c>
      <c r="H7" s="14" t="str">
        <f>'4-πολλυπρ'!I7</f>
        <v>219-17</v>
      </c>
      <c r="I7" s="19"/>
      <c r="J7" s="19">
        <f>'1-συμβολαια'!D7</f>
        <v>111.11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4"/>
      <c r="V7" s="84"/>
      <c r="W7" s="80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50"/>
      <c r="C8" s="79">
        <f>'1-συμβολαια'!B8</f>
        <v>0</v>
      </c>
      <c r="D8" s="18"/>
      <c r="E8" s="89" t="str">
        <f>'1-συμβολαια'!C8</f>
        <v>ΧΡΗΣΙΚΤΗΣΙΑ αγροτεμαχίου 8' = 19??? ΑΓΟΡΑΠΩΛΗΣΙΑ άτυπη</v>
      </c>
      <c r="F8" s="13"/>
      <c r="G8" s="14">
        <f>'4-πολλυπρ'!D8</f>
        <v>0</v>
      </c>
      <c r="H8" s="14" t="str">
        <f>'4-πολλυπρ'!I8</f>
        <v>219-17</v>
      </c>
      <c r="I8" s="19"/>
      <c r="J8" s="19">
        <f>'1-συμβολαια'!D8</f>
        <v>1111.1099999999999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4"/>
      <c r="V8" s="84"/>
      <c r="W8" s="80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11ο</v>
      </c>
      <c r="B9" s="50"/>
      <c r="C9" s="79">
        <f>'1-συμβολαια'!B9</f>
        <v>37930</v>
      </c>
      <c r="D9" s="18"/>
      <c r="E9" s="89" t="str">
        <f>'1-συμβολαια'!C9</f>
        <v>κληρονομιάς ΑΠΟΔΟΧΗ</v>
      </c>
      <c r="F9" s="13"/>
      <c r="G9" s="14" t="str">
        <f>'4-πολλυπρ'!D9</f>
        <v>219-17</v>
      </c>
      <c r="H9" s="14" t="str">
        <f>'4-πολλυπρ'!I9</f>
        <v>219-17</v>
      </c>
      <c r="I9" s="19"/>
      <c r="J9" s="19">
        <f>'1-συμβολαια'!D9</f>
        <v>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2.4871000000000008</v>
      </c>
      <c r="S9" s="22"/>
      <c r="T9" s="23"/>
      <c r="U9" s="84"/>
      <c r="V9" s="84"/>
      <c r="W9" s="80"/>
      <c r="X9" s="24"/>
      <c r="Y9" s="24"/>
      <c r="Z9" s="24"/>
      <c r="AA9" s="24"/>
      <c r="AB9" s="24"/>
      <c r="AC9" s="24"/>
    </row>
    <row r="10" spans="1:29" s="17" customFormat="1">
      <c r="A10" s="12">
        <f>'1-συμβολαια'!A10</f>
        <v>0</v>
      </c>
      <c r="B10" s="50"/>
      <c r="C10" s="79">
        <f>'1-συμβολαια'!B10</f>
        <v>0</v>
      </c>
      <c r="D10" s="18"/>
      <c r="E10" s="89" t="str">
        <f>'1-συμβολαια'!C10</f>
        <v>ΧΡΗΣΙΚΤΗΣΙΑ οικοπέδου &amp; οικοδομής = 1992 αδερφού ΚΛΗΡΟΝΟΜΙΑ άτυπη</v>
      </c>
      <c r="F10" s="13"/>
      <c r="G10" s="14">
        <f>'4-πολλυπρ'!D10</f>
        <v>0</v>
      </c>
      <c r="H10" s="14" t="str">
        <f>'4-πολλυπρ'!I10</f>
        <v>219-17</v>
      </c>
      <c r="I10" s="19"/>
      <c r="J10" s="19">
        <f>'1-συμβολαια'!D10</f>
        <v>1111.1099999999999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4"/>
      <c r="V10" s="84"/>
      <c r="W10" s="80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50"/>
      <c r="C11" s="79">
        <f>'1-συμβολαια'!B11</f>
        <v>0</v>
      </c>
      <c r="D11" s="18"/>
      <c r="E11" s="89" t="str">
        <f>'1-συμβολαια'!C11</f>
        <v>ΧΡΗΣΙΚΤΗΣΙΑ οικοπέδων 2'-3' = 1992 αδερφού ΚΛΗΡΟΝΟΜΙΑ άτυπη</v>
      </c>
      <c r="F11" s="13"/>
      <c r="G11" s="14">
        <f>'4-πολλυπρ'!D11</f>
        <v>0</v>
      </c>
      <c r="H11" s="14" t="str">
        <f>'4-πολλυπρ'!I11</f>
        <v>219-17</v>
      </c>
      <c r="I11" s="19"/>
      <c r="J11" s="19">
        <f>'1-συμβολαια'!D11</f>
        <v>1111.1099999999999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4"/>
      <c r="V11" s="84"/>
      <c r="W11" s="80"/>
      <c r="X11" s="24"/>
      <c r="Y11" s="24"/>
      <c r="Z11" s="24"/>
      <c r="AA11" s="24"/>
      <c r="AB11" s="24"/>
      <c r="AC11" s="24"/>
    </row>
    <row r="12" spans="1:29" s="17" customFormat="1">
      <c r="A12" s="12">
        <f>'1-συμβολαια'!A12</f>
        <v>0</v>
      </c>
      <c r="B12" s="50"/>
      <c r="C12" s="79">
        <f>'1-συμβολαια'!B12</f>
        <v>0</v>
      </c>
      <c r="D12" s="18"/>
      <c r="E12" s="89" t="str">
        <f>'1-συμβολαια'!C12</f>
        <v>ΧΡΗΣΙΚΤΗΣΙΑ αγροτεμαχίου 9' = 1968 μητρός ΚΛΗΡΟΝΟΜΙΑ άτυπη</v>
      </c>
      <c r="F12" s="13"/>
      <c r="G12" s="14">
        <f>'4-πολλυπρ'!D12</f>
        <v>0</v>
      </c>
      <c r="H12" s="14" t="str">
        <f>'4-πολλυπρ'!I12</f>
        <v>219-17</v>
      </c>
      <c r="I12" s="19"/>
      <c r="J12" s="19">
        <f>'1-συμβολαια'!D12</f>
        <v>111.11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4"/>
      <c r="V12" s="84"/>
      <c r="W12" s="80"/>
      <c r="X12" s="24"/>
      <c r="Y12" s="24"/>
      <c r="Z12" s="24"/>
      <c r="AA12" s="24"/>
      <c r="AB12" s="24"/>
      <c r="AC12" s="24"/>
    </row>
    <row r="13" spans="1:29" s="17" customFormat="1">
      <c r="A13" s="12">
        <f>'1-συμβολαια'!A13</f>
        <v>0</v>
      </c>
      <c r="B13" s="50"/>
      <c r="C13" s="79">
        <f>'1-συμβολαια'!B13</f>
        <v>0</v>
      </c>
      <c r="D13" s="18"/>
      <c r="E13" s="89" t="str">
        <f>'1-συμβολαια'!C13</f>
        <v>ΧΡΗΣΙΚΤΗΣΙΑ οικοπέδου 4' = 19?? ΑΓΟΡΑΠΩΛΗΣΙΑ άτυπη</v>
      </c>
      <c r="F13" s="13"/>
      <c r="G13" s="14">
        <f>'4-πολλυπρ'!D13</f>
        <v>0</v>
      </c>
      <c r="H13" s="14" t="str">
        <f>'4-πολλυπρ'!I13</f>
        <v>219-17</v>
      </c>
      <c r="I13" s="19"/>
      <c r="J13" s="19">
        <f>'1-συμβολαια'!D13</f>
        <v>111.11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4"/>
      <c r="V13" s="84"/>
      <c r="W13" s="80"/>
      <c r="X13" s="24"/>
      <c r="Y13" s="24"/>
      <c r="Z13" s="24"/>
      <c r="AA13" s="24"/>
      <c r="AB13" s="24"/>
      <c r="AC13" s="24"/>
    </row>
    <row r="14" spans="1:29" s="17" customFormat="1">
      <c r="A14" s="12">
        <f>'1-συμβολαια'!A14</f>
        <v>0</v>
      </c>
      <c r="B14" s="50"/>
      <c r="C14" s="79">
        <f>'1-συμβολαια'!B14</f>
        <v>0</v>
      </c>
      <c r="D14" s="18"/>
      <c r="E14" s="89" t="str">
        <f>'1-συμβολαια'!C14</f>
        <v>ΧΡΗΣΙΚΤΗΣΙΑ αγροτεμαχίου 8' = 19??? ΑΓΟΡΑΠΩΛΗΣΙΑ άτυπη</v>
      </c>
      <c r="F14" s="13"/>
      <c r="G14" s="14">
        <f>'4-πολλυπρ'!D14</f>
        <v>0</v>
      </c>
      <c r="H14" s="14" t="str">
        <f>'4-πολλυπρ'!I14</f>
        <v>219-17</v>
      </c>
      <c r="I14" s="19"/>
      <c r="J14" s="19">
        <f>'1-συμβολαια'!D14</f>
        <v>1111.1099999999999</v>
      </c>
      <c r="K14" s="19"/>
      <c r="L14" s="26">
        <f>'11-χαρτόσ'!D14</f>
        <v>0</v>
      </c>
      <c r="M14" s="26"/>
      <c r="N14" s="26"/>
      <c r="O14" s="20"/>
      <c r="P14" s="16" t="e">
        <f>#REF!-R14</f>
        <v>#REF!</v>
      </c>
      <c r="Q14" s="15"/>
      <c r="R14" s="21">
        <f>'5-αντίγρ'!Q14</f>
        <v>0</v>
      </c>
      <c r="S14" s="22"/>
      <c r="T14" s="23"/>
      <c r="U14" s="84"/>
      <c r="V14" s="84"/>
      <c r="W14" s="80"/>
      <c r="X14" s="24"/>
      <c r="Y14" s="24"/>
      <c r="Z14" s="24"/>
      <c r="AA14" s="24"/>
      <c r="AB14" s="24"/>
      <c r="AC14" s="24"/>
    </row>
    <row r="15" spans="1:29" s="17" customFormat="1">
      <c r="A15" s="12" t="str">
        <f>'1-συμβολαια'!A15</f>
        <v>12ο</v>
      </c>
      <c r="B15" s="50"/>
      <c r="C15" s="79">
        <f>'1-συμβολαια'!B15</f>
        <v>37930</v>
      </c>
      <c r="D15" s="18"/>
      <c r="E15" s="89" t="str">
        <f>'1-συμβολαια'!C15</f>
        <v>κληρονομιάς ΑΠΟΔΟΧΗ</v>
      </c>
      <c r="F15" s="13"/>
      <c r="G15" s="14" t="str">
        <f>'4-πολλυπρ'!D15</f>
        <v>219-17</v>
      </c>
      <c r="H15" s="14" t="str">
        <f>'4-πολλυπρ'!I15</f>
        <v>219-17</v>
      </c>
      <c r="I15" s="19"/>
      <c r="J15" s="19">
        <f>'1-συμβολαια'!D15</f>
        <v>0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'5-αντίγρ'!Q15</f>
        <v>0</v>
      </c>
      <c r="S15" s="22"/>
      <c r="T15" s="23"/>
      <c r="U15" s="84"/>
      <c r="V15" s="84"/>
      <c r="W15" s="80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50"/>
      <c r="C16" s="79">
        <f>'1-συμβολαια'!B16</f>
        <v>0</v>
      </c>
      <c r="D16" s="18"/>
      <c r="E16" s="89" t="str">
        <f>'1-συμβολαια'!C16</f>
        <v>ΧΡΗΣΙΚΤΗΣΙΑ οικοπέδου &amp; οικοδομής = 1992 αδερφού ΚΛΗΡΟΝΟΜΙΑ άτυπη</v>
      </c>
      <c r="F16" s="13"/>
      <c r="G16" s="14">
        <f>'4-πολλυπρ'!D16</f>
        <v>0</v>
      </c>
      <c r="H16" s="14" t="str">
        <f>'4-πολλυπρ'!I16</f>
        <v>219-17</v>
      </c>
      <c r="I16" s="19"/>
      <c r="J16" s="19">
        <f>'1-συμβολαια'!D16</f>
        <v>1111.1099999999999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'5-αντίγρ'!Q16</f>
        <v>0</v>
      </c>
      <c r="S16" s="22"/>
      <c r="T16" s="23"/>
      <c r="U16" s="84"/>
      <c r="V16" s="84"/>
      <c r="W16" s="80"/>
      <c r="X16" s="24"/>
      <c r="Y16" s="24"/>
      <c r="Z16" s="24"/>
      <c r="AA16" s="24"/>
      <c r="AB16" s="24"/>
      <c r="AC16" s="24"/>
    </row>
    <row r="17" spans="1:29" s="17" customFormat="1">
      <c r="A17" s="12">
        <f>'1-συμβολαια'!A17</f>
        <v>0</v>
      </c>
      <c r="B17" s="50"/>
      <c r="C17" s="79">
        <f>'1-συμβολαια'!B17</f>
        <v>0</v>
      </c>
      <c r="D17" s="18"/>
      <c r="E17" s="89" t="str">
        <f>'1-συμβολαια'!C17</f>
        <v>ΧΡΗΣΙΚΤΗΣΙΑ οικοπέδων 2'-3' = 1992 αδερφού ΚΛΗΡΟΝΟΜΙΑ άτυπη</v>
      </c>
      <c r="F17" s="13"/>
      <c r="G17" s="14">
        <f>'4-πολλυπρ'!D17</f>
        <v>0</v>
      </c>
      <c r="H17" s="14" t="str">
        <f>'4-πολλυπρ'!I17</f>
        <v>219-17</v>
      </c>
      <c r="I17" s="19"/>
      <c r="J17" s="19">
        <f>'1-συμβολαια'!D17</f>
        <v>1111.1099999999999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'5-αντίγρ'!Q17</f>
        <v>0</v>
      </c>
      <c r="S17" s="22"/>
      <c r="T17" s="23"/>
      <c r="U17" s="84"/>
      <c r="V17" s="84"/>
      <c r="W17" s="80"/>
      <c r="X17" s="24"/>
      <c r="Y17" s="24"/>
      <c r="Z17" s="24"/>
      <c r="AA17" s="24"/>
      <c r="AB17" s="24"/>
      <c r="AC17" s="24"/>
    </row>
    <row r="18" spans="1:29" s="17" customFormat="1">
      <c r="A18" s="12">
        <f>'1-συμβολαια'!A18</f>
        <v>0</v>
      </c>
      <c r="B18" s="50"/>
      <c r="C18" s="79">
        <f>'1-συμβολαια'!B18</f>
        <v>0</v>
      </c>
      <c r="D18" s="18"/>
      <c r="E18" s="89" t="str">
        <f>'1-συμβολαια'!C18</f>
        <v>ΧΡΗΣΙΚΤΗΣΙΑ αγροτεμαχίου 9' = 1968 μητρός ΚΛΗΡΟΝΟΜΙΑ άτυπη</v>
      </c>
      <c r="F18" s="13"/>
      <c r="G18" s="14">
        <f>'4-πολλυπρ'!D18</f>
        <v>0</v>
      </c>
      <c r="H18" s="14" t="str">
        <f>'4-πολλυπρ'!I18</f>
        <v>219-17</v>
      </c>
      <c r="I18" s="19"/>
      <c r="J18" s="19">
        <f>'1-συμβολαια'!D18</f>
        <v>111.11</v>
      </c>
      <c r="K18" s="19"/>
      <c r="L18" s="26">
        <f>'11-χαρτόσ'!D18</f>
        <v>0</v>
      </c>
      <c r="M18" s="26"/>
      <c r="N18" s="26"/>
      <c r="O18" s="20"/>
      <c r="P18" s="16" t="e">
        <f>#REF!-R18</f>
        <v>#REF!</v>
      </c>
      <c r="Q18" s="15"/>
      <c r="R18" s="21">
        <f>'5-αντίγρ'!Q18</f>
        <v>0</v>
      </c>
      <c r="S18" s="22"/>
      <c r="T18" s="23"/>
      <c r="U18" s="84"/>
      <c r="V18" s="84"/>
      <c r="W18" s="80"/>
      <c r="X18" s="24"/>
      <c r="Y18" s="24"/>
      <c r="Z18" s="24"/>
      <c r="AA18" s="24"/>
      <c r="AB18" s="24"/>
      <c r="AC18" s="24"/>
    </row>
    <row r="19" spans="1:29" s="17" customFormat="1">
      <c r="A19" s="12">
        <f>'1-συμβολαια'!A19</f>
        <v>0</v>
      </c>
      <c r="B19" s="50"/>
      <c r="C19" s="79">
        <f>'1-συμβολαια'!B19</f>
        <v>0</v>
      </c>
      <c r="D19" s="18"/>
      <c r="E19" s="89" t="str">
        <f>'1-συμβολαια'!C19</f>
        <v>ΧΡΗΣΙΚΤΗΣΙΑ οικοπέδου 4' = 19?? ΑΓΟΡΑΠΩΛΗΣΙΑ άτυπη</v>
      </c>
      <c r="F19" s="13"/>
      <c r="G19" s="14">
        <f>'4-πολλυπρ'!D19</f>
        <v>0</v>
      </c>
      <c r="H19" s="14" t="str">
        <f>'4-πολλυπρ'!I19</f>
        <v>219-17</v>
      </c>
      <c r="I19" s="19"/>
      <c r="J19" s="19">
        <f>'1-συμβολαια'!D19</f>
        <v>111.11</v>
      </c>
      <c r="K19" s="19"/>
      <c r="L19" s="26">
        <f>'11-χαρτόσ'!D19</f>
        <v>0</v>
      </c>
      <c r="M19" s="26"/>
      <c r="N19" s="26"/>
      <c r="O19" s="20"/>
      <c r="P19" s="16" t="e">
        <f>#REF!-R19</f>
        <v>#REF!</v>
      </c>
      <c r="Q19" s="15"/>
      <c r="R19" s="21">
        <f>'5-αντίγρ'!Q19</f>
        <v>0</v>
      </c>
      <c r="S19" s="22"/>
      <c r="T19" s="23"/>
      <c r="U19" s="84"/>
      <c r="V19" s="84"/>
      <c r="W19" s="80"/>
      <c r="X19" s="24"/>
      <c r="Y19" s="24"/>
      <c r="Z19" s="24"/>
      <c r="AA19" s="24"/>
      <c r="AB19" s="24"/>
      <c r="AC19" s="24"/>
    </row>
    <row r="20" spans="1:29" s="17" customFormat="1">
      <c r="A20" s="12">
        <f>'1-συμβολαια'!A20</f>
        <v>0</v>
      </c>
      <c r="B20" s="50"/>
      <c r="C20" s="79">
        <f>'1-συμβολαια'!B20</f>
        <v>0</v>
      </c>
      <c r="D20" s="18"/>
      <c r="E20" s="89" t="str">
        <f>'1-συμβολαια'!C20</f>
        <v>ΧΡΗΣΙΚΤΗΣΙΑ αγροτεμαχίου 8' = 19??? ΑΓΟΡΑΠΩΛΗΣΙΑ άτυπη</v>
      </c>
      <c r="F20" s="13"/>
      <c r="G20" s="14">
        <f>'4-πολλυπρ'!D20</f>
        <v>0</v>
      </c>
      <c r="H20" s="14" t="str">
        <f>'4-πολλυπρ'!I20</f>
        <v>219-17</v>
      </c>
      <c r="I20" s="19"/>
      <c r="J20" s="19">
        <f>'1-συμβολαια'!D20</f>
        <v>1111.1099999999999</v>
      </c>
      <c r="K20" s="19"/>
      <c r="L20" s="26">
        <f>'11-χαρτόσ'!D20</f>
        <v>0</v>
      </c>
      <c r="M20" s="26"/>
      <c r="N20" s="26"/>
      <c r="O20" s="20"/>
      <c r="P20" s="16" t="e">
        <f>#REF!-R20</f>
        <v>#REF!</v>
      </c>
      <c r="Q20" s="15"/>
      <c r="R20" s="21">
        <f>'5-αντίγρ'!Q20</f>
        <v>0</v>
      </c>
      <c r="S20" s="22"/>
      <c r="T20" s="23"/>
      <c r="U20" s="84"/>
      <c r="V20" s="84"/>
      <c r="W20" s="80"/>
      <c r="X20" s="24"/>
      <c r="Y20" s="24"/>
      <c r="Z20" s="24"/>
      <c r="AA20" s="24"/>
      <c r="AB20" s="24"/>
      <c r="AC20" s="24"/>
    </row>
    <row r="21" spans="1:29" s="17" customFormat="1">
      <c r="A21" s="12" t="str">
        <f>'1-συμβολαια'!A21</f>
        <v>13ο</v>
      </c>
      <c r="B21" s="50"/>
      <c r="C21" s="79">
        <f>'1-συμβολαια'!B21</f>
        <v>37930</v>
      </c>
      <c r="D21" s="18"/>
      <c r="E21" s="89" t="str">
        <f>'1-συμβολαια'!C21</f>
        <v>κληρονομιάς ΑΠΟΔΟΧΗ</v>
      </c>
      <c r="F21" s="13"/>
      <c r="G21" s="14" t="str">
        <f>'4-πολλυπρ'!D21</f>
        <v>219-17</v>
      </c>
      <c r="H21" s="14" t="str">
        <f>'4-πολλυπρ'!I21</f>
        <v>219-17</v>
      </c>
      <c r="I21" s="19"/>
      <c r="J21" s="19">
        <f>'1-συμβολαια'!D21</f>
        <v>0</v>
      </c>
      <c r="K21" s="19"/>
      <c r="L21" s="26">
        <f>'11-χαρτόσ'!D21</f>
        <v>0</v>
      </c>
      <c r="M21" s="26"/>
      <c r="N21" s="26"/>
      <c r="O21" s="20"/>
      <c r="P21" s="16" t="e">
        <f>#REF!-R21</f>
        <v>#REF!</v>
      </c>
      <c r="Q21" s="15"/>
      <c r="R21" s="21">
        <f>'5-αντίγρ'!Q21</f>
        <v>0</v>
      </c>
      <c r="S21" s="22"/>
      <c r="T21" s="23"/>
      <c r="U21" s="84"/>
      <c r="V21" s="84"/>
      <c r="W21" s="80"/>
      <c r="X21" s="24"/>
      <c r="Y21" s="24"/>
      <c r="Z21" s="24"/>
      <c r="AA21" s="24"/>
      <c r="AB21" s="24"/>
      <c r="AC21" s="24"/>
    </row>
    <row r="22" spans="1:29" s="17" customFormat="1">
      <c r="A22" s="12">
        <f>'1-συμβολαια'!A22</f>
        <v>0</v>
      </c>
      <c r="B22" s="50"/>
      <c r="C22" s="79">
        <f>'1-συμβολαια'!B22</f>
        <v>0</v>
      </c>
      <c r="D22" s="18"/>
      <c r="E22" s="89" t="str">
        <f>'1-συμβολαια'!C22</f>
        <v>ΧΡΗΣΙΚΤΗΣΙΑ οικοπέδου &amp; οικοδομής = 1992 αδερφού ΚΛΗΡΟΝΟΜΙΑ άτυπη</v>
      </c>
      <c r="F22" s="13"/>
      <c r="G22" s="14">
        <f>'4-πολλυπρ'!D22</f>
        <v>0</v>
      </c>
      <c r="H22" s="14" t="str">
        <f>'4-πολλυπρ'!I22</f>
        <v>219-17</v>
      </c>
      <c r="I22" s="19"/>
      <c r="J22" s="19">
        <f>'1-συμβολαια'!D22</f>
        <v>1111.1099999999999</v>
      </c>
      <c r="K22" s="19"/>
      <c r="L22" s="26">
        <f>'11-χαρτόσ'!D22</f>
        <v>0</v>
      </c>
      <c r="M22" s="26"/>
      <c r="N22" s="26"/>
      <c r="O22" s="20"/>
      <c r="P22" s="16" t="e">
        <f>#REF!-R22</f>
        <v>#REF!</v>
      </c>
      <c r="Q22" s="15"/>
      <c r="R22" s="21">
        <f>'5-αντίγρ'!Q22</f>
        <v>0</v>
      </c>
      <c r="S22" s="22"/>
      <c r="T22" s="23"/>
      <c r="U22" s="84"/>
      <c r="V22" s="84"/>
      <c r="W22" s="80"/>
      <c r="X22" s="24"/>
      <c r="Y22" s="24"/>
      <c r="Z22" s="24"/>
      <c r="AA22" s="24"/>
      <c r="AB22" s="24"/>
      <c r="AC22" s="24"/>
    </row>
    <row r="23" spans="1:29" s="17" customFormat="1">
      <c r="A23" s="12">
        <f>'1-συμβολαια'!A23</f>
        <v>0</v>
      </c>
      <c r="B23" s="50"/>
      <c r="C23" s="79">
        <f>'1-συμβολαια'!B23</f>
        <v>0</v>
      </c>
      <c r="D23" s="18"/>
      <c r="E23" s="89" t="str">
        <f>'1-συμβολαια'!C23</f>
        <v>ΧΡΗΣΙΚΤΗΣΙΑ οικοπέδων 2'-3' = 1992 αδερφού ΚΛΗΡΟΝΟΜΙΑ άτυπη</v>
      </c>
      <c r="F23" s="13"/>
      <c r="G23" s="14">
        <f>'4-πολλυπρ'!D23</f>
        <v>0</v>
      </c>
      <c r="H23" s="14" t="str">
        <f>'4-πολλυπρ'!I23</f>
        <v>219-17</v>
      </c>
      <c r="I23" s="19"/>
      <c r="J23" s="19">
        <f>'1-συμβολαια'!D23</f>
        <v>1111.1099999999999</v>
      </c>
      <c r="K23" s="19"/>
      <c r="L23" s="26">
        <f>'11-χαρτόσ'!D23</f>
        <v>0</v>
      </c>
      <c r="M23" s="26"/>
      <c r="N23" s="26"/>
      <c r="O23" s="20"/>
      <c r="P23" s="16" t="e">
        <f>#REF!-R23</f>
        <v>#REF!</v>
      </c>
      <c r="Q23" s="15"/>
      <c r="R23" s="21">
        <f>'5-αντίγρ'!Q23</f>
        <v>0</v>
      </c>
      <c r="S23" s="22"/>
      <c r="T23" s="23"/>
      <c r="U23" s="84"/>
      <c r="V23" s="84"/>
      <c r="W23" s="80"/>
      <c r="X23" s="24"/>
      <c r="Y23" s="24"/>
      <c r="Z23" s="24"/>
      <c r="AA23" s="24"/>
      <c r="AB23" s="24"/>
      <c r="AC23" s="24"/>
    </row>
    <row r="24" spans="1:29" s="17" customFormat="1">
      <c r="A24" s="12">
        <f>'1-συμβολαια'!A24</f>
        <v>0</v>
      </c>
      <c r="B24" s="50"/>
      <c r="C24" s="79">
        <f>'1-συμβολαια'!B24</f>
        <v>0</v>
      </c>
      <c r="D24" s="18"/>
      <c r="E24" s="89" t="str">
        <f>'1-συμβολαια'!C24</f>
        <v>ΧΡΗΣΙΚΤΗΣΙΑ αγροτεμαχίου 9' = 1968 μητρός ΚΛΗΡΟΝΟΜΙΑ άτυπη</v>
      </c>
      <c r="F24" s="13"/>
      <c r="G24" s="14">
        <f>'4-πολλυπρ'!D24</f>
        <v>0</v>
      </c>
      <c r="H24" s="14" t="str">
        <f>'4-πολλυπρ'!I24</f>
        <v>219-17</v>
      </c>
      <c r="I24" s="19"/>
      <c r="J24" s="19">
        <f>'1-συμβολαια'!D24</f>
        <v>111.11</v>
      </c>
      <c r="K24" s="19"/>
      <c r="L24" s="26">
        <f>'11-χαρτόσ'!D24</f>
        <v>0</v>
      </c>
      <c r="M24" s="26"/>
      <c r="N24" s="26"/>
      <c r="O24" s="20"/>
      <c r="P24" s="16" t="e">
        <f>#REF!-R24</f>
        <v>#REF!</v>
      </c>
      <c r="Q24" s="15"/>
      <c r="R24" s="21">
        <f>'5-αντίγρ'!Q24</f>
        <v>0</v>
      </c>
      <c r="S24" s="22"/>
      <c r="T24" s="23"/>
      <c r="U24" s="84"/>
      <c r="V24" s="84"/>
      <c r="W24" s="80"/>
      <c r="X24" s="24"/>
      <c r="Y24" s="24"/>
      <c r="Z24" s="24"/>
      <c r="AA24" s="24"/>
      <c r="AB24" s="24"/>
      <c r="AC24" s="24"/>
    </row>
    <row r="25" spans="1:29" s="17" customFormat="1">
      <c r="A25" s="12">
        <f>'1-συμβολαια'!A25</f>
        <v>0</v>
      </c>
      <c r="B25" s="50"/>
      <c r="C25" s="79">
        <f>'1-συμβολαια'!B25</f>
        <v>0</v>
      </c>
      <c r="D25" s="18"/>
      <c r="E25" s="89" t="str">
        <f>'1-συμβολαια'!C25</f>
        <v>ΧΡΗΣΙΚΤΗΣΙΑ οικοπέδου 4' = 19?? ΑΓΟΡΑΠΩΛΗΣΙΑ άτυπη</v>
      </c>
      <c r="F25" s="13"/>
      <c r="G25" s="14">
        <f>'4-πολλυπρ'!D25</f>
        <v>0</v>
      </c>
      <c r="H25" s="14" t="str">
        <f>'4-πολλυπρ'!I25</f>
        <v>219-17</v>
      </c>
      <c r="I25" s="19"/>
      <c r="J25" s="19">
        <f>'1-συμβολαια'!D25</f>
        <v>111.11</v>
      </c>
      <c r="K25" s="19"/>
      <c r="L25" s="26">
        <f>'11-χαρτόσ'!D25</f>
        <v>0</v>
      </c>
      <c r="M25" s="26"/>
      <c r="N25" s="26"/>
      <c r="O25" s="20"/>
      <c r="P25" s="16" t="e">
        <f>#REF!-R25</f>
        <v>#REF!</v>
      </c>
      <c r="Q25" s="15"/>
      <c r="R25" s="21">
        <f>'5-αντίγρ'!Q25</f>
        <v>0</v>
      </c>
      <c r="S25" s="22"/>
      <c r="T25" s="23"/>
      <c r="U25" s="84"/>
      <c r="V25" s="84"/>
      <c r="W25" s="80"/>
      <c r="X25" s="24"/>
      <c r="Y25" s="24"/>
      <c r="Z25" s="24"/>
      <c r="AA25" s="24"/>
      <c r="AB25" s="24"/>
      <c r="AC25" s="24"/>
    </row>
    <row r="26" spans="1:29" s="17" customFormat="1">
      <c r="A26" s="12">
        <f>'1-συμβολαια'!A26</f>
        <v>0</v>
      </c>
      <c r="B26" s="50"/>
      <c r="C26" s="79">
        <f>'1-συμβολαια'!B26</f>
        <v>0</v>
      </c>
      <c r="D26" s="18"/>
      <c r="E26" s="89" t="str">
        <f>'1-συμβολαια'!C26</f>
        <v>ΧΡΗΣΙΚΤΗΣΙΑ αγροτεμαχίου 8' = 19??? ΑΓΟΡΑΠΩΛΗΣΙΑ άτυπη</v>
      </c>
      <c r="F26" s="13"/>
      <c r="G26" s="14">
        <f>'4-πολλυπρ'!D26</f>
        <v>0</v>
      </c>
      <c r="H26" s="14" t="str">
        <f>'4-πολλυπρ'!I26</f>
        <v>219-17</v>
      </c>
      <c r="I26" s="19"/>
      <c r="J26" s="19">
        <f>'1-συμβολαια'!D26</f>
        <v>1111.1099999999999</v>
      </c>
      <c r="K26" s="19"/>
      <c r="L26" s="26">
        <f>'11-χαρτόσ'!D26</f>
        <v>0</v>
      </c>
      <c r="M26" s="26"/>
      <c r="N26" s="26"/>
      <c r="O26" s="20"/>
      <c r="P26" s="16" t="e">
        <f>#REF!-R26</f>
        <v>#REF!</v>
      </c>
      <c r="Q26" s="15"/>
      <c r="R26" s="21">
        <f>'5-αντίγρ'!Q26</f>
        <v>0</v>
      </c>
      <c r="S26" s="22"/>
      <c r="T26" s="23"/>
      <c r="U26" s="84"/>
      <c r="V26" s="84"/>
      <c r="W26" s="80"/>
      <c r="X26" s="24"/>
      <c r="Y26" s="24"/>
      <c r="Z26" s="24"/>
      <c r="AA26" s="24"/>
      <c r="AB26" s="24"/>
      <c r="AC26" s="24"/>
    </row>
    <row r="27" spans="1:29" s="17" customFormat="1">
      <c r="A27" s="12" t="str">
        <f>'1-συμβολαια'!A27</f>
        <v>14ο</v>
      </c>
      <c r="B27" s="50"/>
      <c r="C27" s="79">
        <f>'1-συμβολαια'!B27</f>
        <v>37930</v>
      </c>
      <c r="D27" s="18"/>
      <c r="E27" s="89" t="str">
        <f>'1-συμβολαια'!C27</f>
        <v>κληρονομιάς ΑΠΟΔΟΧΗ</v>
      </c>
      <c r="F27" s="13"/>
      <c r="G27" s="14" t="str">
        <f>'4-πολλυπρ'!D27</f>
        <v>219-17</v>
      </c>
      <c r="H27" s="14" t="str">
        <f>'4-πολλυπρ'!I27</f>
        <v>219-17</v>
      </c>
      <c r="I27" s="19"/>
      <c r="J27" s="19">
        <f>'1-συμβολαια'!D27</f>
        <v>0</v>
      </c>
      <c r="K27" s="19"/>
      <c r="L27" s="26">
        <f>'11-χαρτόσ'!D27</f>
        <v>0</v>
      </c>
      <c r="M27" s="26"/>
      <c r="N27" s="26"/>
      <c r="O27" s="20"/>
      <c r="P27" s="16" t="e">
        <f>#REF!-R27</f>
        <v>#REF!</v>
      </c>
      <c r="Q27" s="15"/>
      <c r="R27" s="21">
        <f>'5-αντίγρ'!Q27</f>
        <v>0</v>
      </c>
      <c r="S27" s="22"/>
      <c r="T27" s="23"/>
      <c r="U27" s="84"/>
      <c r="V27" s="84"/>
      <c r="W27" s="80"/>
      <c r="X27" s="24"/>
      <c r="Y27" s="24"/>
      <c r="Z27" s="24"/>
      <c r="AA27" s="24"/>
      <c r="AB27" s="24"/>
      <c r="AC27" s="24"/>
    </row>
    <row r="28" spans="1:29" s="17" customFormat="1">
      <c r="A28" s="12">
        <f>'1-συμβολαια'!A28</f>
        <v>0</v>
      </c>
      <c r="B28" s="50"/>
      <c r="C28" s="79">
        <f>'1-συμβολαια'!B28</f>
        <v>0</v>
      </c>
      <c r="D28" s="18"/>
      <c r="E28" s="89" t="str">
        <f>'1-συμβολαια'!C28</f>
        <v>ΧΡΗΣΙΚΤΗΣΙΑ οικοπέδου &amp; οικοδομής = 1935 πατρός ΚΛΗΡΟΝΟΜΙΑ άτυπη</v>
      </c>
      <c r="F28" s="13"/>
      <c r="G28" s="14">
        <f>'4-πολλυπρ'!D28</f>
        <v>0</v>
      </c>
      <c r="H28" s="14" t="str">
        <f>'4-πολλυπρ'!I28</f>
        <v>219-17</v>
      </c>
      <c r="I28" s="19"/>
      <c r="J28" s="19">
        <f>'1-συμβολαια'!D28</f>
        <v>1111.1099999999999</v>
      </c>
      <c r="K28" s="19"/>
      <c r="L28" s="26">
        <f>'11-χαρτόσ'!D28</f>
        <v>0</v>
      </c>
      <c r="M28" s="26"/>
      <c r="N28" s="26"/>
      <c r="O28" s="20"/>
      <c r="P28" s="16" t="e">
        <f>#REF!-R28</f>
        <v>#REF!</v>
      </c>
      <c r="Q28" s="15"/>
      <c r="R28" s="21">
        <f>'5-αντίγρ'!Q28</f>
        <v>0</v>
      </c>
      <c r="S28" s="22"/>
      <c r="T28" s="23"/>
      <c r="U28" s="84"/>
      <c r="V28" s="84"/>
      <c r="W28" s="80"/>
      <c r="X28" s="24"/>
      <c r="Y28" s="24"/>
      <c r="Z28" s="24"/>
      <c r="AA28" s="24"/>
      <c r="AB28" s="24"/>
      <c r="AC28" s="24"/>
    </row>
    <row r="29" spans="1:29" s="17" customFormat="1">
      <c r="A29" s="12">
        <f>'1-συμβολαια'!A29</f>
        <v>0</v>
      </c>
      <c r="B29" s="50"/>
      <c r="C29" s="79">
        <f>'1-συμβολαια'!B29</f>
        <v>0</v>
      </c>
      <c r="D29" s="18"/>
      <c r="E29" s="89" t="str">
        <f>'1-συμβολαια'!C29</f>
        <v>ΧΡΗΣΙΚΤΗΣΙΑ οικοπέδων 2'-3' = 1992 αδερφού ΚΛΗΡΟΝΟΜΙΑ άτυπη</v>
      </c>
      <c r="F29" s="13"/>
      <c r="G29" s="14">
        <f>'4-πολλυπρ'!D29</f>
        <v>0</v>
      </c>
      <c r="H29" s="14" t="str">
        <f>'4-πολλυπρ'!I29</f>
        <v>219-17</v>
      </c>
      <c r="I29" s="19"/>
      <c r="J29" s="19">
        <f>'1-συμβολαια'!D29</f>
        <v>1111.1099999999999</v>
      </c>
      <c r="K29" s="19"/>
      <c r="L29" s="26">
        <f>'11-χαρτόσ'!D29</f>
        <v>0</v>
      </c>
      <c r="M29" s="26"/>
      <c r="N29" s="26"/>
      <c r="O29" s="20"/>
      <c r="P29" s="16" t="e">
        <f>#REF!-R29</f>
        <v>#REF!</v>
      </c>
      <c r="Q29" s="15"/>
      <c r="R29" s="21">
        <f>'5-αντίγρ'!Q29</f>
        <v>0</v>
      </c>
      <c r="S29" s="22"/>
      <c r="T29" s="23"/>
      <c r="U29" s="84"/>
      <c r="V29" s="84"/>
      <c r="W29" s="80"/>
      <c r="X29" s="24"/>
      <c r="Y29" s="24"/>
      <c r="Z29" s="24"/>
      <c r="AA29" s="24"/>
      <c r="AB29" s="24"/>
      <c r="AC29" s="24"/>
    </row>
    <row r="30" spans="1:29" s="17" customFormat="1">
      <c r="A30" s="12">
        <f>'1-συμβολαια'!A30</f>
        <v>0</v>
      </c>
      <c r="B30" s="50"/>
      <c r="C30" s="79">
        <f>'1-συμβολαια'!B30</f>
        <v>0</v>
      </c>
      <c r="D30" s="18"/>
      <c r="E30" s="89" t="str">
        <f>'1-συμβολαια'!C30</f>
        <v>ΧΡΗΣΙΚΤΗΣΙΑ αγροτεμαχίου 9' = 1968 μητρός ΚΛΗΡΟΝΟΜΙΑ άτυπη</v>
      </c>
      <c r="F30" s="13"/>
      <c r="G30" s="14">
        <f>'4-πολλυπρ'!D30</f>
        <v>0</v>
      </c>
      <c r="H30" s="14" t="str">
        <f>'4-πολλυπρ'!I30</f>
        <v>219-17</v>
      </c>
      <c r="I30" s="19"/>
      <c r="J30" s="19">
        <f>'1-συμβολαια'!D30</f>
        <v>111.11</v>
      </c>
      <c r="K30" s="19"/>
      <c r="L30" s="26">
        <f>'11-χαρτόσ'!D30</f>
        <v>0</v>
      </c>
      <c r="M30" s="26"/>
      <c r="N30" s="26"/>
      <c r="O30" s="20"/>
      <c r="P30" s="16" t="e">
        <f>#REF!-R30</f>
        <v>#REF!</v>
      </c>
      <c r="Q30" s="15"/>
      <c r="R30" s="21">
        <f>'5-αντίγρ'!Q30</f>
        <v>0</v>
      </c>
      <c r="S30" s="22"/>
      <c r="T30" s="23"/>
      <c r="U30" s="84"/>
      <c r="V30" s="84"/>
      <c r="W30" s="80"/>
      <c r="X30" s="24"/>
      <c r="Y30" s="24"/>
      <c r="Z30" s="24"/>
      <c r="AA30" s="24"/>
      <c r="AB30" s="24"/>
      <c r="AC30" s="24"/>
    </row>
    <row r="31" spans="1:29" s="17" customFormat="1">
      <c r="A31" s="12">
        <f>'1-συμβολαια'!A31</f>
        <v>0</v>
      </c>
      <c r="B31" s="50"/>
      <c r="C31" s="79">
        <f>'1-συμβολαια'!B31</f>
        <v>0</v>
      </c>
      <c r="D31" s="18"/>
      <c r="E31" s="89" t="str">
        <f>'1-συμβολαια'!C31</f>
        <v>ΧΡΗΣΙΚΤΗΣΙΑ οικοπέδου 4' = 19?? ΑΓΟΡΑΠΩΛΗΣΙΑ άτυπη</v>
      </c>
      <c r="F31" s="13"/>
      <c r="G31" s="14">
        <f>'4-πολλυπρ'!D31</f>
        <v>0</v>
      </c>
      <c r="H31" s="14" t="str">
        <f>'4-πολλυπρ'!I31</f>
        <v>219-17</v>
      </c>
      <c r="I31" s="19"/>
      <c r="J31" s="19">
        <f>'1-συμβολαια'!D31</f>
        <v>111.11</v>
      </c>
      <c r="K31" s="19"/>
      <c r="L31" s="26">
        <f>'11-χαρτόσ'!D31</f>
        <v>0</v>
      </c>
      <c r="M31" s="26"/>
      <c r="N31" s="26"/>
      <c r="O31" s="20"/>
      <c r="P31" s="16" t="e">
        <f>#REF!-R31</f>
        <v>#REF!</v>
      </c>
      <c r="Q31" s="15"/>
      <c r="R31" s="21">
        <f>'5-αντίγρ'!Q31</f>
        <v>0</v>
      </c>
      <c r="S31" s="22"/>
      <c r="T31" s="23"/>
      <c r="U31" s="84"/>
      <c r="V31" s="84"/>
      <c r="W31" s="80"/>
      <c r="X31" s="24"/>
      <c r="Y31" s="24"/>
      <c r="Z31" s="24"/>
      <c r="AA31" s="24"/>
      <c r="AB31" s="24"/>
      <c r="AC31" s="24"/>
    </row>
    <row r="32" spans="1:29" s="17" customFormat="1">
      <c r="A32" s="12">
        <f>'1-συμβολαια'!A32</f>
        <v>0</v>
      </c>
      <c r="B32" s="50"/>
      <c r="C32" s="79">
        <f>'1-συμβολαια'!B32</f>
        <v>0</v>
      </c>
      <c r="D32" s="18"/>
      <c r="E32" s="89" t="str">
        <f>'1-συμβολαια'!C32</f>
        <v>ΧΡΗΣΙΚΤΗΣΙΑ αγροτεμαχίου 8' = 19??? ΑΓΟΡΑΠΩΛΗΣΙΑ άτυπη</v>
      </c>
      <c r="F32" s="13"/>
      <c r="G32" s="14">
        <f>'4-πολλυπρ'!D32</f>
        <v>0</v>
      </c>
      <c r="H32" s="14" t="str">
        <f>'4-πολλυπρ'!I32</f>
        <v>219-17</v>
      </c>
      <c r="I32" s="19"/>
      <c r="J32" s="19">
        <f>'1-συμβολαια'!D32</f>
        <v>1111.1099999999999</v>
      </c>
      <c r="K32" s="19"/>
      <c r="L32" s="26">
        <f>'11-χαρτόσ'!D32</f>
        <v>0</v>
      </c>
      <c r="M32" s="26"/>
      <c r="N32" s="26"/>
      <c r="O32" s="20"/>
      <c r="P32" s="16" t="e">
        <f>#REF!-R32</f>
        <v>#REF!</v>
      </c>
      <c r="Q32" s="15"/>
      <c r="R32" s="21">
        <f>'5-αντίγρ'!Q32</f>
        <v>0</v>
      </c>
      <c r="S32" s="22"/>
      <c r="T32" s="23"/>
      <c r="U32" s="84"/>
      <c r="V32" s="84"/>
      <c r="W32" s="80"/>
      <c r="X32" s="24"/>
      <c r="Y32" s="24"/>
      <c r="Z32" s="24"/>
      <c r="AA32" s="24"/>
      <c r="AB32" s="24"/>
      <c r="AC32" s="24"/>
    </row>
    <row r="33" spans="1:35" s="17" customFormat="1">
      <c r="A33" s="12" t="str">
        <f>'1-συμβολαια'!A33</f>
        <v>15ο</v>
      </c>
      <c r="B33" s="50"/>
      <c r="C33" s="79">
        <f>'1-συμβολαια'!B33</f>
        <v>37930</v>
      </c>
      <c r="D33" s="18"/>
      <c r="E33" s="89" t="str">
        <f>'1-συμβολαια'!C33</f>
        <v>αγοραπωλησία τίμημα = Δ.Ο.Υ. =</v>
      </c>
      <c r="F33" s="13"/>
      <c r="G33" s="14" t="str">
        <f>'4-πολλυπρ'!D33</f>
        <v>219-17</v>
      </c>
      <c r="H33" s="14" t="str">
        <f>'4-πολλυπρ'!I33</f>
        <v>219-17</v>
      </c>
      <c r="I33" s="19"/>
      <c r="J33" s="19">
        <f>'1-συμβολαια'!D33</f>
        <v>8237.2199999999993</v>
      </c>
      <c r="K33" s="19"/>
      <c r="L33" s="26">
        <f>'11-χαρτόσ'!D33</f>
        <v>0</v>
      </c>
      <c r="M33" s="26"/>
      <c r="N33" s="26"/>
      <c r="O33" s="20"/>
      <c r="P33" s="16" t="e">
        <f>#REF!-R33</f>
        <v>#REF!</v>
      </c>
      <c r="Q33" s="15"/>
      <c r="R33" s="21">
        <f>'5-αντίγρ'!Q33</f>
        <v>19.186200000000003</v>
      </c>
      <c r="S33" s="22"/>
      <c r="T33" s="23"/>
      <c r="U33" s="84"/>
      <c r="V33" s="84"/>
      <c r="W33" s="80"/>
      <c r="X33" s="24"/>
      <c r="Y33" s="24"/>
      <c r="Z33" s="24"/>
      <c r="AA33" s="24"/>
      <c r="AB33" s="24"/>
      <c r="AC33" s="24"/>
    </row>
    <row r="34" spans="1:35" s="17" customFormat="1">
      <c r="A34" s="12" t="str">
        <f>'1-συμβολαια'!A34</f>
        <v>16ο</v>
      </c>
      <c r="B34" s="50"/>
      <c r="C34" s="79">
        <f>'1-συμβολαια'!B34</f>
        <v>38029</v>
      </c>
      <c r="D34" s="18"/>
      <c r="E34" s="89" t="str">
        <f>'1-συμβολαια'!C34</f>
        <v>πληρεξούσιο</v>
      </c>
      <c r="F34" s="13"/>
      <c r="G34" s="14" t="str">
        <f>'4-πολλυπρ'!D34</f>
        <v>219-17</v>
      </c>
      <c r="H34" s="14" t="str">
        <f>'4-πολλυπρ'!I34</f>
        <v>219-17</v>
      </c>
      <c r="I34" s="19"/>
      <c r="J34" s="19">
        <f>'1-συμβολαια'!D34</f>
        <v>0</v>
      </c>
      <c r="K34" s="19"/>
      <c r="L34" s="26">
        <f>'11-χαρτόσ'!D34</f>
        <v>0</v>
      </c>
      <c r="M34" s="26"/>
      <c r="N34" s="26"/>
      <c r="O34" s="20"/>
      <c r="P34" s="16" t="e">
        <f>#REF!-R34</f>
        <v>#REF!</v>
      </c>
      <c r="Q34" s="15"/>
      <c r="R34" s="21">
        <f>'5-αντίγρ'!Q34</f>
        <v>0</v>
      </c>
      <c r="S34" s="22"/>
      <c r="T34" s="23"/>
      <c r="U34" s="84"/>
      <c r="V34" s="84"/>
      <c r="W34" s="80"/>
      <c r="X34" s="24"/>
      <c r="Y34" s="24"/>
      <c r="Z34" s="24"/>
      <c r="AA34" s="24"/>
      <c r="AB34" s="24"/>
      <c r="AC34" s="24"/>
    </row>
    <row r="35" spans="1:35" s="17" customFormat="1">
      <c r="A35" s="12" t="str">
        <f>'1-συμβολαια'!A35</f>
        <v>17ο</v>
      </c>
      <c r="B35" s="50"/>
      <c r="C35" s="79">
        <f>'1-συμβολαια'!B35</f>
        <v>38029</v>
      </c>
      <c r="D35" s="18"/>
      <c r="E35" s="89" t="str">
        <f>'1-συμβολαια'!C35</f>
        <v>πληρεξούσιο</v>
      </c>
      <c r="F35" s="13"/>
      <c r="G35" s="14" t="str">
        <f>'4-πολλυπρ'!D35</f>
        <v>219-17</v>
      </c>
      <c r="H35" s="14" t="str">
        <f>'4-πολλυπρ'!I35</f>
        <v>219-17</v>
      </c>
      <c r="I35" s="19"/>
      <c r="J35" s="19">
        <f>'1-συμβολαια'!D35</f>
        <v>0</v>
      </c>
      <c r="K35" s="19"/>
      <c r="L35" s="26">
        <f>'11-χαρτόσ'!D35</f>
        <v>0</v>
      </c>
      <c r="M35" s="26"/>
      <c r="N35" s="26"/>
      <c r="O35" s="20"/>
      <c r="P35" s="16" t="e">
        <f>#REF!-R35</f>
        <v>#REF!</v>
      </c>
      <c r="Q35" s="15"/>
      <c r="R35" s="21">
        <f>'5-αντίγρ'!Q35</f>
        <v>0</v>
      </c>
      <c r="S35" s="22"/>
      <c r="T35" s="23"/>
      <c r="U35" s="84"/>
      <c r="V35" s="84"/>
      <c r="W35" s="80"/>
      <c r="X35" s="24"/>
      <c r="Y35" s="24"/>
      <c r="Z35" s="24"/>
      <c r="AA35" s="24"/>
      <c r="AB35" s="24"/>
      <c r="AC35" s="24"/>
    </row>
    <row r="36" spans="1:35" s="17" customFormat="1">
      <c r="A36" s="12" t="str">
        <f>'1-συμβολαια'!A36</f>
        <v>18ο</v>
      </c>
      <c r="B36" s="50"/>
      <c r="C36" s="79">
        <f>'1-συμβολαια'!B36</f>
        <v>38030</v>
      </c>
      <c r="D36" s="18"/>
      <c r="E36" s="89" t="str">
        <f>'1-συμβολαια'!C36</f>
        <v>αποδοχή κληρονομιάς</v>
      </c>
      <c r="F36" s="13"/>
      <c r="G36" s="14" t="str">
        <f>'4-πολλυπρ'!D36</f>
        <v>219-17</v>
      </c>
      <c r="H36" s="14" t="str">
        <f>'4-πολλυπρ'!I36</f>
        <v>219-17</v>
      </c>
      <c r="I36" s="19"/>
      <c r="J36" s="19">
        <f>'1-συμβολαια'!D36</f>
        <v>0</v>
      </c>
      <c r="K36" s="19"/>
      <c r="L36" s="26">
        <f>'11-χαρτόσ'!D36</f>
        <v>0</v>
      </c>
      <c r="M36" s="26"/>
      <c r="N36" s="26"/>
      <c r="O36" s="20"/>
      <c r="P36" s="16" t="e">
        <f>#REF!-R36</f>
        <v>#REF!</v>
      </c>
      <c r="Q36" s="15"/>
      <c r="R36" s="21">
        <f>'5-αντίγρ'!Q36</f>
        <v>0</v>
      </c>
      <c r="S36" s="22"/>
      <c r="T36" s="23"/>
      <c r="U36" s="84"/>
      <c r="V36" s="84"/>
      <c r="W36" s="80"/>
      <c r="X36" s="24"/>
      <c r="Y36" s="24"/>
      <c r="Z36" s="24"/>
      <c r="AA36" s="24"/>
      <c r="AB36" s="24"/>
      <c r="AC36" s="24"/>
    </row>
    <row r="37" spans="1:35" s="17" customFormat="1">
      <c r="A37" s="12">
        <f>'1-συμβολαια'!A37</f>
        <v>0</v>
      </c>
      <c r="B37" s="50"/>
      <c r="C37" s="79">
        <f>'1-συμβολαια'!B37</f>
        <v>0</v>
      </c>
      <c r="D37" s="18"/>
      <c r="E37" s="89" t="str">
        <f>'1-συμβολαια'!C37</f>
        <v>ΧΡΗΣΙΚΤΗΣΙΑ  αγροτεμαχίου -1 = αναδασμός ΑΛΛΑ πριν ΑΓΟΡΑΠΩΛΗΣΙΑ άτυπος από ;;;??? το 19???</v>
      </c>
      <c r="F37" s="13"/>
      <c r="G37" s="14" t="str">
        <f>'4-πολλυπρ'!D37</f>
        <v>νιαπουΣτεργιανη</v>
      </c>
      <c r="H37" s="14" t="str">
        <f>'4-πολλυπρ'!I37</f>
        <v>219-17</v>
      </c>
      <c r="I37" s="19"/>
      <c r="J37" s="19">
        <f>'1-συμβολαια'!D37</f>
        <v>3333.33</v>
      </c>
      <c r="K37" s="19"/>
      <c r="L37" s="26">
        <f>'11-χαρτόσ'!D37</f>
        <v>0</v>
      </c>
      <c r="M37" s="26"/>
      <c r="N37" s="26"/>
      <c r="O37" s="20"/>
      <c r="P37" s="16" t="e">
        <f>#REF!-R37</f>
        <v>#REF!</v>
      </c>
      <c r="Q37" s="15"/>
      <c r="R37" s="21">
        <f>'5-αντίγρ'!Q37</f>
        <v>0</v>
      </c>
      <c r="S37" s="22"/>
      <c r="T37" s="23"/>
      <c r="U37" s="84"/>
      <c r="V37" s="84"/>
      <c r="W37" s="80"/>
      <c r="X37" s="24"/>
      <c r="Y37" s="24"/>
      <c r="Z37" s="24"/>
      <c r="AA37" s="24"/>
      <c r="AB37" s="24"/>
      <c r="AC37" s="24"/>
    </row>
    <row r="38" spans="1:35" s="17" customFormat="1">
      <c r="A38" s="12">
        <f>'1-συμβολαια'!A38</f>
        <v>0</v>
      </c>
      <c r="B38" s="50"/>
      <c r="C38" s="79">
        <f>'1-συμβολαια'!B38</f>
        <v>0</v>
      </c>
      <c r="D38" s="18"/>
      <c r="E38" s="89" t="str">
        <f>'1-συμβολαια'!C38</f>
        <v>ΧΡΗΣΙΚΤΗΣΙΑ  οικοπέδου -2 = 19?? ως αγροτεμάχιο με ΑΝΑΔΑΣΜΟ</v>
      </c>
      <c r="F38" s="13"/>
      <c r="G38" s="14">
        <f>'4-πολλυπρ'!D38</f>
        <v>0</v>
      </c>
      <c r="H38" s="14" t="str">
        <f>'4-πολλυπρ'!I38</f>
        <v>219-17</v>
      </c>
      <c r="I38" s="19"/>
      <c r="J38" s="19">
        <f>'1-συμβολαια'!D38</f>
        <v>33333.33</v>
      </c>
      <c r="K38" s="19"/>
      <c r="L38" s="26">
        <f>'11-χαρτόσ'!D38</f>
        <v>0</v>
      </c>
      <c r="M38" s="26"/>
      <c r="N38" s="26"/>
      <c r="O38" s="20"/>
      <c r="P38" s="16" t="e">
        <f>#REF!-R38</f>
        <v>#REF!</v>
      </c>
      <c r="Q38" s="15"/>
      <c r="R38" s="21">
        <f>'5-αντίγρ'!Q38</f>
        <v>0</v>
      </c>
      <c r="S38" s="22"/>
      <c r="T38" s="23"/>
      <c r="U38" s="84"/>
      <c r="V38" s="84"/>
      <c r="W38" s="80"/>
      <c r="X38" s="24"/>
      <c r="Y38" s="24"/>
      <c r="Z38" s="24"/>
      <c r="AA38" s="24"/>
      <c r="AB38" s="24"/>
      <c r="AC38" s="24"/>
    </row>
    <row r="39" spans="1:35" s="17" customFormat="1">
      <c r="A39" s="12">
        <f>'1-συμβολαια'!A39</f>
        <v>0</v>
      </c>
      <c r="B39" s="50"/>
      <c r="C39" s="79">
        <f>'1-συμβολαια'!B39</f>
        <v>0</v>
      </c>
      <c r="D39" s="18"/>
      <c r="E39" s="89" t="str">
        <f>'1-συμβολαια'!C39</f>
        <v>ΧΡΗΣΙΚΤΗΣΙΑ  οικοπέδου -4 = 19?? ;;;???</v>
      </c>
      <c r="F39" s="13"/>
      <c r="G39" s="14">
        <f>'4-πολλυπρ'!D39</f>
        <v>0</v>
      </c>
      <c r="H39" s="14" t="str">
        <f>'4-πολλυπρ'!I39</f>
        <v>219-17</v>
      </c>
      <c r="I39" s="19"/>
      <c r="J39" s="19">
        <f>'1-συμβολαια'!D39</f>
        <v>11111.11</v>
      </c>
      <c r="K39" s="19"/>
      <c r="L39" s="26">
        <f>'11-χαρτόσ'!D39</f>
        <v>0</v>
      </c>
      <c r="M39" s="26"/>
      <c r="N39" s="26"/>
      <c r="O39" s="20"/>
      <c r="P39" s="16" t="e">
        <f>#REF!-R39</f>
        <v>#REF!</v>
      </c>
      <c r="Q39" s="15"/>
      <c r="R39" s="21">
        <f>'5-αντίγρ'!Q39</f>
        <v>0</v>
      </c>
      <c r="S39" s="22"/>
      <c r="T39" s="23"/>
      <c r="U39" s="84"/>
      <c r="V39" s="84"/>
      <c r="W39" s="80"/>
      <c r="X39" s="24"/>
      <c r="Y39" s="24"/>
      <c r="Z39" s="24"/>
      <c r="AA39" s="24"/>
      <c r="AB39" s="24"/>
      <c r="AC39" s="24"/>
    </row>
    <row r="40" spans="1:35" s="17" customFormat="1">
      <c r="A40" s="12" t="str">
        <f>'1-συμβολαια'!A40</f>
        <v>19ο</v>
      </c>
      <c r="B40" s="50"/>
      <c r="C40" s="79">
        <f>'1-συμβολαια'!B40</f>
        <v>38350</v>
      </c>
      <c r="D40" s="18"/>
      <c r="E40" s="89" t="str">
        <f>'1-συμβολαια'!C40</f>
        <v>*γονική ΨΙΛΗΣ ΚΥΡΙΟΤΗΤΑΣ</v>
      </c>
      <c r="F40" s="13"/>
      <c r="G40" s="14" t="str">
        <f>'4-πολλυπρ'!D40</f>
        <v>219-17</v>
      </c>
      <c r="H40" s="14" t="str">
        <f>'4-πολλυπρ'!I40</f>
        <v>219-17</v>
      </c>
      <c r="I40" s="19"/>
      <c r="J40" s="19">
        <f>'1-συμβολαια'!D40</f>
        <v>18629.93</v>
      </c>
      <c r="K40" s="19"/>
      <c r="L40" s="26">
        <f>'11-χαρτόσ'!D40</f>
        <v>0</v>
      </c>
      <c r="M40" s="26"/>
      <c r="N40" s="26"/>
      <c r="O40" s="20"/>
      <c r="P40" s="16" t="e">
        <f>#REF!-R40</f>
        <v>#REF!</v>
      </c>
      <c r="Q40" s="15"/>
      <c r="R40" s="21">
        <f>'5-αντίγρ'!Q40</f>
        <v>0</v>
      </c>
      <c r="S40" s="22"/>
      <c r="T40" s="23"/>
      <c r="U40" s="84"/>
      <c r="V40" s="84"/>
      <c r="W40" s="80"/>
      <c r="X40" s="24"/>
      <c r="Y40" s="24"/>
      <c r="Z40" s="24"/>
      <c r="AA40" s="24"/>
      <c r="AB40" s="24"/>
      <c r="AC40" s="24"/>
    </row>
    <row r="41" spans="1:35" s="17" customFormat="1">
      <c r="A41" s="12" t="str">
        <f>'1-συμβολαια'!A41</f>
        <v>20ο</v>
      </c>
      <c r="B41" s="50"/>
      <c r="C41" s="79">
        <f>'1-συμβολαια'!B41</f>
        <v>38350</v>
      </c>
      <c r="D41" s="18"/>
      <c r="E41" s="89" t="str">
        <f>'1-συμβολαια'!C41</f>
        <v>δωρεά</v>
      </c>
      <c r="F41" s="13"/>
      <c r="G41" s="14" t="str">
        <f>'4-πολλυπρ'!D41</f>
        <v>219-17</v>
      </c>
      <c r="H41" s="14" t="str">
        <f>'4-πολλυπρ'!I41</f>
        <v>219-17</v>
      </c>
      <c r="I41" s="19"/>
      <c r="J41" s="19">
        <f>'1-συμβολαια'!D41</f>
        <v>26827.1</v>
      </c>
      <c r="K41" s="19"/>
      <c r="L41" s="26">
        <f>'11-χαρτόσ'!D41</f>
        <v>0</v>
      </c>
      <c r="M41" s="26"/>
      <c r="N41" s="26"/>
      <c r="O41" s="20"/>
      <c r="P41" s="16" t="e">
        <f>#REF!-R41</f>
        <v>#REF!</v>
      </c>
      <c r="Q41" s="15"/>
      <c r="R41" s="21">
        <f>'5-αντίγρ'!Q41</f>
        <v>3.5529999999999999</v>
      </c>
      <c r="S41" s="22"/>
      <c r="T41" s="23"/>
      <c r="U41" s="84"/>
      <c r="V41" s="84"/>
      <c r="W41" s="80"/>
      <c r="X41" s="24"/>
      <c r="Y41" s="24"/>
      <c r="Z41" s="24"/>
      <c r="AA41" s="24"/>
      <c r="AB41" s="24"/>
      <c r="AC41" s="24"/>
    </row>
    <row r="42" spans="1:35" s="17" customFormat="1">
      <c r="A42" s="12">
        <f>'1-συμβολαια'!A42</f>
        <v>0</v>
      </c>
      <c r="B42" s="50"/>
      <c r="C42" s="79">
        <f>'1-συμβολαια'!B42</f>
        <v>0</v>
      </c>
      <c r="D42" s="18"/>
      <c r="E42" s="89" t="str">
        <f>'1-συμβολαια'!C42</f>
        <v>χρησικτησία 1/2 οικοπέδου &amp; οικίας = συζυγου 1972 ΔΩΡΕΑ άτυπος</v>
      </c>
      <c r="F42" s="13"/>
      <c r="G42" s="14">
        <f>'4-πολλυπρ'!D42</f>
        <v>0</v>
      </c>
      <c r="H42" s="14" t="str">
        <f>'4-πολλυπρ'!I42</f>
        <v>κΑναστασια {Γ-Π}</v>
      </c>
      <c r="I42" s="19"/>
      <c r="J42" s="19">
        <f>'1-συμβολαια'!D42</f>
        <v>11206.2</v>
      </c>
      <c r="K42" s="19"/>
      <c r="L42" s="26">
        <f>'11-χαρτόσ'!D42</f>
        <v>0</v>
      </c>
      <c r="M42" s="26"/>
      <c r="N42" s="26"/>
      <c r="O42" s="20"/>
      <c r="P42" s="16" t="e">
        <f>#REF!-R42</f>
        <v>#REF!</v>
      </c>
      <c r="Q42" s="15"/>
      <c r="R42" s="21">
        <f>'5-αντίγρ'!Q42</f>
        <v>0</v>
      </c>
      <c r="S42" s="22"/>
      <c r="T42" s="23"/>
      <c r="U42" s="84"/>
      <c r="V42" s="84"/>
      <c r="W42" s="80"/>
      <c r="X42" s="24"/>
      <c r="Y42" s="24"/>
      <c r="Z42" s="24"/>
      <c r="AA42" s="24"/>
      <c r="AB42" s="24"/>
      <c r="AC42" s="24"/>
    </row>
    <row r="43" spans="1:35">
      <c r="A43" s="683" t="s">
        <v>56</v>
      </c>
      <c r="B43" s="684"/>
      <c r="C43" s="684"/>
      <c r="D43" s="684"/>
      <c r="E43" s="684"/>
      <c r="F43" s="684"/>
      <c r="G43" s="684"/>
      <c r="H43" s="684"/>
      <c r="I43" s="684"/>
      <c r="J43" s="684"/>
      <c r="K43" s="45"/>
      <c r="L43" s="1">
        <f>SUM(L3:L42)</f>
        <v>0</v>
      </c>
      <c r="M43" s="1"/>
      <c r="N43" s="1"/>
      <c r="O43" s="1">
        <f>SUM(O3:O42)</f>
        <v>0</v>
      </c>
      <c r="P43" s="38" t="e">
        <f>SUM(P3:P42)</f>
        <v>#REF!</v>
      </c>
      <c r="Q43" s="1">
        <f>SUM(Q3:Q42)</f>
        <v>0</v>
      </c>
      <c r="R43" s="1">
        <f>SUM(R3:R42)</f>
        <v>30.200500000000005</v>
      </c>
      <c r="S43" s="1">
        <f>SUM(S3:S42)</f>
        <v>0</v>
      </c>
      <c r="T43" s="3"/>
      <c r="U43" s="81"/>
      <c r="V43" s="81"/>
    </row>
    <row r="44" spans="1:35">
      <c r="T44" s="116"/>
    </row>
    <row r="45" spans="1:35" ht="15.75" customHeight="1">
      <c r="T45" s="116"/>
      <c r="U45" s="885" t="s">
        <v>119</v>
      </c>
      <c r="V45" s="885"/>
      <c r="W45" s="885"/>
      <c r="X45" s="885"/>
      <c r="Y45" s="885"/>
      <c r="Z45" s="885"/>
      <c r="AA45" s="885"/>
      <c r="AB45" s="885"/>
      <c r="AC45" s="885"/>
      <c r="AD45" s="114"/>
      <c r="AE45" s="114"/>
      <c r="AF45" s="114"/>
      <c r="AG45" s="114"/>
      <c r="AH45" s="110"/>
      <c r="AI45" s="110"/>
    </row>
    <row r="46" spans="1:35" ht="15.75" customHeight="1">
      <c r="T46" s="116"/>
      <c r="U46" s="115"/>
      <c r="V46" s="886" t="s">
        <v>120</v>
      </c>
      <c r="W46" s="886"/>
      <c r="X46" s="886"/>
      <c r="Y46" s="886"/>
      <c r="Z46" s="886"/>
      <c r="AA46" s="886"/>
      <c r="AB46" s="886"/>
      <c r="AC46" s="886"/>
      <c r="AD46" s="886"/>
      <c r="AE46" s="110"/>
      <c r="AF46" s="110"/>
      <c r="AG46" s="110"/>
      <c r="AH46" s="110"/>
      <c r="AI46" s="110"/>
    </row>
    <row r="47" spans="1:35" ht="15.75" customHeight="1">
      <c r="T47" s="116"/>
      <c r="U47" s="115"/>
      <c r="V47" s="115"/>
      <c r="W47" s="885" t="s">
        <v>121</v>
      </c>
      <c r="X47" s="885"/>
      <c r="Y47" s="885"/>
      <c r="Z47" s="885"/>
      <c r="AA47" s="885"/>
      <c r="AB47" s="885"/>
      <c r="AC47" s="885"/>
      <c r="AD47" s="885"/>
      <c r="AE47" s="885"/>
      <c r="AF47" s="110"/>
      <c r="AG47" s="110"/>
      <c r="AH47" s="110"/>
      <c r="AI47" s="110"/>
    </row>
    <row r="48" spans="1:35" ht="15.75">
      <c r="U48" s="115"/>
      <c r="V48" s="115"/>
      <c r="W48" s="115"/>
      <c r="X48" s="886" t="s">
        <v>122</v>
      </c>
      <c r="Y48" s="886"/>
      <c r="Z48" s="886"/>
      <c r="AA48" s="886"/>
      <c r="AB48" s="886"/>
      <c r="AC48" s="886"/>
      <c r="AD48" s="886"/>
      <c r="AE48" s="886"/>
      <c r="AF48" s="886"/>
      <c r="AG48" s="110"/>
      <c r="AH48" s="110"/>
      <c r="AI48" s="110"/>
    </row>
    <row r="49" spans="21:35" ht="15.75">
      <c r="U49" s="115"/>
      <c r="V49" s="115"/>
      <c r="W49" s="115"/>
      <c r="X49" s="115"/>
      <c r="Y49" s="885" t="s">
        <v>123</v>
      </c>
      <c r="Z49" s="885"/>
      <c r="AA49" s="885"/>
      <c r="AB49" s="885"/>
      <c r="AC49" s="885"/>
      <c r="AD49" s="885"/>
      <c r="AE49" s="885"/>
      <c r="AF49" s="885"/>
      <c r="AG49" s="885"/>
      <c r="AH49" s="110"/>
      <c r="AI49" s="110"/>
    </row>
    <row r="50" spans="21:35" ht="15.75">
      <c r="U50" s="115"/>
      <c r="V50" s="115"/>
      <c r="W50" s="115"/>
      <c r="X50" s="115"/>
      <c r="Y50" s="115"/>
      <c r="Z50" s="886" t="s">
        <v>124</v>
      </c>
      <c r="AA50" s="886"/>
      <c r="AB50" s="886"/>
      <c r="AC50" s="886"/>
      <c r="AD50" s="886"/>
      <c r="AE50" s="886"/>
      <c r="AF50" s="886"/>
      <c r="AG50" s="886"/>
      <c r="AH50" s="886"/>
      <c r="AI50" s="110"/>
    </row>
    <row r="51" spans="21:35" ht="15.75">
      <c r="U51" s="115"/>
      <c r="V51" s="115"/>
      <c r="W51" s="115"/>
      <c r="X51" s="115"/>
      <c r="Y51" s="115"/>
      <c r="Z51" s="115"/>
      <c r="AA51" s="885" t="s">
        <v>125</v>
      </c>
      <c r="AB51" s="885"/>
      <c r="AC51" s="885"/>
      <c r="AD51" s="885"/>
      <c r="AE51" s="885"/>
      <c r="AF51" s="885"/>
      <c r="AG51" s="885"/>
      <c r="AH51" s="885"/>
      <c r="AI51" s="885"/>
    </row>
  </sheetData>
  <mergeCells count="18">
    <mergeCell ref="W47:AE47"/>
    <mergeCell ref="X48:AF48"/>
    <mergeCell ref="Y49:AG49"/>
    <mergeCell ref="Z50:AH50"/>
    <mergeCell ref="AA51:AI51"/>
    <mergeCell ref="U45:AC45"/>
    <mergeCell ref="V46:AD46"/>
    <mergeCell ref="U1:AC2"/>
    <mergeCell ref="T1:T2"/>
    <mergeCell ref="R1:S1"/>
    <mergeCell ref="A43:J43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45"/>
  <sheetViews>
    <sheetView workbookViewId="0">
      <pane ySplit="2" topLeftCell="A3" activePane="bottomLeft" state="frozen"/>
      <selection pane="bottomLeft" activeCell="B52" sqref="B5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2" customFormat="1" ht="32.25" customHeight="1">
      <c r="A1" s="916" t="s">
        <v>31</v>
      </c>
      <c r="B1" s="917"/>
      <c r="C1" s="917"/>
      <c r="D1" s="917"/>
      <c r="E1" s="918"/>
      <c r="F1" s="919" t="s">
        <v>287</v>
      </c>
      <c r="G1" s="920"/>
      <c r="H1" s="920"/>
      <c r="I1" s="921"/>
      <c r="J1" s="912" t="s">
        <v>288</v>
      </c>
      <c r="K1" s="913"/>
      <c r="L1" s="913"/>
      <c r="M1" s="913"/>
      <c r="N1" s="913"/>
      <c r="O1" s="913"/>
      <c r="P1" s="913"/>
      <c r="Q1" s="913"/>
      <c r="R1" s="913"/>
      <c r="S1" s="913"/>
      <c r="T1" s="913"/>
      <c r="U1" s="913"/>
      <c r="V1" s="913"/>
      <c r="W1" s="913"/>
      <c r="X1" s="913"/>
      <c r="Y1" s="914"/>
      <c r="Z1" s="922" t="s">
        <v>289</v>
      </c>
      <c r="AA1" s="923"/>
      <c r="AB1" s="923"/>
      <c r="AC1" s="924"/>
      <c r="AD1" s="912" t="s">
        <v>290</v>
      </c>
      <c r="AE1" s="913"/>
      <c r="AF1" s="913"/>
      <c r="AG1" s="913"/>
      <c r="AH1" s="913"/>
      <c r="AI1" s="913"/>
      <c r="AJ1" s="913"/>
      <c r="AK1" s="913"/>
      <c r="AL1" s="913"/>
      <c r="AM1" s="913"/>
      <c r="AN1" s="913"/>
      <c r="AO1" s="913"/>
      <c r="AP1" s="913"/>
      <c r="AQ1" s="913"/>
      <c r="AR1" s="913"/>
      <c r="AS1" s="914"/>
      <c r="AT1" s="919" t="s">
        <v>291</v>
      </c>
      <c r="AU1" s="920"/>
      <c r="AV1" s="920"/>
      <c r="AW1" s="921"/>
      <c r="AX1" s="912" t="s">
        <v>292</v>
      </c>
      <c r="AY1" s="913"/>
      <c r="AZ1" s="913"/>
      <c r="BA1" s="913"/>
      <c r="BB1" s="913"/>
      <c r="BC1" s="913"/>
      <c r="BD1" s="913"/>
      <c r="BE1" s="913"/>
      <c r="BF1" s="913"/>
      <c r="BG1" s="913"/>
      <c r="BH1" s="913"/>
      <c r="BI1" s="913"/>
      <c r="BJ1" s="913"/>
      <c r="BK1" s="913"/>
      <c r="BL1" s="913"/>
      <c r="BM1" s="914"/>
    </row>
    <row r="2" spans="1:65" s="4" customFormat="1" ht="23.25" customHeight="1">
      <c r="A2" s="174" t="s">
        <v>19</v>
      </c>
      <c r="B2" s="174" t="s">
        <v>293</v>
      </c>
      <c r="C2" s="175" t="s">
        <v>294</v>
      </c>
      <c r="D2" s="675" t="s">
        <v>29</v>
      </c>
      <c r="E2" s="871"/>
      <c r="F2" s="176" t="s">
        <v>295</v>
      </c>
      <c r="G2" s="174" t="s">
        <v>18</v>
      </c>
      <c r="H2" s="176" t="s">
        <v>23</v>
      </c>
      <c r="I2" s="177" t="s">
        <v>83</v>
      </c>
      <c r="J2" s="178" t="s">
        <v>296</v>
      </c>
      <c r="K2" s="178" t="s">
        <v>297</v>
      </c>
      <c r="L2" s="176" t="s">
        <v>298</v>
      </c>
      <c r="M2" s="176" t="s">
        <v>299</v>
      </c>
      <c r="N2" s="176" t="s">
        <v>300</v>
      </c>
      <c r="O2" s="176" t="s">
        <v>301</v>
      </c>
      <c r="P2" s="176" t="s">
        <v>302</v>
      </c>
      <c r="Q2" s="176" t="s">
        <v>303</v>
      </c>
      <c r="R2" s="176" t="s">
        <v>304</v>
      </c>
      <c r="S2" s="176" t="s">
        <v>305</v>
      </c>
      <c r="T2" s="176" t="s">
        <v>306</v>
      </c>
      <c r="U2" s="176" t="s">
        <v>23</v>
      </c>
      <c r="V2" s="176" t="s">
        <v>307</v>
      </c>
      <c r="W2" s="176" t="s">
        <v>308</v>
      </c>
      <c r="X2" s="176" t="s">
        <v>309</v>
      </c>
      <c r="Y2" s="179" t="s">
        <v>310</v>
      </c>
      <c r="Z2" s="176" t="s">
        <v>295</v>
      </c>
      <c r="AA2" s="174" t="s">
        <v>18</v>
      </c>
      <c r="AB2" s="176" t="s">
        <v>23</v>
      </c>
      <c r="AC2" s="180" t="s">
        <v>83</v>
      </c>
      <c r="AD2" s="178" t="s">
        <v>296</v>
      </c>
      <c r="AE2" s="178" t="s">
        <v>297</v>
      </c>
      <c r="AF2" s="176" t="s">
        <v>298</v>
      </c>
      <c r="AG2" s="176" t="s">
        <v>299</v>
      </c>
      <c r="AH2" s="176" t="s">
        <v>300</v>
      </c>
      <c r="AI2" s="176" t="s">
        <v>301</v>
      </c>
      <c r="AJ2" s="176" t="s">
        <v>302</v>
      </c>
      <c r="AK2" s="176" t="s">
        <v>303</v>
      </c>
      <c r="AL2" s="176" t="s">
        <v>304</v>
      </c>
      <c r="AM2" s="176" t="s">
        <v>305</v>
      </c>
      <c r="AN2" s="176" t="s">
        <v>306</v>
      </c>
      <c r="AO2" s="176" t="s">
        <v>23</v>
      </c>
      <c r="AP2" s="176" t="s">
        <v>307</v>
      </c>
      <c r="AQ2" s="176" t="s">
        <v>308</v>
      </c>
      <c r="AR2" s="176" t="s">
        <v>309</v>
      </c>
      <c r="AS2" s="179" t="s">
        <v>310</v>
      </c>
      <c r="AT2" s="176" t="s">
        <v>295</v>
      </c>
      <c r="AU2" s="174" t="s">
        <v>18</v>
      </c>
      <c r="AV2" s="176" t="s">
        <v>23</v>
      </c>
      <c r="AW2" s="177" t="s">
        <v>83</v>
      </c>
      <c r="AX2" s="178" t="s">
        <v>296</v>
      </c>
      <c r="AY2" s="178" t="s">
        <v>297</v>
      </c>
      <c r="AZ2" s="176" t="s">
        <v>298</v>
      </c>
      <c r="BA2" s="176" t="s">
        <v>299</v>
      </c>
      <c r="BB2" s="176" t="s">
        <v>300</v>
      </c>
      <c r="BC2" s="176" t="s">
        <v>301</v>
      </c>
      <c r="BD2" s="176" t="s">
        <v>302</v>
      </c>
      <c r="BE2" s="176" t="s">
        <v>303</v>
      </c>
      <c r="BF2" s="176" t="s">
        <v>304</v>
      </c>
      <c r="BG2" s="176" t="s">
        <v>305</v>
      </c>
      <c r="BH2" s="176" t="s">
        <v>306</v>
      </c>
      <c r="BI2" s="176" t="s">
        <v>23</v>
      </c>
      <c r="BJ2" s="176" t="s">
        <v>307</v>
      </c>
      <c r="BK2" s="176" t="s">
        <v>308</v>
      </c>
      <c r="BL2" s="176" t="s">
        <v>311</v>
      </c>
      <c r="BM2" s="179" t="s">
        <v>310</v>
      </c>
    </row>
    <row r="3" spans="1:65" s="33" customFormat="1">
      <c r="A3" s="29" t="str">
        <f>'1-συμβολαια'!A3</f>
        <v>10ο</v>
      </c>
      <c r="B3" s="14" t="str">
        <f>'4-πολλυπρ'!D3</f>
        <v>219-17</v>
      </c>
      <c r="C3" s="14" t="str">
        <f>'4-πολλυπρ'!I3</f>
        <v>219-17</v>
      </c>
      <c r="D3" s="31"/>
      <c r="E3" s="29"/>
      <c r="F3" s="29"/>
      <c r="G3" s="30"/>
      <c r="H3" s="29"/>
      <c r="I3" s="29"/>
      <c r="J3" s="29"/>
      <c r="K3" s="130" t="s">
        <v>312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1" t="s">
        <v>312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>
        <f>'4-πολλυπρ'!D4</f>
        <v>0</v>
      </c>
      <c r="C4" s="14" t="str">
        <f>'4-πολλυπρ'!I4</f>
        <v>219-17</v>
      </c>
      <c r="D4" s="31"/>
      <c r="E4" s="29"/>
      <c r="F4" s="29"/>
      <c r="G4" s="30"/>
      <c r="H4" s="29"/>
      <c r="I4" s="29"/>
      <c r="J4" s="29"/>
      <c r="K4" s="130" t="s">
        <v>312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1" t="s">
        <v>312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>
        <f>'4-πολλυπρ'!D5</f>
        <v>0</v>
      </c>
      <c r="C5" s="14" t="str">
        <f>'4-πολλυπρ'!I5</f>
        <v>219-17</v>
      </c>
      <c r="D5" s="31"/>
      <c r="E5" s="29"/>
      <c r="F5" s="29"/>
      <c r="G5" s="30"/>
      <c r="H5" s="29"/>
      <c r="I5" s="29"/>
      <c r="J5" s="29"/>
      <c r="K5" s="130" t="s">
        <v>312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1" t="s">
        <v>312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>
        <f>'4-πολλυπρ'!D6</f>
        <v>0</v>
      </c>
      <c r="C6" s="14" t="str">
        <f>'4-πολλυπρ'!I6</f>
        <v>219-17</v>
      </c>
      <c r="D6" s="31"/>
      <c r="E6" s="29"/>
      <c r="F6" s="29"/>
      <c r="G6" s="30"/>
      <c r="H6" s="29"/>
      <c r="I6" s="29"/>
      <c r="J6" s="29"/>
      <c r="K6" s="130" t="s">
        <v>312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1" t="s">
        <v>312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4">
        <f>'4-πολλυπρ'!D7</f>
        <v>0</v>
      </c>
      <c r="C7" s="14" t="str">
        <f>'4-πολλυπρ'!I7</f>
        <v>219-17</v>
      </c>
      <c r="D7" s="31"/>
      <c r="E7" s="29"/>
      <c r="F7" s="29"/>
      <c r="G7" s="30"/>
      <c r="H7" s="29"/>
      <c r="I7" s="29"/>
      <c r="J7" s="29"/>
      <c r="K7" s="130" t="s">
        <v>312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1" t="s">
        <v>312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4">
        <f>'4-πολλυπρ'!D8</f>
        <v>0</v>
      </c>
      <c r="C8" s="14" t="str">
        <f>'4-πολλυπρ'!I8</f>
        <v>219-17</v>
      </c>
      <c r="D8" s="31"/>
      <c r="E8" s="29"/>
      <c r="F8" s="29"/>
      <c r="G8" s="30"/>
      <c r="H8" s="29"/>
      <c r="I8" s="29"/>
      <c r="J8" s="29"/>
      <c r="K8" s="130" t="s">
        <v>312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1" t="s">
        <v>312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11ο</v>
      </c>
      <c r="B9" s="14" t="str">
        <f>'4-πολλυπρ'!D9</f>
        <v>219-17</v>
      </c>
      <c r="C9" s="14" t="str">
        <f>'4-πολλυπρ'!I9</f>
        <v>219-17</v>
      </c>
      <c r="D9" s="31"/>
      <c r="E9" s="29"/>
      <c r="F9" s="29"/>
      <c r="G9" s="30"/>
      <c r="H9" s="29"/>
      <c r="I9" s="29"/>
      <c r="J9" s="29"/>
      <c r="K9" s="130" t="s">
        <v>312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81" t="s">
        <v>312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4">
        <f>'4-πολλυπρ'!D10</f>
        <v>0</v>
      </c>
      <c r="C10" s="14" t="str">
        <f>'4-πολλυπρ'!I10</f>
        <v>219-17</v>
      </c>
      <c r="D10" s="31"/>
      <c r="E10" s="29"/>
      <c r="F10" s="29"/>
      <c r="G10" s="30"/>
      <c r="H10" s="29"/>
      <c r="I10" s="29"/>
      <c r="J10" s="29"/>
      <c r="K10" s="130" t="s">
        <v>312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81" t="s">
        <v>312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>
        <f>'1-συμβολαια'!A11</f>
        <v>0</v>
      </c>
      <c r="B11" s="14">
        <f>'4-πολλυπρ'!D11</f>
        <v>0</v>
      </c>
      <c r="C11" s="14" t="str">
        <f>'4-πολλυπρ'!I11</f>
        <v>219-17</v>
      </c>
      <c r="D11" s="31"/>
      <c r="E11" s="29"/>
      <c r="F11" s="29"/>
      <c r="G11" s="30"/>
      <c r="H11" s="29"/>
      <c r="I11" s="29"/>
      <c r="J11" s="29"/>
      <c r="K11" s="130" t="s">
        <v>312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81" t="s">
        <v>312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>
        <f>'1-συμβολαια'!A12</f>
        <v>0</v>
      </c>
      <c r="B12" s="14">
        <f>'4-πολλυπρ'!D12</f>
        <v>0</v>
      </c>
      <c r="C12" s="14" t="str">
        <f>'4-πολλυπρ'!I12</f>
        <v>219-17</v>
      </c>
      <c r="D12" s="31"/>
      <c r="E12" s="29"/>
      <c r="F12" s="29"/>
      <c r="G12" s="30"/>
      <c r="H12" s="29"/>
      <c r="I12" s="29"/>
      <c r="J12" s="29"/>
      <c r="K12" s="130" t="s">
        <v>312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81" t="s">
        <v>312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>
        <f>'1-συμβολαια'!A13</f>
        <v>0</v>
      </c>
      <c r="B13" s="14">
        <f>'4-πολλυπρ'!D13</f>
        <v>0</v>
      </c>
      <c r="C13" s="14" t="str">
        <f>'4-πολλυπρ'!I13</f>
        <v>219-17</v>
      </c>
      <c r="D13" s="31"/>
      <c r="E13" s="29"/>
      <c r="F13" s="29"/>
      <c r="G13" s="30"/>
      <c r="H13" s="29"/>
      <c r="I13" s="29"/>
      <c r="J13" s="29"/>
      <c r="K13" s="130" t="s">
        <v>312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81" t="s">
        <v>312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>
        <f>'1-συμβολαια'!A14</f>
        <v>0</v>
      </c>
      <c r="B14" s="14">
        <f>'4-πολλυπρ'!D14</f>
        <v>0</v>
      </c>
      <c r="C14" s="14" t="str">
        <f>'4-πολλυπρ'!I14</f>
        <v>219-17</v>
      </c>
      <c r="D14" s="31"/>
      <c r="E14" s="29"/>
      <c r="F14" s="29"/>
      <c r="G14" s="30"/>
      <c r="H14" s="29"/>
      <c r="I14" s="29"/>
      <c r="J14" s="29"/>
      <c r="K14" s="130" t="s">
        <v>312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81" t="s">
        <v>312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5" spans="1:65" s="33" customFormat="1">
      <c r="A15" s="29" t="str">
        <f>'1-συμβολαια'!A15</f>
        <v>12ο</v>
      </c>
      <c r="B15" s="14" t="str">
        <f>'4-πολλυπρ'!D15</f>
        <v>219-17</v>
      </c>
      <c r="C15" s="14" t="str">
        <f>'4-πολλυπρ'!I15</f>
        <v>219-17</v>
      </c>
      <c r="D15" s="31"/>
      <c r="E15" s="29"/>
      <c r="F15" s="29"/>
      <c r="G15" s="30"/>
      <c r="H15" s="29"/>
      <c r="I15" s="29"/>
      <c r="J15" s="29"/>
      <c r="K15" s="130" t="s">
        <v>312</v>
      </c>
      <c r="L15" s="32"/>
      <c r="M15" s="32"/>
      <c r="N15" s="32"/>
      <c r="O15" s="32"/>
      <c r="P15" s="32"/>
      <c r="Q15" s="32"/>
      <c r="R15" s="32"/>
      <c r="S15" s="32"/>
      <c r="T15" s="32"/>
      <c r="U15" s="29"/>
      <c r="V15" s="30"/>
      <c r="W15" s="30"/>
      <c r="X15" s="32"/>
      <c r="Y15" s="32"/>
      <c r="Z15" s="29"/>
      <c r="AA15" s="32"/>
      <c r="AB15" s="29"/>
      <c r="AC15" s="32"/>
      <c r="AD15" s="29"/>
      <c r="AE15" s="181" t="s">
        <v>312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29"/>
      <c r="AU15" s="32"/>
      <c r="AV15" s="29"/>
      <c r="AW15" s="32"/>
      <c r="AX15" s="29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29"/>
      <c r="BJ15" s="32"/>
      <c r="BK15" s="32"/>
      <c r="BL15" s="32"/>
      <c r="BM15" s="32"/>
    </row>
    <row r="16" spans="1:65" s="33" customFormat="1">
      <c r="A16" s="29">
        <f>'1-συμβολαια'!A16</f>
        <v>0</v>
      </c>
      <c r="B16" s="14">
        <f>'4-πολλυπρ'!D16</f>
        <v>0</v>
      </c>
      <c r="C16" s="14" t="str">
        <f>'4-πολλυπρ'!I16</f>
        <v>219-17</v>
      </c>
      <c r="D16" s="31"/>
      <c r="E16" s="29"/>
      <c r="F16" s="29"/>
      <c r="G16" s="30"/>
      <c r="H16" s="29"/>
      <c r="I16" s="29"/>
      <c r="J16" s="29"/>
      <c r="K16" s="130" t="s">
        <v>312</v>
      </c>
      <c r="L16" s="32"/>
      <c r="M16" s="32"/>
      <c r="N16" s="32"/>
      <c r="O16" s="32"/>
      <c r="P16" s="32"/>
      <c r="Q16" s="32"/>
      <c r="R16" s="32"/>
      <c r="S16" s="32"/>
      <c r="T16" s="32"/>
      <c r="U16" s="29"/>
      <c r="V16" s="30"/>
      <c r="W16" s="30"/>
      <c r="X16" s="32"/>
      <c r="Y16" s="32"/>
      <c r="Z16" s="29"/>
      <c r="AA16" s="32"/>
      <c r="AB16" s="29"/>
      <c r="AC16" s="32"/>
      <c r="AD16" s="29"/>
      <c r="AE16" s="181" t="s">
        <v>312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29"/>
      <c r="AU16" s="32"/>
      <c r="AV16" s="29"/>
      <c r="AW16" s="32"/>
      <c r="AX16" s="29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29"/>
      <c r="BJ16" s="32"/>
      <c r="BK16" s="32"/>
      <c r="BL16" s="32"/>
      <c r="BM16" s="32"/>
    </row>
    <row r="17" spans="1:65" s="33" customFormat="1">
      <c r="A17" s="29">
        <f>'1-συμβολαια'!A17</f>
        <v>0</v>
      </c>
      <c r="B17" s="14">
        <f>'4-πολλυπρ'!D17</f>
        <v>0</v>
      </c>
      <c r="C17" s="14" t="str">
        <f>'4-πολλυπρ'!I17</f>
        <v>219-17</v>
      </c>
      <c r="D17" s="31"/>
      <c r="E17" s="29"/>
      <c r="F17" s="29"/>
      <c r="G17" s="30"/>
      <c r="H17" s="29"/>
      <c r="I17" s="29"/>
      <c r="J17" s="29"/>
      <c r="K17" s="130" t="s">
        <v>312</v>
      </c>
      <c r="L17" s="32"/>
      <c r="M17" s="32"/>
      <c r="N17" s="32"/>
      <c r="O17" s="32"/>
      <c r="P17" s="32"/>
      <c r="Q17" s="32"/>
      <c r="R17" s="32"/>
      <c r="S17" s="32"/>
      <c r="T17" s="32"/>
      <c r="U17" s="29"/>
      <c r="V17" s="30"/>
      <c r="W17" s="30"/>
      <c r="X17" s="32"/>
      <c r="Y17" s="32"/>
      <c r="Z17" s="29"/>
      <c r="AA17" s="32"/>
      <c r="AB17" s="29"/>
      <c r="AC17" s="32"/>
      <c r="AD17" s="29"/>
      <c r="AE17" s="181" t="s">
        <v>312</v>
      </c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29"/>
      <c r="AU17" s="32"/>
      <c r="AV17" s="29"/>
      <c r="AW17" s="32"/>
      <c r="AX17" s="29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29"/>
      <c r="BJ17" s="32"/>
      <c r="BK17" s="32"/>
      <c r="BL17" s="32"/>
      <c r="BM17" s="32"/>
    </row>
    <row r="18" spans="1:65" s="33" customFormat="1">
      <c r="A18" s="29">
        <f>'1-συμβολαια'!A18</f>
        <v>0</v>
      </c>
      <c r="B18" s="14">
        <f>'4-πολλυπρ'!D18</f>
        <v>0</v>
      </c>
      <c r="C18" s="14" t="str">
        <f>'4-πολλυπρ'!I18</f>
        <v>219-17</v>
      </c>
      <c r="D18" s="31"/>
      <c r="E18" s="29"/>
      <c r="F18" s="29"/>
      <c r="G18" s="30"/>
      <c r="H18" s="29"/>
      <c r="I18" s="29"/>
      <c r="J18" s="29"/>
      <c r="K18" s="130" t="s">
        <v>312</v>
      </c>
      <c r="L18" s="32"/>
      <c r="M18" s="32"/>
      <c r="N18" s="32"/>
      <c r="O18" s="32"/>
      <c r="P18" s="32"/>
      <c r="Q18" s="32"/>
      <c r="R18" s="32"/>
      <c r="S18" s="32"/>
      <c r="T18" s="32"/>
      <c r="U18" s="29"/>
      <c r="V18" s="30"/>
      <c r="W18" s="30"/>
      <c r="X18" s="32"/>
      <c r="Y18" s="32"/>
      <c r="Z18" s="29"/>
      <c r="AA18" s="32"/>
      <c r="AB18" s="29"/>
      <c r="AC18" s="32"/>
      <c r="AD18" s="29"/>
      <c r="AE18" s="181" t="s">
        <v>312</v>
      </c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29"/>
      <c r="AU18" s="32"/>
      <c r="AV18" s="29"/>
      <c r="AW18" s="32"/>
      <c r="AX18" s="29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29"/>
      <c r="BJ18" s="32"/>
      <c r="BK18" s="32"/>
      <c r="BL18" s="32"/>
      <c r="BM18" s="32"/>
    </row>
    <row r="19" spans="1:65" s="33" customFormat="1">
      <c r="A19" s="29">
        <f>'1-συμβολαια'!A19</f>
        <v>0</v>
      </c>
      <c r="B19" s="14">
        <f>'4-πολλυπρ'!D19</f>
        <v>0</v>
      </c>
      <c r="C19" s="14" t="str">
        <f>'4-πολλυπρ'!I19</f>
        <v>219-17</v>
      </c>
      <c r="D19" s="31"/>
      <c r="E19" s="29"/>
      <c r="F19" s="29"/>
      <c r="G19" s="30"/>
      <c r="H19" s="29"/>
      <c r="I19" s="29"/>
      <c r="J19" s="29"/>
      <c r="K19" s="130" t="s">
        <v>312</v>
      </c>
      <c r="L19" s="32"/>
      <c r="M19" s="32"/>
      <c r="N19" s="32"/>
      <c r="O19" s="32"/>
      <c r="P19" s="32"/>
      <c r="Q19" s="32"/>
      <c r="R19" s="32"/>
      <c r="S19" s="32"/>
      <c r="T19" s="32"/>
      <c r="U19" s="29"/>
      <c r="V19" s="30"/>
      <c r="W19" s="30"/>
      <c r="X19" s="32"/>
      <c r="Y19" s="32"/>
      <c r="Z19" s="29"/>
      <c r="AA19" s="32"/>
      <c r="AB19" s="29"/>
      <c r="AC19" s="32"/>
      <c r="AD19" s="29"/>
      <c r="AE19" s="181" t="s">
        <v>312</v>
      </c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29"/>
      <c r="AU19" s="32"/>
      <c r="AV19" s="29"/>
      <c r="AW19" s="32"/>
      <c r="AX19" s="29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29"/>
      <c r="BJ19" s="32"/>
      <c r="BK19" s="32"/>
      <c r="BL19" s="32"/>
      <c r="BM19" s="32"/>
    </row>
    <row r="20" spans="1:65" s="33" customFormat="1">
      <c r="A20" s="29">
        <f>'1-συμβολαια'!A20</f>
        <v>0</v>
      </c>
      <c r="B20" s="14">
        <f>'4-πολλυπρ'!D20</f>
        <v>0</v>
      </c>
      <c r="C20" s="14" t="str">
        <f>'4-πολλυπρ'!I20</f>
        <v>219-17</v>
      </c>
      <c r="D20" s="31"/>
      <c r="E20" s="29"/>
      <c r="F20" s="29"/>
      <c r="G20" s="30"/>
      <c r="H20" s="29"/>
      <c r="I20" s="29"/>
      <c r="J20" s="29"/>
      <c r="K20" s="130" t="s">
        <v>312</v>
      </c>
      <c r="L20" s="32"/>
      <c r="M20" s="32"/>
      <c r="N20" s="32"/>
      <c r="O20" s="32"/>
      <c r="P20" s="32"/>
      <c r="Q20" s="32"/>
      <c r="R20" s="32"/>
      <c r="S20" s="32"/>
      <c r="T20" s="32"/>
      <c r="U20" s="29"/>
      <c r="V20" s="30"/>
      <c r="W20" s="30"/>
      <c r="X20" s="32"/>
      <c r="Y20" s="32"/>
      <c r="Z20" s="29"/>
      <c r="AA20" s="32"/>
      <c r="AB20" s="29"/>
      <c r="AC20" s="32"/>
      <c r="AD20" s="29"/>
      <c r="AE20" s="181" t="s">
        <v>312</v>
      </c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29"/>
      <c r="AU20" s="32"/>
      <c r="AV20" s="29"/>
      <c r="AW20" s="32"/>
      <c r="AX20" s="29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29"/>
      <c r="BJ20" s="32"/>
      <c r="BK20" s="32"/>
      <c r="BL20" s="32"/>
      <c r="BM20" s="32"/>
    </row>
    <row r="21" spans="1:65" s="33" customFormat="1">
      <c r="A21" s="29" t="str">
        <f>'1-συμβολαια'!A21</f>
        <v>13ο</v>
      </c>
      <c r="B21" s="14" t="str">
        <f>'4-πολλυπρ'!D21</f>
        <v>219-17</v>
      </c>
      <c r="C21" s="14" t="str">
        <f>'4-πολλυπρ'!I21</f>
        <v>219-17</v>
      </c>
      <c r="D21" s="31"/>
      <c r="E21" s="29"/>
      <c r="F21" s="29"/>
      <c r="G21" s="30"/>
      <c r="H21" s="29"/>
      <c r="I21" s="29"/>
      <c r="J21" s="29"/>
      <c r="K21" s="130" t="s">
        <v>312</v>
      </c>
      <c r="L21" s="32"/>
      <c r="M21" s="32"/>
      <c r="N21" s="32"/>
      <c r="O21" s="32"/>
      <c r="P21" s="32"/>
      <c r="Q21" s="32"/>
      <c r="R21" s="32"/>
      <c r="S21" s="32"/>
      <c r="T21" s="32"/>
      <c r="U21" s="29"/>
      <c r="V21" s="30"/>
      <c r="W21" s="30"/>
      <c r="X21" s="32"/>
      <c r="Y21" s="32"/>
      <c r="Z21" s="29"/>
      <c r="AA21" s="32"/>
      <c r="AB21" s="29"/>
      <c r="AC21" s="32"/>
      <c r="AD21" s="29"/>
      <c r="AE21" s="181" t="s">
        <v>312</v>
      </c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29"/>
      <c r="AU21" s="32"/>
      <c r="AV21" s="29"/>
      <c r="AW21" s="32"/>
      <c r="AX21" s="29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29"/>
      <c r="BJ21" s="32"/>
      <c r="BK21" s="32"/>
      <c r="BL21" s="32"/>
      <c r="BM21" s="32"/>
    </row>
    <row r="22" spans="1:65" s="33" customFormat="1">
      <c r="A22" s="29">
        <f>'1-συμβολαια'!A22</f>
        <v>0</v>
      </c>
      <c r="B22" s="14">
        <f>'4-πολλυπρ'!D22</f>
        <v>0</v>
      </c>
      <c r="C22" s="14" t="str">
        <f>'4-πολλυπρ'!I22</f>
        <v>219-17</v>
      </c>
      <c r="D22" s="31"/>
      <c r="E22" s="29"/>
      <c r="F22" s="29"/>
      <c r="G22" s="30"/>
      <c r="H22" s="29"/>
      <c r="I22" s="29"/>
      <c r="J22" s="29"/>
      <c r="K22" s="130" t="s">
        <v>312</v>
      </c>
      <c r="L22" s="32"/>
      <c r="M22" s="32"/>
      <c r="N22" s="32"/>
      <c r="O22" s="32"/>
      <c r="P22" s="32"/>
      <c r="Q22" s="32"/>
      <c r="R22" s="32"/>
      <c r="S22" s="32"/>
      <c r="T22" s="32"/>
      <c r="U22" s="29"/>
      <c r="V22" s="30"/>
      <c r="W22" s="30"/>
      <c r="X22" s="32"/>
      <c r="Y22" s="32"/>
      <c r="Z22" s="29"/>
      <c r="AA22" s="32"/>
      <c r="AB22" s="29"/>
      <c r="AC22" s="32"/>
      <c r="AD22" s="29"/>
      <c r="AE22" s="181" t="s">
        <v>312</v>
      </c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29"/>
      <c r="AU22" s="32"/>
      <c r="AV22" s="29"/>
      <c r="AW22" s="32"/>
      <c r="AX22" s="29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29"/>
      <c r="BJ22" s="32"/>
      <c r="BK22" s="32"/>
      <c r="BL22" s="32"/>
      <c r="BM22" s="32"/>
    </row>
    <row r="23" spans="1:65" s="33" customFormat="1">
      <c r="A23" s="29">
        <f>'1-συμβολαια'!A23</f>
        <v>0</v>
      </c>
      <c r="B23" s="14">
        <f>'4-πολλυπρ'!D23</f>
        <v>0</v>
      </c>
      <c r="C23" s="14" t="str">
        <f>'4-πολλυπρ'!I23</f>
        <v>219-17</v>
      </c>
      <c r="D23" s="31"/>
      <c r="E23" s="29"/>
      <c r="F23" s="29"/>
      <c r="G23" s="30"/>
      <c r="H23" s="29"/>
      <c r="I23" s="29"/>
      <c r="J23" s="29"/>
      <c r="K23" s="130" t="s">
        <v>312</v>
      </c>
      <c r="L23" s="32"/>
      <c r="M23" s="32"/>
      <c r="N23" s="32"/>
      <c r="O23" s="32"/>
      <c r="P23" s="32"/>
      <c r="Q23" s="32"/>
      <c r="R23" s="32"/>
      <c r="S23" s="32"/>
      <c r="T23" s="32"/>
      <c r="U23" s="29"/>
      <c r="V23" s="30"/>
      <c r="W23" s="30"/>
      <c r="X23" s="32"/>
      <c r="Y23" s="32"/>
      <c r="Z23" s="29"/>
      <c r="AA23" s="32"/>
      <c r="AB23" s="29"/>
      <c r="AC23" s="32"/>
      <c r="AD23" s="29"/>
      <c r="AE23" s="181" t="s">
        <v>312</v>
      </c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29"/>
      <c r="AU23" s="32"/>
      <c r="AV23" s="29"/>
      <c r="AW23" s="32"/>
      <c r="AX23" s="29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29"/>
      <c r="BJ23" s="32"/>
      <c r="BK23" s="32"/>
      <c r="BL23" s="32"/>
      <c r="BM23" s="32"/>
    </row>
    <row r="24" spans="1:65" s="33" customFormat="1">
      <c r="A24" s="29">
        <f>'1-συμβολαια'!A24</f>
        <v>0</v>
      </c>
      <c r="B24" s="14">
        <f>'4-πολλυπρ'!D24</f>
        <v>0</v>
      </c>
      <c r="C24" s="14" t="str">
        <f>'4-πολλυπρ'!I24</f>
        <v>219-17</v>
      </c>
      <c r="D24" s="31"/>
      <c r="E24" s="29"/>
      <c r="F24" s="29"/>
      <c r="G24" s="30"/>
      <c r="H24" s="29"/>
      <c r="I24" s="29"/>
      <c r="J24" s="29"/>
      <c r="K24" s="130" t="s">
        <v>312</v>
      </c>
      <c r="L24" s="32"/>
      <c r="M24" s="32"/>
      <c r="N24" s="32"/>
      <c r="O24" s="32"/>
      <c r="P24" s="32"/>
      <c r="Q24" s="32"/>
      <c r="R24" s="32"/>
      <c r="S24" s="32"/>
      <c r="T24" s="32"/>
      <c r="U24" s="29"/>
      <c r="V24" s="30"/>
      <c r="W24" s="30"/>
      <c r="X24" s="32"/>
      <c r="Y24" s="32"/>
      <c r="Z24" s="29"/>
      <c r="AA24" s="32"/>
      <c r="AB24" s="29"/>
      <c r="AC24" s="32"/>
      <c r="AD24" s="29"/>
      <c r="AE24" s="181" t="s">
        <v>312</v>
      </c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29"/>
      <c r="AU24" s="32"/>
      <c r="AV24" s="29"/>
      <c r="AW24" s="32"/>
      <c r="AX24" s="29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29"/>
      <c r="BJ24" s="32"/>
      <c r="BK24" s="32"/>
      <c r="BL24" s="32"/>
      <c r="BM24" s="32"/>
    </row>
    <row r="25" spans="1:65" s="33" customFormat="1">
      <c r="A25" s="29">
        <f>'1-συμβολαια'!A25</f>
        <v>0</v>
      </c>
      <c r="B25" s="14">
        <f>'4-πολλυπρ'!D25</f>
        <v>0</v>
      </c>
      <c r="C25" s="14" t="str">
        <f>'4-πολλυπρ'!I25</f>
        <v>219-17</v>
      </c>
      <c r="D25" s="31"/>
      <c r="E25" s="29"/>
      <c r="F25" s="29"/>
      <c r="G25" s="30"/>
      <c r="H25" s="29"/>
      <c r="I25" s="29"/>
      <c r="J25" s="29"/>
      <c r="K25" s="130" t="s">
        <v>312</v>
      </c>
      <c r="L25" s="32"/>
      <c r="M25" s="32"/>
      <c r="N25" s="32"/>
      <c r="O25" s="32"/>
      <c r="P25" s="32"/>
      <c r="Q25" s="32"/>
      <c r="R25" s="32"/>
      <c r="S25" s="32"/>
      <c r="T25" s="32"/>
      <c r="U25" s="29"/>
      <c r="V25" s="30"/>
      <c r="W25" s="30"/>
      <c r="X25" s="32"/>
      <c r="Y25" s="32"/>
      <c r="Z25" s="29"/>
      <c r="AA25" s="32"/>
      <c r="AB25" s="29"/>
      <c r="AC25" s="32"/>
      <c r="AD25" s="29"/>
      <c r="AE25" s="181" t="s">
        <v>312</v>
      </c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29"/>
      <c r="AU25" s="32"/>
      <c r="AV25" s="29"/>
      <c r="AW25" s="32"/>
      <c r="AX25" s="29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29"/>
      <c r="BJ25" s="32"/>
      <c r="BK25" s="32"/>
      <c r="BL25" s="32"/>
      <c r="BM25" s="32"/>
    </row>
    <row r="26" spans="1:65" s="33" customFormat="1">
      <c r="A26" s="29">
        <f>'1-συμβολαια'!A26</f>
        <v>0</v>
      </c>
      <c r="B26" s="14">
        <f>'4-πολλυπρ'!D26</f>
        <v>0</v>
      </c>
      <c r="C26" s="14" t="str">
        <f>'4-πολλυπρ'!I26</f>
        <v>219-17</v>
      </c>
      <c r="D26" s="31"/>
      <c r="E26" s="29"/>
      <c r="F26" s="29"/>
      <c r="G26" s="30"/>
      <c r="H26" s="29"/>
      <c r="I26" s="29"/>
      <c r="J26" s="29"/>
      <c r="K26" s="130" t="s">
        <v>312</v>
      </c>
      <c r="L26" s="32"/>
      <c r="M26" s="32"/>
      <c r="N26" s="32"/>
      <c r="O26" s="32"/>
      <c r="P26" s="32"/>
      <c r="Q26" s="32"/>
      <c r="R26" s="32"/>
      <c r="S26" s="32"/>
      <c r="T26" s="32"/>
      <c r="U26" s="29"/>
      <c r="V26" s="30"/>
      <c r="W26" s="30"/>
      <c r="X26" s="32"/>
      <c r="Y26" s="32"/>
      <c r="Z26" s="29"/>
      <c r="AA26" s="32"/>
      <c r="AB26" s="29"/>
      <c r="AC26" s="32"/>
      <c r="AD26" s="29"/>
      <c r="AE26" s="181" t="s">
        <v>312</v>
      </c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29"/>
      <c r="AU26" s="32"/>
      <c r="AV26" s="29"/>
      <c r="AW26" s="32"/>
      <c r="AX26" s="29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29"/>
      <c r="BJ26" s="32"/>
      <c r="BK26" s="32"/>
      <c r="BL26" s="32"/>
      <c r="BM26" s="32"/>
    </row>
    <row r="27" spans="1:65" s="33" customFormat="1">
      <c r="A27" s="29" t="str">
        <f>'1-συμβολαια'!A27</f>
        <v>14ο</v>
      </c>
      <c r="B27" s="14" t="str">
        <f>'4-πολλυπρ'!D27</f>
        <v>219-17</v>
      </c>
      <c r="C27" s="14" t="str">
        <f>'4-πολλυπρ'!I27</f>
        <v>219-17</v>
      </c>
      <c r="D27" s="31"/>
      <c r="E27" s="29"/>
      <c r="F27" s="29"/>
      <c r="G27" s="30"/>
      <c r="H27" s="29"/>
      <c r="I27" s="29"/>
      <c r="J27" s="29"/>
      <c r="K27" s="130" t="s">
        <v>312</v>
      </c>
      <c r="L27" s="32"/>
      <c r="M27" s="32"/>
      <c r="N27" s="32"/>
      <c r="O27" s="32"/>
      <c r="P27" s="32"/>
      <c r="Q27" s="32"/>
      <c r="R27" s="32"/>
      <c r="S27" s="32"/>
      <c r="T27" s="32"/>
      <c r="U27" s="29"/>
      <c r="V27" s="30"/>
      <c r="W27" s="30"/>
      <c r="X27" s="32"/>
      <c r="Y27" s="32"/>
      <c r="Z27" s="29"/>
      <c r="AA27" s="32"/>
      <c r="AB27" s="29"/>
      <c r="AC27" s="32"/>
      <c r="AD27" s="29"/>
      <c r="AE27" s="181" t="s">
        <v>312</v>
      </c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29"/>
      <c r="AU27" s="32"/>
      <c r="AV27" s="29"/>
      <c r="AW27" s="32"/>
      <c r="AX27" s="29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29"/>
      <c r="BJ27" s="32"/>
      <c r="BK27" s="32"/>
      <c r="BL27" s="32"/>
      <c r="BM27" s="32"/>
    </row>
    <row r="28" spans="1:65" s="33" customFormat="1">
      <c r="A28" s="29">
        <f>'1-συμβολαια'!A28</f>
        <v>0</v>
      </c>
      <c r="B28" s="14">
        <f>'4-πολλυπρ'!D28</f>
        <v>0</v>
      </c>
      <c r="C28" s="14" t="str">
        <f>'4-πολλυπρ'!I28</f>
        <v>219-17</v>
      </c>
      <c r="D28" s="31"/>
      <c r="E28" s="29"/>
      <c r="F28" s="29"/>
      <c r="G28" s="30"/>
      <c r="H28" s="29"/>
      <c r="I28" s="29"/>
      <c r="J28" s="29"/>
      <c r="K28" s="130" t="s">
        <v>312</v>
      </c>
      <c r="L28" s="32"/>
      <c r="M28" s="32"/>
      <c r="N28" s="32"/>
      <c r="O28" s="32"/>
      <c r="P28" s="32"/>
      <c r="Q28" s="32"/>
      <c r="R28" s="32"/>
      <c r="S28" s="32"/>
      <c r="T28" s="32"/>
      <c r="U28" s="29"/>
      <c r="V28" s="30"/>
      <c r="W28" s="30"/>
      <c r="X28" s="32"/>
      <c r="Y28" s="32"/>
      <c r="Z28" s="29"/>
      <c r="AA28" s="32"/>
      <c r="AB28" s="29"/>
      <c r="AC28" s="32"/>
      <c r="AD28" s="29"/>
      <c r="AE28" s="181" t="s">
        <v>312</v>
      </c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29"/>
      <c r="AU28" s="32"/>
      <c r="AV28" s="29"/>
      <c r="AW28" s="32"/>
      <c r="AX28" s="29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29"/>
      <c r="BJ28" s="32"/>
      <c r="BK28" s="32"/>
      <c r="BL28" s="32"/>
      <c r="BM28" s="32"/>
    </row>
    <row r="29" spans="1:65" s="33" customFormat="1">
      <c r="A29" s="29">
        <f>'1-συμβολαια'!A29</f>
        <v>0</v>
      </c>
      <c r="B29" s="14">
        <f>'4-πολλυπρ'!D29</f>
        <v>0</v>
      </c>
      <c r="C29" s="14" t="str">
        <f>'4-πολλυπρ'!I29</f>
        <v>219-17</v>
      </c>
      <c r="D29" s="31"/>
      <c r="E29" s="29"/>
      <c r="F29" s="29"/>
      <c r="G29" s="30"/>
      <c r="H29" s="29"/>
      <c r="I29" s="29"/>
      <c r="J29" s="29"/>
      <c r="K29" s="130" t="s">
        <v>312</v>
      </c>
      <c r="L29" s="32"/>
      <c r="M29" s="32"/>
      <c r="N29" s="32"/>
      <c r="O29" s="32"/>
      <c r="P29" s="32"/>
      <c r="Q29" s="32"/>
      <c r="R29" s="32"/>
      <c r="S29" s="32"/>
      <c r="T29" s="32"/>
      <c r="U29" s="29"/>
      <c r="V29" s="30"/>
      <c r="W29" s="30"/>
      <c r="X29" s="32"/>
      <c r="Y29" s="32"/>
      <c r="Z29" s="29"/>
      <c r="AA29" s="32"/>
      <c r="AB29" s="29"/>
      <c r="AC29" s="32"/>
      <c r="AD29" s="29"/>
      <c r="AE29" s="181" t="s">
        <v>312</v>
      </c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29"/>
      <c r="AU29" s="32"/>
      <c r="AV29" s="29"/>
      <c r="AW29" s="32"/>
      <c r="AX29" s="29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29"/>
      <c r="BJ29" s="32"/>
      <c r="BK29" s="32"/>
      <c r="BL29" s="32"/>
      <c r="BM29" s="32"/>
    </row>
    <row r="30" spans="1:65" s="33" customFormat="1">
      <c r="A30" s="29">
        <f>'1-συμβολαια'!A30</f>
        <v>0</v>
      </c>
      <c r="B30" s="14">
        <f>'4-πολλυπρ'!D30</f>
        <v>0</v>
      </c>
      <c r="C30" s="14" t="str">
        <f>'4-πολλυπρ'!I30</f>
        <v>219-17</v>
      </c>
      <c r="D30" s="31"/>
      <c r="E30" s="29"/>
      <c r="F30" s="29"/>
      <c r="G30" s="30"/>
      <c r="H30" s="29"/>
      <c r="I30" s="29"/>
      <c r="J30" s="29"/>
      <c r="K30" s="130" t="s">
        <v>312</v>
      </c>
      <c r="L30" s="32"/>
      <c r="M30" s="32"/>
      <c r="N30" s="32"/>
      <c r="O30" s="32"/>
      <c r="P30" s="32"/>
      <c r="Q30" s="32"/>
      <c r="R30" s="32"/>
      <c r="S30" s="32"/>
      <c r="T30" s="32"/>
      <c r="U30" s="29"/>
      <c r="V30" s="30"/>
      <c r="W30" s="30"/>
      <c r="X30" s="32"/>
      <c r="Y30" s="32"/>
      <c r="Z30" s="29"/>
      <c r="AA30" s="32"/>
      <c r="AB30" s="29"/>
      <c r="AC30" s="32"/>
      <c r="AD30" s="29"/>
      <c r="AE30" s="181" t="s">
        <v>312</v>
      </c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29"/>
      <c r="AU30" s="32"/>
      <c r="AV30" s="29"/>
      <c r="AW30" s="32"/>
      <c r="AX30" s="29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29"/>
      <c r="BJ30" s="32"/>
      <c r="BK30" s="32"/>
      <c r="BL30" s="32"/>
      <c r="BM30" s="32"/>
    </row>
    <row r="31" spans="1:65" s="33" customFormat="1">
      <c r="A31" s="29">
        <f>'1-συμβολαια'!A31</f>
        <v>0</v>
      </c>
      <c r="B31" s="14">
        <f>'4-πολλυπρ'!D31</f>
        <v>0</v>
      </c>
      <c r="C31" s="14" t="str">
        <f>'4-πολλυπρ'!I31</f>
        <v>219-17</v>
      </c>
      <c r="D31" s="31"/>
      <c r="E31" s="29"/>
      <c r="F31" s="29"/>
      <c r="G31" s="30"/>
      <c r="H31" s="29"/>
      <c r="I31" s="29"/>
      <c r="J31" s="29"/>
      <c r="K31" s="130" t="s">
        <v>312</v>
      </c>
      <c r="L31" s="32"/>
      <c r="M31" s="32"/>
      <c r="N31" s="32"/>
      <c r="O31" s="32"/>
      <c r="P31" s="32"/>
      <c r="Q31" s="32"/>
      <c r="R31" s="32"/>
      <c r="S31" s="32"/>
      <c r="T31" s="32"/>
      <c r="U31" s="29"/>
      <c r="V31" s="30"/>
      <c r="W31" s="30"/>
      <c r="X31" s="32"/>
      <c r="Y31" s="32"/>
      <c r="Z31" s="29"/>
      <c r="AA31" s="32"/>
      <c r="AB31" s="29"/>
      <c r="AC31" s="32"/>
      <c r="AD31" s="29"/>
      <c r="AE31" s="181" t="s">
        <v>312</v>
      </c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29"/>
      <c r="AU31" s="32"/>
      <c r="AV31" s="29"/>
      <c r="AW31" s="32"/>
      <c r="AX31" s="29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29"/>
      <c r="BJ31" s="32"/>
      <c r="BK31" s="32"/>
      <c r="BL31" s="32"/>
      <c r="BM31" s="32"/>
    </row>
    <row r="32" spans="1:65" s="33" customFormat="1">
      <c r="A32" s="29">
        <f>'1-συμβολαια'!A32</f>
        <v>0</v>
      </c>
      <c r="B32" s="14">
        <f>'4-πολλυπρ'!D32</f>
        <v>0</v>
      </c>
      <c r="C32" s="14" t="str">
        <f>'4-πολλυπρ'!I32</f>
        <v>219-17</v>
      </c>
      <c r="D32" s="31"/>
      <c r="E32" s="29"/>
      <c r="F32" s="29"/>
      <c r="G32" s="30"/>
      <c r="H32" s="29"/>
      <c r="I32" s="29"/>
      <c r="J32" s="29"/>
      <c r="K32" s="130" t="s">
        <v>312</v>
      </c>
      <c r="L32" s="32"/>
      <c r="M32" s="32"/>
      <c r="N32" s="32"/>
      <c r="O32" s="32"/>
      <c r="P32" s="32"/>
      <c r="Q32" s="32"/>
      <c r="R32" s="32"/>
      <c r="S32" s="32"/>
      <c r="T32" s="32"/>
      <c r="U32" s="29"/>
      <c r="V32" s="30"/>
      <c r="W32" s="30"/>
      <c r="X32" s="32"/>
      <c r="Y32" s="32"/>
      <c r="Z32" s="29"/>
      <c r="AA32" s="32"/>
      <c r="AB32" s="29"/>
      <c r="AC32" s="32"/>
      <c r="AD32" s="29"/>
      <c r="AE32" s="181" t="s">
        <v>312</v>
      </c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29"/>
      <c r="AU32" s="32"/>
      <c r="AV32" s="29"/>
      <c r="AW32" s="32"/>
      <c r="AX32" s="29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29"/>
      <c r="BJ32" s="32"/>
      <c r="BK32" s="32"/>
      <c r="BL32" s="32"/>
      <c r="BM32" s="32"/>
    </row>
    <row r="33" spans="1:65" s="33" customFormat="1">
      <c r="A33" s="29" t="str">
        <f>'1-συμβολαια'!A33</f>
        <v>15ο</v>
      </c>
      <c r="B33" s="14" t="str">
        <f>'4-πολλυπρ'!D33</f>
        <v>219-17</v>
      </c>
      <c r="C33" s="14" t="str">
        <f>'4-πολλυπρ'!I33</f>
        <v>219-17</v>
      </c>
      <c r="D33" s="31"/>
      <c r="E33" s="29"/>
      <c r="F33" s="29"/>
      <c r="G33" s="30"/>
      <c r="H33" s="29"/>
      <c r="I33" s="29"/>
      <c r="J33" s="29"/>
      <c r="K33" s="130" t="s">
        <v>312</v>
      </c>
      <c r="L33" s="32"/>
      <c r="M33" s="32"/>
      <c r="N33" s="32"/>
      <c r="O33" s="32"/>
      <c r="P33" s="32"/>
      <c r="Q33" s="32"/>
      <c r="R33" s="32"/>
      <c r="S33" s="32"/>
      <c r="T33" s="32"/>
      <c r="U33" s="29"/>
      <c r="V33" s="30"/>
      <c r="W33" s="30"/>
      <c r="X33" s="32"/>
      <c r="Y33" s="32"/>
      <c r="Z33" s="29"/>
      <c r="AA33" s="32"/>
      <c r="AB33" s="29"/>
      <c r="AC33" s="32"/>
      <c r="AD33" s="29"/>
      <c r="AE33" s="181" t="s">
        <v>312</v>
      </c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29"/>
      <c r="AU33" s="32"/>
      <c r="AV33" s="29"/>
      <c r="AW33" s="32"/>
      <c r="AX33" s="29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29"/>
      <c r="BJ33" s="32"/>
      <c r="BK33" s="32"/>
      <c r="BL33" s="32"/>
      <c r="BM33" s="32"/>
    </row>
    <row r="34" spans="1:65" s="33" customFormat="1">
      <c r="A34" s="29" t="str">
        <f>'1-συμβολαια'!A34</f>
        <v>16ο</v>
      </c>
      <c r="B34" s="14" t="str">
        <f>'4-πολλυπρ'!D34</f>
        <v>219-17</v>
      </c>
      <c r="C34" s="14" t="str">
        <f>'4-πολλυπρ'!I34</f>
        <v>219-17</v>
      </c>
      <c r="D34" s="31"/>
      <c r="E34" s="29"/>
      <c r="F34" s="29"/>
      <c r="G34" s="30"/>
      <c r="H34" s="29"/>
      <c r="I34" s="29"/>
      <c r="J34" s="29"/>
      <c r="K34" s="130" t="s">
        <v>312</v>
      </c>
      <c r="L34" s="32"/>
      <c r="M34" s="32"/>
      <c r="N34" s="32"/>
      <c r="O34" s="32"/>
      <c r="P34" s="32"/>
      <c r="Q34" s="32"/>
      <c r="R34" s="32"/>
      <c r="S34" s="32"/>
      <c r="T34" s="32"/>
      <c r="U34" s="29"/>
      <c r="V34" s="30"/>
      <c r="W34" s="30"/>
      <c r="X34" s="32"/>
      <c r="Y34" s="32"/>
      <c r="Z34" s="29"/>
      <c r="AA34" s="32"/>
      <c r="AB34" s="29"/>
      <c r="AC34" s="32"/>
      <c r="AD34" s="29"/>
      <c r="AE34" s="181" t="s">
        <v>312</v>
      </c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29"/>
      <c r="AU34" s="32"/>
      <c r="AV34" s="29"/>
      <c r="AW34" s="32"/>
      <c r="AX34" s="29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29"/>
      <c r="BJ34" s="32"/>
      <c r="BK34" s="32"/>
      <c r="BL34" s="32"/>
      <c r="BM34" s="32"/>
    </row>
    <row r="35" spans="1:65" s="33" customFormat="1">
      <c r="A35" s="29" t="str">
        <f>'1-συμβολαια'!A35</f>
        <v>17ο</v>
      </c>
      <c r="B35" s="14" t="str">
        <f>'4-πολλυπρ'!D35</f>
        <v>219-17</v>
      </c>
      <c r="C35" s="14" t="str">
        <f>'4-πολλυπρ'!I35</f>
        <v>219-17</v>
      </c>
      <c r="D35" s="31"/>
      <c r="E35" s="29"/>
      <c r="F35" s="29"/>
      <c r="G35" s="30"/>
      <c r="H35" s="29"/>
      <c r="I35" s="29"/>
      <c r="J35" s="29"/>
      <c r="K35" s="130" t="s">
        <v>312</v>
      </c>
      <c r="L35" s="32"/>
      <c r="M35" s="32"/>
      <c r="N35" s="32"/>
      <c r="O35" s="32"/>
      <c r="P35" s="32"/>
      <c r="Q35" s="32"/>
      <c r="R35" s="32"/>
      <c r="S35" s="32"/>
      <c r="T35" s="32"/>
      <c r="U35" s="29"/>
      <c r="V35" s="30"/>
      <c r="W35" s="30"/>
      <c r="X35" s="32"/>
      <c r="Y35" s="32"/>
      <c r="Z35" s="29"/>
      <c r="AA35" s="32"/>
      <c r="AB35" s="29"/>
      <c r="AC35" s="32"/>
      <c r="AD35" s="29"/>
      <c r="AE35" s="181" t="s">
        <v>312</v>
      </c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29"/>
      <c r="AU35" s="32"/>
      <c r="AV35" s="29"/>
      <c r="AW35" s="32"/>
      <c r="AX35" s="29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29"/>
      <c r="BJ35" s="32"/>
      <c r="BK35" s="32"/>
      <c r="BL35" s="32"/>
      <c r="BM35" s="32"/>
    </row>
    <row r="36" spans="1:65" s="33" customFormat="1">
      <c r="A36" s="29" t="str">
        <f>'1-συμβολαια'!A36</f>
        <v>18ο</v>
      </c>
      <c r="B36" s="14" t="str">
        <f>'4-πολλυπρ'!D36</f>
        <v>219-17</v>
      </c>
      <c r="C36" s="14" t="str">
        <f>'4-πολλυπρ'!I36</f>
        <v>219-17</v>
      </c>
      <c r="D36" s="31"/>
      <c r="E36" s="29"/>
      <c r="F36" s="29"/>
      <c r="G36" s="30"/>
      <c r="H36" s="29"/>
      <c r="I36" s="29"/>
      <c r="J36" s="29"/>
      <c r="K36" s="130" t="s">
        <v>312</v>
      </c>
      <c r="L36" s="32"/>
      <c r="M36" s="32"/>
      <c r="N36" s="32"/>
      <c r="O36" s="32"/>
      <c r="P36" s="32"/>
      <c r="Q36" s="32"/>
      <c r="R36" s="32"/>
      <c r="S36" s="32"/>
      <c r="T36" s="32"/>
      <c r="U36" s="29"/>
      <c r="V36" s="30"/>
      <c r="W36" s="30"/>
      <c r="X36" s="32"/>
      <c r="Y36" s="32"/>
      <c r="Z36" s="29"/>
      <c r="AA36" s="32"/>
      <c r="AB36" s="29"/>
      <c r="AC36" s="32"/>
      <c r="AD36" s="29"/>
      <c r="AE36" s="181" t="s">
        <v>312</v>
      </c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29"/>
      <c r="AU36" s="32"/>
      <c r="AV36" s="29"/>
      <c r="AW36" s="32"/>
      <c r="AX36" s="29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29"/>
      <c r="BJ36" s="32"/>
      <c r="BK36" s="32"/>
      <c r="BL36" s="32"/>
      <c r="BM36" s="32"/>
    </row>
    <row r="37" spans="1:65" s="33" customFormat="1">
      <c r="A37" s="29">
        <f>'1-συμβολαια'!A37</f>
        <v>0</v>
      </c>
      <c r="B37" s="14" t="str">
        <f>'4-πολλυπρ'!D37</f>
        <v>νιαπουΣτεργιανη</v>
      </c>
      <c r="C37" s="14" t="str">
        <f>'4-πολλυπρ'!I37</f>
        <v>219-17</v>
      </c>
      <c r="D37" s="31"/>
      <c r="E37" s="29"/>
      <c r="F37" s="29"/>
      <c r="G37" s="30"/>
      <c r="H37" s="29"/>
      <c r="I37" s="29"/>
      <c r="J37" s="29"/>
      <c r="K37" s="130" t="s">
        <v>312</v>
      </c>
      <c r="L37" s="32"/>
      <c r="M37" s="32"/>
      <c r="N37" s="32"/>
      <c r="O37" s="32"/>
      <c r="P37" s="32"/>
      <c r="Q37" s="32"/>
      <c r="R37" s="32"/>
      <c r="S37" s="32"/>
      <c r="T37" s="32"/>
      <c r="U37" s="29"/>
      <c r="V37" s="30"/>
      <c r="W37" s="30"/>
      <c r="X37" s="32"/>
      <c r="Y37" s="32"/>
      <c r="Z37" s="29"/>
      <c r="AA37" s="32"/>
      <c r="AB37" s="29"/>
      <c r="AC37" s="32"/>
      <c r="AD37" s="29"/>
      <c r="AE37" s="181" t="s">
        <v>312</v>
      </c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29"/>
      <c r="AU37" s="32"/>
      <c r="AV37" s="29"/>
      <c r="AW37" s="32"/>
      <c r="AX37" s="29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29"/>
      <c r="BJ37" s="32"/>
      <c r="BK37" s="32"/>
      <c r="BL37" s="32"/>
      <c r="BM37" s="32"/>
    </row>
    <row r="38" spans="1:65" s="33" customFormat="1">
      <c r="A38" s="29">
        <f>'1-συμβολαια'!A38</f>
        <v>0</v>
      </c>
      <c r="B38" s="14">
        <f>'4-πολλυπρ'!D38</f>
        <v>0</v>
      </c>
      <c r="C38" s="14" t="str">
        <f>'4-πολλυπρ'!I38</f>
        <v>219-17</v>
      </c>
      <c r="D38" s="31"/>
      <c r="E38" s="29"/>
      <c r="F38" s="29"/>
      <c r="G38" s="30"/>
      <c r="H38" s="29"/>
      <c r="I38" s="29"/>
      <c r="J38" s="29"/>
      <c r="K38" s="130" t="s">
        <v>312</v>
      </c>
      <c r="L38" s="32"/>
      <c r="M38" s="32"/>
      <c r="N38" s="32"/>
      <c r="O38" s="32"/>
      <c r="P38" s="32"/>
      <c r="Q38" s="32"/>
      <c r="R38" s="32"/>
      <c r="S38" s="32"/>
      <c r="T38" s="32"/>
      <c r="U38" s="29"/>
      <c r="V38" s="30"/>
      <c r="W38" s="30"/>
      <c r="X38" s="32"/>
      <c r="Y38" s="32"/>
      <c r="Z38" s="29"/>
      <c r="AA38" s="32"/>
      <c r="AB38" s="29"/>
      <c r="AC38" s="32"/>
      <c r="AD38" s="29"/>
      <c r="AE38" s="181" t="s">
        <v>312</v>
      </c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29"/>
      <c r="AU38" s="32"/>
      <c r="AV38" s="29"/>
      <c r="AW38" s="32"/>
      <c r="AX38" s="29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29"/>
      <c r="BJ38" s="32"/>
      <c r="BK38" s="32"/>
      <c r="BL38" s="32"/>
      <c r="BM38" s="32"/>
    </row>
    <row r="39" spans="1:65" s="33" customFormat="1">
      <c r="A39" s="29">
        <f>'1-συμβολαια'!A39</f>
        <v>0</v>
      </c>
      <c r="B39" s="14">
        <f>'4-πολλυπρ'!D39</f>
        <v>0</v>
      </c>
      <c r="C39" s="14" t="str">
        <f>'4-πολλυπρ'!I39</f>
        <v>219-17</v>
      </c>
      <c r="D39" s="31"/>
      <c r="E39" s="29"/>
      <c r="F39" s="29"/>
      <c r="G39" s="30"/>
      <c r="H39" s="29"/>
      <c r="I39" s="29"/>
      <c r="J39" s="29"/>
      <c r="K39" s="130" t="s">
        <v>312</v>
      </c>
      <c r="L39" s="32"/>
      <c r="M39" s="32"/>
      <c r="N39" s="32"/>
      <c r="O39" s="32"/>
      <c r="P39" s="32"/>
      <c r="Q39" s="32"/>
      <c r="R39" s="32"/>
      <c r="S39" s="32"/>
      <c r="T39" s="32"/>
      <c r="U39" s="29"/>
      <c r="V39" s="30"/>
      <c r="W39" s="30"/>
      <c r="X39" s="32"/>
      <c r="Y39" s="32"/>
      <c r="Z39" s="29"/>
      <c r="AA39" s="32"/>
      <c r="AB39" s="29"/>
      <c r="AC39" s="32"/>
      <c r="AD39" s="29"/>
      <c r="AE39" s="181" t="s">
        <v>312</v>
      </c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29"/>
      <c r="AU39" s="32"/>
      <c r="AV39" s="29"/>
      <c r="AW39" s="32"/>
      <c r="AX39" s="29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29"/>
      <c r="BJ39" s="32"/>
      <c r="BK39" s="32"/>
      <c r="BL39" s="32"/>
      <c r="BM39" s="32"/>
    </row>
    <row r="40" spans="1:65" s="33" customFormat="1">
      <c r="A40" s="29" t="str">
        <f>'1-συμβολαια'!A40</f>
        <v>19ο</v>
      </c>
      <c r="B40" s="14" t="str">
        <f>'4-πολλυπρ'!D40</f>
        <v>219-17</v>
      </c>
      <c r="C40" s="14" t="str">
        <f>'4-πολλυπρ'!I40</f>
        <v>219-17</v>
      </c>
      <c r="D40" s="31"/>
      <c r="E40" s="29"/>
      <c r="F40" s="29"/>
      <c r="G40" s="30"/>
      <c r="H40" s="29"/>
      <c r="I40" s="29"/>
      <c r="J40" s="29"/>
      <c r="K40" s="130" t="s">
        <v>312</v>
      </c>
      <c r="L40" s="32"/>
      <c r="M40" s="32"/>
      <c r="N40" s="32"/>
      <c r="O40" s="32"/>
      <c r="P40" s="32"/>
      <c r="Q40" s="32"/>
      <c r="R40" s="32"/>
      <c r="S40" s="32"/>
      <c r="T40" s="32"/>
      <c r="U40" s="29"/>
      <c r="V40" s="30"/>
      <c r="W40" s="30"/>
      <c r="X40" s="32"/>
      <c r="Y40" s="32"/>
      <c r="Z40" s="29"/>
      <c r="AA40" s="32"/>
      <c r="AB40" s="29"/>
      <c r="AC40" s="32"/>
      <c r="AD40" s="29"/>
      <c r="AE40" s="181" t="s">
        <v>312</v>
      </c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29"/>
      <c r="AU40" s="32"/>
      <c r="AV40" s="29"/>
      <c r="AW40" s="32"/>
      <c r="AX40" s="29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29"/>
      <c r="BJ40" s="32"/>
      <c r="BK40" s="32"/>
      <c r="BL40" s="32"/>
      <c r="BM40" s="32"/>
    </row>
    <row r="41" spans="1:65" s="33" customFormat="1">
      <c r="A41" s="29" t="str">
        <f>'1-συμβολαια'!A41</f>
        <v>20ο</v>
      </c>
      <c r="B41" s="14" t="str">
        <f>'4-πολλυπρ'!D41</f>
        <v>219-17</v>
      </c>
      <c r="C41" s="14" t="str">
        <f>'4-πολλυπρ'!I41</f>
        <v>219-17</v>
      </c>
      <c r="D41" s="31"/>
      <c r="E41" s="29"/>
      <c r="F41" s="29"/>
      <c r="G41" s="30"/>
      <c r="H41" s="29"/>
      <c r="I41" s="29"/>
      <c r="J41" s="29"/>
      <c r="K41" s="130" t="s">
        <v>312</v>
      </c>
      <c r="L41" s="32"/>
      <c r="M41" s="32"/>
      <c r="N41" s="32"/>
      <c r="O41" s="32"/>
      <c r="P41" s="32"/>
      <c r="Q41" s="32"/>
      <c r="R41" s="32"/>
      <c r="S41" s="32"/>
      <c r="T41" s="32"/>
      <c r="U41" s="29"/>
      <c r="V41" s="30"/>
      <c r="W41" s="30"/>
      <c r="X41" s="32"/>
      <c r="Y41" s="32"/>
      <c r="Z41" s="29"/>
      <c r="AA41" s="32"/>
      <c r="AB41" s="29"/>
      <c r="AC41" s="32"/>
      <c r="AD41" s="29"/>
      <c r="AE41" s="181" t="s">
        <v>312</v>
      </c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29"/>
      <c r="AU41" s="32"/>
      <c r="AV41" s="29"/>
      <c r="AW41" s="32"/>
      <c r="AX41" s="29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29"/>
      <c r="BJ41" s="32"/>
      <c r="BK41" s="32"/>
      <c r="BL41" s="32"/>
      <c r="BM41" s="32"/>
    </row>
    <row r="42" spans="1:65" s="33" customFormat="1">
      <c r="A42" s="29">
        <f>'1-συμβολαια'!A42</f>
        <v>0</v>
      </c>
      <c r="B42" s="14">
        <f>'4-πολλυπρ'!D42</f>
        <v>0</v>
      </c>
      <c r="C42" s="14" t="str">
        <f>'4-πολλυπρ'!I42</f>
        <v>κΑναστασια {Γ-Π}</v>
      </c>
      <c r="D42" s="31"/>
      <c r="E42" s="29"/>
      <c r="F42" s="29"/>
      <c r="G42" s="30"/>
      <c r="H42" s="29"/>
      <c r="I42" s="29"/>
      <c r="J42" s="29"/>
      <c r="K42" s="130" t="s">
        <v>312</v>
      </c>
      <c r="L42" s="32"/>
      <c r="M42" s="32"/>
      <c r="N42" s="32"/>
      <c r="O42" s="32"/>
      <c r="P42" s="32"/>
      <c r="Q42" s="32"/>
      <c r="R42" s="32"/>
      <c r="S42" s="32"/>
      <c r="T42" s="32"/>
      <c r="U42" s="29"/>
      <c r="V42" s="30"/>
      <c r="W42" s="30"/>
      <c r="X42" s="32"/>
      <c r="Y42" s="32"/>
      <c r="Z42" s="29"/>
      <c r="AA42" s="32"/>
      <c r="AB42" s="29"/>
      <c r="AC42" s="32"/>
      <c r="AD42" s="29"/>
      <c r="AE42" s="181" t="s">
        <v>312</v>
      </c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29"/>
      <c r="AU42" s="32"/>
      <c r="AV42" s="29"/>
      <c r="AW42" s="32"/>
      <c r="AX42" s="29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29"/>
      <c r="BJ42" s="32"/>
      <c r="BK42" s="32"/>
      <c r="BL42" s="32"/>
      <c r="BM42" s="32"/>
    </row>
    <row r="44" spans="1:65">
      <c r="F44" s="915" t="s">
        <v>313</v>
      </c>
      <c r="G44" s="915"/>
      <c r="H44" s="915"/>
      <c r="I44" s="915"/>
    </row>
    <row r="45" spans="1:65">
      <c r="F45" s="915"/>
      <c r="G45" s="915"/>
      <c r="H45" s="915"/>
      <c r="I45" s="915"/>
    </row>
  </sheetData>
  <mergeCells count="9">
    <mergeCell ref="AX1:BM1"/>
    <mergeCell ref="D2:E2"/>
    <mergeCell ref="F44:I45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89"/>
  <sheetViews>
    <sheetView workbookViewId="0">
      <pane ySplit="2" topLeftCell="A3" activePane="bottomLeft" state="frozen"/>
      <selection pane="bottomLeft" activeCell="L47" sqref="L47"/>
    </sheetView>
  </sheetViews>
  <sheetFormatPr defaultRowHeight="11.25"/>
  <cols>
    <col min="1" max="1" width="7.28515625" style="8" bestFit="1" customWidth="1"/>
    <col min="2" max="2" width="8.7109375" style="350" bestFit="1" customWidth="1"/>
    <col min="3" max="3" width="73.7109375" style="90" customWidth="1"/>
    <col min="4" max="5" width="6.42578125" style="3" customWidth="1"/>
    <col min="6" max="6" width="9.42578125" style="3" bestFit="1" customWidth="1"/>
    <col min="7" max="7" width="9" style="2" customWidth="1"/>
    <col min="8" max="8" width="9.7109375" style="2" customWidth="1"/>
    <col min="9" max="9" width="11" style="2" customWidth="1"/>
    <col min="10" max="10" width="8.140625" style="2" bestFit="1" customWidth="1"/>
    <col min="11" max="11" width="9.42578125" style="2" bestFit="1" customWidth="1"/>
    <col min="12" max="13" width="11" style="2" customWidth="1"/>
    <col min="14" max="15" width="6" style="2" bestFit="1" customWidth="1"/>
    <col min="16" max="16" width="9.5703125" style="2" bestFit="1" customWidth="1"/>
    <col min="17" max="17" width="10.28515625" style="2" bestFit="1" customWidth="1"/>
    <col min="18" max="18" width="11.42578125" style="2" customWidth="1"/>
    <col min="19" max="19" width="9.42578125" style="2" customWidth="1"/>
    <col min="20" max="20" width="9.42578125" style="2" bestFit="1" customWidth="1"/>
    <col min="21" max="21" width="8.7109375" style="75" bestFit="1" customWidth="1"/>
    <col min="22" max="22" width="10.5703125" style="75" customWidth="1"/>
    <col min="23" max="24" width="10.28515625" style="2" bestFit="1" customWidth="1"/>
    <col min="25" max="25" width="9.28515625" style="2" customWidth="1"/>
    <col min="26" max="26" width="11.42578125" style="2" customWidth="1"/>
    <col min="27" max="27" width="8.28515625" style="2" bestFit="1" customWidth="1"/>
    <col min="28" max="28" width="10.28515625" style="2" bestFit="1" customWidth="1"/>
    <col min="29" max="29" width="9.42578125" style="2" bestFit="1" customWidth="1"/>
    <col min="30" max="30" width="10.28515625" style="2" bestFit="1" customWidth="1"/>
    <col min="31" max="31" width="8.7109375" style="28" bestFit="1" customWidth="1"/>
    <col min="32" max="32" width="10.28515625" style="8" bestFit="1" customWidth="1"/>
    <col min="33" max="33" width="21.42578125" style="77" customWidth="1"/>
    <col min="34" max="34" width="7.5703125" style="3" customWidth="1"/>
    <col min="35" max="35" width="9.57031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44" width="7.5703125" style="3" customWidth="1"/>
    <col min="45" max="45" width="7.28515625" style="3" customWidth="1"/>
    <col min="46" max="48" width="6.42578125" style="3" customWidth="1"/>
    <col min="49" max="64" width="7" style="3" customWidth="1"/>
    <col min="65" max="65" width="29.28515625" style="3" bestFit="1" customWidth="1"/>
    <col min="66" max="16384" width="9.140625" style="3"/>
  </cols>
  <sheetData>
    <row r="1" spans="1:48" ht="29.25" customHeight="1">
      <c r="A1" s="959" t="s">
        <v>1</v>
      </c>
      <c r="B1" s="961" t="s">
        <v>2</v>
      </c>
      <c r="C1" s="958" t="s">
        <v>0</v>
      </c>
      <c r="D1" s="963" t="s">
        <v>11</v>
      </c>
      <c r="E1" s="956" t="s">
        <v>12</v>
      </c>
      <c r="F1" s="947" t="s">
        <v>497</v>
      </c>
      <c r="G1" s="948"/>
      <c r="H1" s="948"/>
      <c r="I1" s="949" t="s">
        <v>508</v>
      </c>
      <c r="J1" s="965" t="s">
        <v>632</v>
      </c>
      <c r="K1" s="966"/>
      <c r="L1" s="966"/>
      <c r="M1" s="966"/>
      <c r="N1" s="966"/>
      <c r="O1" s="966"/>
      <c r="P1" s="967"/>
      <c r="Q1" s="968" t="s">
        <v>498</v>
      </c>
      <c r="R1" s="969" t="s">
        <v>499</v>
      </c>
      <c r="S1" s="931" t="s">
        <v>135</v>
      </c>
      <c r="T1" s="935" t="s">
        <v>500</v>
      </c>
      <c r="U1" s="936"/>
      <c r="V1" s="936"/>
      <c r="W1" s="936"/>
      <c r="X1" s="939" t="s">
        <v>43</v>
      </c>
      <c r="Y1" s="940"/>
      <c r="Z1" s="941" t="s">
        <v>58</v>
      </c>
      <c r="AA1" s="942"/>
      <c r="AB1" s="937" t="s">
        <v>76</v>
      </c>
      <c r="AC1" s="938"/>
      <c r="AD1" s="938"/>
      <c r="AE1" s="943" t="s">
        <v>54</v>
      </c>
      <c r="AF1" s="945" t="s">
        <v>44</v>
      </c>
      <c r="AG1" s="933" t="s">
        <v>79</v>
      </c>
      <c r="AH1" s="950" t="s">
        <v>29</v>
      </c>
      <c r="AI1" s="951"/>
      <c r="AJ1" s="951"/>
      <c r="AK1" s="951"/>
      <c r="AL1" s="952"/>
      <c r="AM1" s="925" t="s">
        <v>29</v>
      </c>
      <c r="AN1" s="926"/>
      <c r="AO1" s="926"/>
      <c r="AP1" s="926"/>
      <c r="AQ1" s="926"/>
      <c r="AR1" s="926"/>
      <c r="AS1" s="926"/>
      <c r="AT1" s="926"/>
      <c r="AU1" s="926"/>
      <c r="AV1" s="927"/>
    </row>
    <row r="2" spans="1:48" ht="26.25" thickBot="1">
      <c r="A2" s="960"/>
      <c r="B2" s="962"/>
      <c r="C2" s="713"/>
      <c r="D2" s="964"/>
      <c r="E2" s="957"/>
      <c r="F2" s="245" t="s">
        <v>249</v>
      </c>
      <c r="G2" s="244" t="s">
        <v>90</v>
      </c>
      <c r="H2" s="312" t="s">
        <v>47</v>
      </c>
      <c r="I2" s="770"/>
      <c r="J2" s="970" t="s">
        <v>362</v>
      </c>
      <c r="K2" s="970" t="s">
        <v>607</v>
      </c>
      <c r="L2" s="971" t="s">
        <v>633</v>
      </c>
      <c r="M2" s="970" t="s">
        <v>93</v>
      </c>
      <c r="N2" s="970" t="s">
        <v>23</v>
      </c>
      <c r="O2" s="970" t="s">
        <v>607</v>
      </c>
      <c r="P2" s="971" t="s">
        <v>633</v>
      </c>
      <c r="Q2" s="972"/>
      <c r="R2" s="973"/>
      <c r="S2" s="932"/>
      <c r="T2" s="69" t="s">
        <v>23</v>
      </c>
      <c r="U2" s="74" t="s">
        <v>80</v>
      </c>
      <c r="V2" s="660" t="s">
        <v>607</v>
      </c>
      <c r="W2" s="661" t="s">
        <v>608</v>
      </c>
      <c r="X2" s="41" t="s">
        <v>23</v>
      </c>
      <c r="Y2" s="37" t="s">
        <v>34</v>
      </c>
      <c r="Z2" s="41" t="s">
        <v>23</v>
      </c>
      <c r="AA2" s="42" t="s">
        <v>34</v>
      </c>
      <c r="AB2" s="41" t="s">
        <v>501</v>
      </c>
      <c r="AC2" s="10" t="s">
        <v>502</v>
      </c>
      <c r="AD2" s="40" t="s">
        <v>33</v>
      </c>
      <c r="AE2" s="944"/>
      <c r="AF2" s="946"/>
      <c r="AG2" s="934"/>
      <c r="AH2" s="950"/>
      <c r="AI2" s="951"/>
      <c r="AJ2" s="951"/>
      <c r="AK2" s="951"/>
      <c r="AL2" s="952"/>
      <c r="AM2" s="928"/>
      <c r="AN2" s="929"/>
      <c r="AO2" s="929"/>
      <c r="AP2" s="929"/>
      <c r="AQ2" s="929"/>
      <c r="AR2" s="929"/>
      <c r="AS2" s="929"/>
      <c r="AT2" s="929"/>
      <c r="AU2" s="929"/>
      <c r="AV2" s="930"/>
    </row>
    <row r="3" spans="1:48" s="5" customFormat="1">
      <c r="A3" s="648" t="str">
        <f>'1-συμβολαια'!A3</f>
        <v>10ο</v>
      </c>
      <c r="B3" s="380">
        <f>'1-συμβολαια'!B3</f>
        <v>37930</v>
      </c>
      <c r="C3" s="315" t="str">
        <f>'1-συμβολαια'!C3</f>
        <v>κληρονομιάς ΑΠΟΔΟΧΗ</v>
      </c>
      <c r="D3" s="323" t="str">
        <f>'4-πολλυπρ'!D3</f>
        <v>219-17</v>
      </c>
      <c r="E3" s="323" t="str">
        <f>'4-πολλυπρ'!I3</f>
        <v>219-17</v>
      </c>
      <c r="F3" s="322">
        <f>'14-βιβλΕσ'!K3</f>
        <v>13.176900000000002</v>
      </c>
      <c r="G3" s="319">
        <f>'14-βιβλΕσ'!P3</f>
        <v>19.799999999999997</v>
      </c>
      <c r="H3" s="319">
        <f t="shared" ref="H3" si="0">F3+G3</f>
        <v>32.976900000000001</v>
      </c>
      <c r="I3" s="319">
        <f>'8-κ-15-17'!AG3</f>
        <v>0</v>
      </c>
      <c r="J3" s="319"/>
      <c r="K3" s="319"/>
      <c r="L3" s="319"/>
      <c r="M3" s="404" t="s">
        <v>518</v>
      </c>
      <c r="N3" s="319"/>
      <c r="O3" s="319"/>
      <c r="P3" s="319"/>
      <c r="Q3" s="366"/>
      <c r="R3" s="322">
        <f>('14-βιβλΕσ'!M3+'14-βιβλΕσ'!N3+'14-βιβλΕσ'!Q3)*40%</f>
        <v>408.34400000000005</v>
      </c>
      <c r="S3" s="319">
        <f>'14-βιβλΕσ'!Q3</f>
        <v>790.96</v>
      </c>
      <c r="T3" s="319">
        <f>AC3</f>
        <v>82.79</v>
      </c>
      <c r="U3" s="404" t="s">
        <v>518</v>
      </c>
      <c r="V3" s="319">
        <v>1159.25</v>
      </c>
      <c r="W3" s="427">
        <v>1159</v>
      </c>
      <c r="X3" s="322">
        <f t="shared" ref="X3:X35" si="1">AD3</f>
        <v>1041.1600000000001</v>
      </c>
      <c r="Y3" s="261">
        <v>29150.197710872635</v>
      </c>
      <c r="Z3" s="243"/>
      <c r="AA3" s="243"/>
      <c r="AB3" s="319">
        <f>'1-συμβολαια'!L3+'1-συμβολαια'!P3+'8-κ-15-17'!AE3+'14-βιβλΕσ'!K3+'14-βιβλΕσ'!P3+'14-βιβλΕσ'!Q3+0.5</f>
        <v>1123.95</v>
      </c>
      <c r="AC3" s="319">
        <f>'1-συμβολαια'!M3</f>
        <v>82.79</v>
      </c>
      <c r="AD3" s="322">
        <f t="shared" ref="AD3" si="2">AB3-AC3</f>
        <v>1041.1600000000001</v>
      </c>
      <c r="AE3" s="324">
        <v>46035</v>
      </c>
      <c r="AF3" s="266">
        <f t="shared" ref="AF3" si="3">Y3+AA3</f>
        <v>29150.197710872635</v>
      </c>
      <c r="AG3" s="348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</row>
    <row r="4" spans="1:48" s="5" customFormat="1">
      <c r="A4" s="648">
        <f>'1-συμβολαια'!A4</f>
        <v>0</v>
      </c>
      <c r="B4" s="380"/>
      <c r="C4" s="315" t="str">
        <f>'1-συμβολαια'!C4</f>
        <v>ΧΡΗΣΙΚΤΗΣΙΑ οικοπέδου &amp; οικοδομής = 1992 αδερφού ΚΛΗΡΟΝΟΜΙΑ άτυπη</v>
      </c>
      <c r="D4" s="323">
        <f>'4-πολλυπρ'!D4</f>
        <v>0</v>
      </c>
      <c r="E4" s="323" t="str">
        <f>'4-πολλυπρ'!I4</f>
        <v>219-17</v>
      </c>
      <c r="F4" s="322">
        <f>'14-βιβλΕσ'!K4</f>
        <v>3.3236919999999994</v>
      </c>
      <c r="G4" s="319">
        <f>'14-βιβλΕσ'!P4</f>
        <v>3</v>
      </c>
      <c r="H4" s="319">
        <f t="shared" ref="H4:H29" si="4">F4+G4</f>
        <v>6.3236919999999994</v>
      </c>
      <c r="I4" s="319">
        <f>'8-κ-15-17'!AG4</f>
        <v>8.6111024999999994</v>
      </c>
      <c r="J4" s="319"/>
      <c r="K4" s="319"/>
      <c r="L4" s="319"/>
      <c r="M4" s="73"/>
      <c r="N4" s="319"/>
      <c r="O4" s="319"/>
      <c r="P4" s="319"/>
      <c r="Q4" s="366"/>
      <c r="R4" s="322">
        <f>('14-βιβλΕσ'!M4+'14-βιβλΕσ'!N4+'14-βιβλΕσ'!Q4)*40%</f>
        <v>85.743711999999988</v>
      </c>
      <c r="S4" s="319">
        <f>'14-βιβλΕσ'!Q4</f>
        <v>167.37999999999997</v>
      </c>
      <c r="T4" s="319"/>
      <c r="U4" s="73"/>
      <c r="V4" s="319"/>
      <c r="W4" s="319">
        <f>AD4</f>
        <v>225.97038249999997</v>
      </c>
      <c r="X4" s="322">
        <f t="shared" si="1"/>
        <v>225.97038249999997</v>
      </c>
      <c r="Y4" s="261">
        <v>6328.1948743661951</v>
      </c>
      <c r="Z4" s="243"/>
      <c r="AA4" s="243"/>
      <c r="AB4" s="319">
        <f>'1-συμβολαια'!L4+'1-συμβολαια'!P4+'8-κ-15-17'!AE4+'14-βιβλΕσ'!K4+'14-βιβλΕσ'!P4+'14-βιβλΕσ'!Q4</f>
        <v>225.97038249999997</v>
      </c>
      <c r="AC4" s="319">
        <f>'1-συμβολαια'!M4</f>
        <v>0</v>
      </c>
      <c r="AD4" s="322">
        <f t="shared" ref="AD4:AD29" si="5">AB4-AC4</f>
        <v>225.97038249999997</v>
      </c>
      <c r="AE4" s="324"/>
      <c r="AF4" s="266">
        <f t="shared" ref="AF4:AF29" si="6">Y4+AA4</f>
        <v>6328.1948743661951</v>
      </c>
      <c r="AG4" s="348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</row>
    <row r="5" spans="1:48" s="5" customFormat="1">
      <c r="A5" s="648">
        <f>'1-συμβολαια'!A5</f>
        <v>0</v>
      </c>
      <c r="B5" s="380"/>
      <c r="C5" s="315" t="str">
        <f>'1-συμβολαια'!C5</f>
        <v>ΧΡΗΣΙΚΤΗΣΙΑ οικοπέδων 2'-3' = 1992 αδερφού ΚΛΗΡΟΝΟΜΙΑ άτυπη</v>
      </c>
      <c r="D5" s="323">
        <f>'4-πολλυπρ'!D5</f>
        <v>0</v>
      </c>
      <c r="E5" s="323" t="str">
        <f>'4-πολλυπρ'!I5</f>
        <v>219-17</v>
      </c>
      <c r="F5" s="322">
        <f>'14-βιβλΕσ'!K5</f>
        <v>3.3236919999999994</v>
      </c>
      <c r="G5" s="319">
        <f>'14-βιβλΕσ'!P5</f>
        <v>3</v>
      </c>
      <c r="H5" s="319">
        <f t="shared" si="4"/>
        <v>6.3236919999999994</v>
      </c>
      <c r="I5" s="319">
        <f>'8-κ-15-17'!AG5</f>
        <v>8.6111024999999994</v>
      </c>
      <c r="J5" s="319"/>
      <c r="K5" s="319"/>
      <c r="L5" s="319"/>
      <c r="M5" s="400"/>
      <c r="N5" s="319"/>
      <c r="O5" s="319"/>
      <c r="P5" s="319"/>
      <c r="Q5" s="366"/>
      <c r="R5" s="322">
        <f>('14-βιβλΕσ'!M5+'14-βιβλΕσ'!N5+'14-βιβλΕσ'!Q5)*40%</f>
        <v>78.579712000000001</v>
      </c>
      <c r="S5" s="319">
        <f>'14-βιβλΕσ'!Q5</f>
        <v>149.46999999999997</v>
      </c>
      <c r="T5" s="319"/>
      <c r="U5" s="400"/>
      <c r="V5" s="319"/>
      <c r="W5" s="319">
        <f t="shared" ref="W5:W42" si="7">AD5</f>
        <v>208.06038249999997</v>
      </c>
      <c r="X5" s="322">
        <f t="shared" si="1"/>
        <v>208.06038249999997</v>
      </c>
      <c r="Y5" s="261">
        <v>5826.6337009681738</v>
      </c>
      <c r="Z5" s="243"/>
      <c r="AA5" s="243"/>
      <c r="AB5" s="319">
        <f>'1-συμβολαια'!L5+'1-συμβολαια'!P5+'8-κ-15-17'!AE5+'14-βιβλΕσ'!K5+'14-βιβλΕσ'!P5+'14-βιβλΕσ'!Q5</f>
        <v>208.06038249999997</v>
      </c>
      <c r="AC5" s="319">
        <f>'1-συμβολαια'!M5</f>
        <v>0</v>
      </c>
      <c r="AD5" s="322">
        <f t="shared" si="5"/>
        <v>208.06038249999997</v>
      </c>
      <c r="AE5" s="324"/>
      <c r="AF5" s="266">
        <f t="shared" si="6"/>
        <v>5826.6337009681738</v>
      </c>
      <c r="AG5" s="348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</row>
    <row r="6" spans="1:48" s="5" customFormat="1">
      <c r="A6" s="648">
        <f>'1-συμβολαια'!A6</f>
        <v>0</v>
      </c>
      <c r="B6" s="380"/>
      <c r="C6" s="315" t="str">
        <f>'1-συμβολαια'!C6</f>
        <v>ΧΡΗΣΙΚΤΗΣΙΑ αγροτεμαχίου 9' = 1968 μητρός ΚΛΗΡΟΝΟΜΙΑ άτυπη</v>
      </c>
      <c r="D6" s="323">
        <f>'4-πολλυπρ'!D6</f>
        <v>0</v>
      </c>
      <c r="E6" s="323" t="str">
        <f>'4-πολλυπρ'!I6</f>
        <v>219-17</v>
      </c>
      <c r="F6" s="322">
        <f>'14-βιβλΕσ'!K6</f>
        <v>1.9063000000000001</v>
      </c>
      <c r="G6" s="319">
        <f>'14-βιβλΕσ'!P6</f>
        <v>3</v>
      </c>
      <c r="H6" s="319">
        <f t="shared" si="4"/>
        <v>4.9062999999999999</v>
      </c>
      <c r="I6" s="319">
        <f>'8-κ-15-17'!AG6</f>
        <v>0.8611025000000001</v>
      </c>
      <c r="J6" s="319"/>
      <c r="K6" s="319"/>
      <c r="L6" s="319"/>
      <c r="M6" s="73"/>
      <c r="N6" s="319"/>
      <c r="O6" s="319"/>
      <c r="P6" s="319"/>
      <c r="Q6" s="366"/>
      <c r="R6" s="322">
        <f>('14-βιβλΕσ'!M6+'14-βιβλΕσ'!N6+'14-βιβλΕσ'!Q6)*40%</f>
        <v>42.028000000000006</v>
      </c>
      <c r="S6" s="319">
        <f>'14-βιβλΕσ'!Q6</f>
        <v>67.540000000000006</v>
      </c>
      <c r="T6" s="319"/>
      <c r="U6" s="73"/>
      <c r="V6" s="319"/>
      <c r="W6" s="319">
        <f t="shared" si="7"/>
        <v>108.93110250000001</v>
      </c>
      <c r="X6" s="322">
        <f t="shared" si="1"/>
        <v>108.93110250000001</v>
      </c>
      <c r="Y6" s="261">
        <v>3050.5645778581556</v>
      </c>
      <c r="Z6" s="243"/>
      <c r="AA6" s="243"/>
      <c r="AB6" s="319">
        <f>'1-συμβολαια'!L6+'1-συμβολαια'!P6+'8-κ-15-17'!AE6+'14-βιβλΕσ'!K6+'14-βιβλΕσ'!P6+'14-βιβλΕσ'!Q6</f>
        <v>108.93110250000001</v>
      </c>
      <c r="AC6" s="319">
        <f>'1-συμβολαια'!M6</f>
        <v>0</v>
      </c>
      <c r="AD6" s="322">
        <f t="shared" si="5"/>
        <v>108.93110250000001</v>
      </c>
      <c r="AE6" s="324"/>
      <c r="AF6" s="266">
        <f t="shared" si="6"/>
        <v>3050.5645778581556</v>
      </c>
      <c r="AG6" s="348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</row>
    <row r="7" spans="1:48" s="5" customFormat="1">
      <c r="A7" s="648">
        <f>'1-συμβολαια'!A7</f>
        <v>0</v>
      </c>
      <c r="B7" s="380"/>
      <c r="C7" s="315" t="str">
        <f>'1-συμβολαια'!C7</f>
        <v>ΧΡΗΣΙΚΤΗΣΙΑ οικοπέδου 4' = 19?? ΑΓΟΡΑΠΩΛΗΣΙΑ άτυπη</v>
      </c>
      <c r="D7" s="323">
        <f>'4-πολλυπρ'!D7</f>
        <v>0</v>
      </c>
      <c r="E7" s="323" t="str">
        <f>'4-πολλυπρ'!I7</f>
        <v>219-17</v>
      </c>
      <c r="F7" s="322">
        <f>'14-βιβλΕσ'!K7</f>
        <v>1.9063000000000001</v>
      </c>
      <c r="G7" s="319">
        <f>'14-βιβλΕσ'!P7</f>
        <v>3</v>
      </c>
      <c r="H7" s="319">
        <f t="shared" si="4"/>
        <v>4.9062999999999999</v>
      </c>
      <c r="I7" s="319">
        <f>'8-κ-15-17'!AG7</f>
        <v>0.8611025000000001</v>
      </c>
      <c r="J7" s="319"/>
      <c r="K7" s="319"/>
      <c r="L7" s="319"/>
      <c r="M7" s="400"/>
      <c r="N7" s="319"/>
      <c r="O7" s="319"/>
      <c r="P7" s="319"/>
      <c r="Q7" s="366"/>
      <c r="R7" s="322">
        <f>('14-βιβλΕσ'!M7+'14-βιβλΕσ'!N7+'14-βιβλΕσ'!Q7)*40%</f>
        <v>60.704000000000001</v>
      </c>
      <c r="S7" s="319">
        <f>'14-βιβλΕσ'!Q7</f>
        <v>114.22999999999999</v>
      </c>
      <c r="T7" s="319"/>
      <c r="U7" s="400"/>
      <c r="V7" s="319"/>
      <c r="W7" s="319">
        <f t="shared" si="7"/>
        <v>155.62110250000001</v>
      </c>
      <c r="X7" s="322">
        <f t="shared" si="1"/>
        <v>155.62110250000001</v>
      </c>
      <c r="Y7" s="261">
        <v>4358.0961906975408</v>
      </c>
      <c r="Z7" s="243"/>
      <c r="AA7" s="243"/>
      <c r="AB7" s="319">
        <f>'1-συμβολαια'!L7+'1-συμβολαια'!P7+'8-κ-15-17'!AE7+'14-βιβλΕσ'!K7+'14-βιβλΕσ'!P7+'14-βιβλΕσ'!Q7</f>
        <v>155.62110250000001</v>
      </c>
      <c r="AC7" s="319">
        <f>'1-συμβολαια'!M7</f>
        <v>0</v>
      </c>
      <c r="AD7" s="322">
        <f t="shared" si="5"/>
        <v>155.62110250000001</v>
      </c>
      <c r="AE7" s="324"/>
      <c r="AF7" s="266">
        <f t="shared" si="6"/>
        <v>4358.0961906975408</v>
      </c>
      <c r="AG7" s="348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</row>
    <row r="8" spans="1:48" s="5" customFormat="1" ht="12" thickBot="1">
      <c r="A8" s="650">
        <f>'1-συμβολαια'!A8</f>
        <v>0</v>
      </c>
      <c r="B8" s="651"/>
      <c r="C8" s="408" t="str">
        <f>'1-συμβολαια'!C8</f>
        <v>ΧΡΗΣΙΚΤΗΣΙΑ αγροτεμαχίου 8' = 19??? ΑΓΟΡΑΠΩΛΗΣΙΑ άτυπη</v>
      </c>
      <c r="D8" s="461">
        <f>'4-πολλυπρ'!D8</f>
        <v>0</v>
      </c>
      <c r="E8" s="461" t="str">
        <f>'4-πολλυπρ'!I8</f>
        <v>219-17</v>
      </c>
      <c r="F8" s="414">
        <f>'14-βιβλΕσ'!K8</f>
        <v>3.3236919999999994</v>
      </c>
      <c r="G8" s="431">
        <f>'14-βιβλΕσ'!P8</f>
        <v>3</v>
      </c>
      <c r="H8" s="431">
        <f t="shared" si="4"/>
        <v>6.3236919999999994</v>
      </c>
      <c r="I8" s="431">
        <f>'8-κ-15-17'!AG8</f>
        <v>8.6111024999999994</v>
      </c>
      <c r="J8" s="431"/>
      <c r="K8" s="431"/>
      <c r="L8" s="431"/>
      <c r="M8" s="444"/>
      <c r="N8" s="431"/>
      <c r="O8" s="431"/>
      <c r="P8" s="431"/>
      <c r="Q8" s="658"/>
      <c r="R8" s="414">
        <f>('14-βιβλΕσ'!M8+'14-βιβλΕσ'!N8+'14-βιβλΕσ'!Q8)*40%</f>
        <v>44.515712000000008</v>
      </c>
      <c r="S8" s="431">
        <f>'14-βιβλΕσ'!Q8</f>
        <v>64.31</v>
      </c>
      <c r="T8" s="431"/>
      <c r="U8" s="444"/>
      <c r="V8" s="431"/>
      <c r="W8" s="431">
        <f t="shared" si="7"/>
        <v>122.90038250000001</v>
      </c>
      <c r="X8" s="414">
        <f t="shared" si="1"/>
        <v>122.90038250000001</v>
      </c>
      <c r="Y8" s="461">
        <v>3441.7677307518138</v>
      </c>
      <c r="Z8" s="666"/>
      <c r="AA8" s="666"/>
      <c r="AB8" s="431">
        <f>'1-συμβολαια'!L8+'1-συμβολαια'!P8+'8-κ-15-17'!AE8+'14-βιβλΕσ'!K8+'14-βιβλΕσ'!P8+'14-βιβλΕσ'!Q8</f>
        <v>122.90038250000001</v>
      </c>
      <c r="AC8" s="431">
        <f>'1-συμβολαια'!M8</f>
        <v>0</v>
      </c>
      <c r="AD8" s="414">
        <f t="shared" si="5"/>
        <v>122.90038250000001</v>
      </c>
      <c r="AE8" s="669"/>
      <c r="AF8" s="552">
        <f t="shared" si="6"/>
        <v>3441.7677307518138</v>
      </c>
      <c r="AG8" s="670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</row>
    <row r="9" spans="1:48" s="5" customFormat="1">
      <c r="A9" s="652" t="str">
        <f>'1-συμβολαια'!A9</f>
        <v>11ο</v>
      </c>
      <c r="B9" s="649">
        <f>'1-συμβολαια'!B9</f>
        <v>37930</v>
      </c>
      <c r="C9" s="382" t="str">
        <f>'1-συμβολαια'!C9</f>
        <v>κληρονομιάς ΑΠΟΔΟΧΗ</v>
      </c>
      <c r="D9" s="323" t="str">
        <f>'4-πολλυπρ'!D9</f>
        <v>219-17</v>
      </c>
      <c r="E9" s="323" t="str">
        <f>'4-πολλυπρ'!I9</f>
        <v>219-17</v>
      </c>
      <c r="F9" s="322">
        <f>'14-βιβλΕσ'!K9</f>
        <v>10.689800000000002</v>
      </c>
      <c r="G9" s="319">
        <f>'14-βιβλΕσ'!P9</f>
        <v>19.799999999999997</v>
      </c>
      <c r="H9" s="319">
        <f t="shared" si="4"/>
        <v>30.489799999999999</v>
      </c>
      <c r="I9" s="319">
        <f>'8-κ-15-17'!AG9</f>
        <v>0</v>
      </c>
      <c r="J9" s="319"/>
      <c r="K9" s="319"/>
      <c r="L9" s="319"/>
      <c r="M9" s="485">
        <v>38019</v>
      </c>
      <c r="N9" s="319"/>
      <c r="O9" s="319"/>
      <c r="P9" s="319"/>
      <c r="Q9" s="366"/>
      <c r="R9" s="322">
        <f>('14-βιβλΕσ'!M9+'14-βιβλΕσ'!N9+'14-βιβλΕσ'!Q9)*40%</f>
        <v>300.46400000000006</v>
      </c>
      <c r="S9" s="319">
        <f>'14-βιβλΕσ'!Q9</f>
        <v>597.0100000000001</v>
      </c>
      <c r="T9" s="319"/>
      <c r="U9" s="485">
        <v>38019</v>
      </c>
      <c r="V9" s="319"/>
      <c r="W9" s="319">
        <f t="shared" si="7"/>
        <v>771.46000000000015</v>
      </c>
      <c r="X9" s="322">
        <f t="shared" si="1"/>
        <v>771.46000000000015</v>
      </c>
      <c r="Y9" s="323">
        <v>21597.375350992967</v>
      </c>
      <c r="Z9" s="243"/>
      <c r="AA9" s="243"/>
      <c r="AB9" s="319">
        <f>'1-συμβολαια'!L9+'1-συμβολαια'!P9+'8-κ-15-17'!AE9+'14-βιβλΕσ'!K9+'14-βιβλΕσ'!P9+'14-βιβλΕσ'!Q9+0.5</f>
        <v>854.25000000000011</v>
      </c>
      <c r="AC9" s="319">
        <f>'1-συμβολαια'!M9</f>
        <v>82.79</v>
      </c>
      <c r="AD9" s="322">
        <f t="shared" si="5"/>
        <v>771.46000000000015</v>
      </c>
      <c r="AE9" s="667"/>
      <c r="AF9" s="266">
        <f t="shared" si="6"/>
        <v>21597.375350992967</v>
      </c>
      <c r="AG9" s="668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</row>
    <row r="10" spans="1:48" s="5" customFormat="1">
      <c r="A10" s="652">
        <f>'1-συμβολαια'!A10</f>
        <v>0</v>
      </c>
      <c r="B10" s="380"/>
      <c r="C10" s="315" t="str">
        <f>'1-συμβολαια'!C10</f>
        <v>ΧΡΗΣΙΚΤΗΣΙΑ οικοπέδου &amp; οικοδομής = 1992 αδερφού ΚΛΗΡΟΝΟΜΙΑ άτυπη</v>
      </c>
      <c r="D10" s="323">
        <f>'4-πολλυπρ'!D10</f>
        <v>0</v>
      </c>
      <c r="E10" s="323" t="str">
        <f>'4-πολλυπρ'!I10</f>
        <v>219-17</v>
      </c>
      <c r="F10" s="322">
        <f>'14-βιβλΕσ'!K10</f>
        <v>3.3236919999999994</v>
      </c>
      <c r="G10" s="319">
        <f>'14-βιβλΕσ'!P10</f>
        <v>3</v>
      </c>
      <c r="H10" s="319">
        <f t="shared" si="4"/>
        <v>6.3236919999999994</v>
      </c>
      <c r="I10" s="319">
        <f>'8-κ-15-17'!AG10</f>
        <v>8.6111024999999994</v>
      </c>
      <c r="J10" s="319"/>
      <c r="K10" s="319"/>
      <c r="L10" s="319"/>
      <c r="M10" s="400"/>
      <c r="N10" s="319"/>
      <c r="O10" s="319"/>
      <c r="P10" s="319"/>
      <c r="Q10" s="366"/>
      <c r="R10" s="322">
        <f>('14-βιβλΕσ'!M10+'14-βιβλΕσ'!N10+'14-βιβλΕσ'!Q10)*40%</f>
        <v>17.499711999999999</v>
      </c>
      <c r="S10" s="319">
        <f>'14-βιβλΕσ'!Q10</f>
        <v>3.23</v>
      </c>
      <c r="T10" s="319"/>
      <c r="U10" s="400"/>
      <c r="V10" s="319"/>
      <c r="W10" s="319">
        <f t="shared" si="7"/>
        <v>55.3603825</v>
      </c>
      <c r="X10" s="316">
        <f t="shared" si="1"/>
        <v>55.3603825</v>
      </c>
      <c r="Y10" s="261">
        <v>1550.3416195680072</v>
      </c>
      <c r="Z10" s="243"/>
      <c r="AA10" s="243"/>
      <c r="AB10" s="319">
        <f>'1-συμβολαια'!L10+'1-συμβολαια'!P10+'8-κ-15-17'!AE10+'14-βιβλΕσ'!K10+'14-βιβλΕσ'!P10+'14-βιβλΕσ'!Q10</f>
        <v>55.3603825</v>
      </c>
      <c r="AC10" s="319">
        <f>'1-συμβολαια'!M10</f>
        <v>0</v>
      </c>
      <c r="AD10" s="322">
        <f t="shared" si="5"/>
        <v>55.3603825</v>
      </c>
      <c r="AE10" s="324"/>
      <c r="AF10" s="266">
        <f t="shared" si="6"/>
        <v>1550.3416195680072</v>
      </c>
      <c r="AG10" s="348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</row>
    <row r="11" spans="1:48" s="5" customFormat="1">
      <c r="A11" s="652">
        <f>'1-συμβολαια'!A11</f>
        <v>0</v>
      </c>
      <c r="B11" s="380"/>
      <c r="C11" s="315" t="str">
        <f>'1-συμβολαια'!C11</f>
        <v>ΧΡΗΣΙΚΤΗΣΙΑ οικοπέδων 2'-3' = 1992 αδερφού ΚΛΗΡΟΝΟΜΙΑ άτυπη</v>
      </c>
      <c r="D11" s="323">
        <f>'4-πολλυπρ'!D11</f>
        <v>0</v>
      </c>
      <c r="E11" s="323" t="str">
        <f>'4-πολλυπρ'!I11</f>
        <v>219-17</v>
      </c>
      <c r="F11" s="322">
        <f>'14-βιβλΕσ'!K11</f>
        <v>3.3236919999999994</v>
      </c>
      <c r="G11" s="319">
        <f>'14-βιβλΕσ'!P11</f>
        <v>3</v>
      </c>
      <c r="H11" s="319">
        <f t="shared" si="4"/>
        <v>6.3236919999999994</v>
      </c>
      <c r="I11" s="319">
        <f>'8-κ-15-17'!AG11</f>
        <v>8.6111024999999994</v>
      </c>
      <c r="J11" s="319"/>
      <c r="K11" s="319"/>
      <c r="L11" s="319"/>
      <c r="M11" s="400"/>
      <c r="N11" s="319"/>
      <c r="O11" s="319"/>
      <c r="P11" s="319"/>
      <c r="Q11" s="366"/>
      <c r="R11" s="322">
        <f>('14-βιβλΕσ'!M11+'14-βιβλΕσ'!N11+'14-βιβλΕσ'!Q11)*40%</f>
        <v>16.207712000000001</v>
      </c>
      <c r="S11" s="319">
        <f>'14-βιβλΕσ'!Q11</f>
        <v>0</v>
      </c>
      <c r="T11" s="319"/>
      <c r="U11" s="400"/>
      <c r="V11" s="319"/>
      <c r="W11" s="319">
        <f t="shared" si="7"/>
        <v>52.130382500000003</v>
      </c>
      <c r="X11" s="316">
        <f t="shared" si="1"/>
        <v>52.130382500000003</v>
      </c>
      <c r="Y11" s="261">
        <v>1459.8869802561348</v>
      </c>
      <c r="Z11" s="243"/>
      <c r="AA11" s="243"/>
      <c r="AB11" s="319">
        <f>'1-συμβολαια'!L11+'1-συμβολαια'!P11+'8-κ-15-17'!AE11+'14-βιβλΕσ'!K11+'14-βιβλΕσ'!P11+'14-βιβλΕσ'!Q11</f>
        <v>52.130382500000003</v>
      </c>
      <c r="AC11" s="319">
        <f>'1-συμβολαια'!M11</f>
        <v>0</v>
      </c>
      <c r="AD11" s="322">
        <f t="shared" si="5"/>
        <v>52.130382500000003</v>
      </c>
      <c r="AE11" s="324"/>
      <c r="AF11" s="266">
        <f t="shared" si="6"/>
        <v>1459.8869802561348</v>
      </c>
      <c r="AG11" s="348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</row>
    <row r="12" spans="1:48" s="5" customFormat="1">
      <c r="A12" s="652">
        <f>'1-συμβολαια'!A12</f>
        <v>0</v>
      </c>
      <c r="B12" s="380"/>
      <c r="C12" s="315" t="str">
        <f>'1-συμβολαια'!C12</f>
        <v>ΧΡΗΣΙΚΤΗΣΙΑ αγροτεμαχίου 9' = 1968 μητρός ΚΛΗΡΟΝΟΜΙΑ άτυπη</v>
      </c>
      <c r="D12" s="323">
        <f>'4-πολλυπρ'!D12</f>
        <v>0</v>
      </c>
      <c r="E12" s="323" t="str">
        <f>'4-πολλυπρ'!I12</f>
        <v>219-17</v>
      </c>
      <c r="F12" s="322">
        <f>'14-βιβλΕσ'!K12</f>
        <v>1.9063000000000001</v>
      </c>
      <c r="G12" s="319">
        <f>'14-βιβλΕσ'!P12</f>
        <v>3</v>
      </c>
      <c r="H12" s="319">
        <f t="shared" si="4"/>
        <v>4.9062999999999999</v>
      </c>
      <c r="I12" s="319">
        <f>'8-κ-15-17'!AG12</f>
        <v>0.8611025000000001</v>
      </c>
      <c r="J12" s="319"/>
      <c r="K12" s="319"/>
      <c r="L12" s="319"/>
      <c r="M12" s="400"/>
      <c r="N12" s="319"/>
      <c r="O12" s="319"/>
      <c r="P12" s="319"/>
      <c r="Q12" s="366"/>
      <c r="R12" s="322">
        <f>('14-βιβλΕσ'!M12+'14-βιβλΕσ'!N12+'14-βιβλΕσ'!Q12)*40%</f>
        <v>13.720000000000002</v>
      </c>
      <c r="S12" s="319">
        <f>'14-βιβλΕσ'!Q12</f>
        <v>3.23</v>
      </c>
      <c r="T12" s="319"/>
      <c r="U12" s="400"/>
      <c r="V12" s="319"/>
      <c r="W12" s="319">
        <f t="shared" si="7"/>
        <v>38.161102500000005</v>
      </c>
      <c r="X12" s="316">
        <f t="shared" si="1"/>
        <v>38.161102500000005</v>
      </c>
      <c r="Y12" s="261">
        <v>1068.683827362478</v>
      </c>
      <c r="Z12" s="243"/>
      <c r="AA12" s="243"/>
      <c r="AB12" s="319">
        <f>'1-συμβολαια'!L12+'1-συμβολαια'!P12+'8-κ-15-17'!AE12+'14-βιβλΕσ'!K12+'14-βιβλΕσ'!P12+'14-βιβλΕσ'!Q12</f>
        <v>38.161102500000005</v>
      </c>
      <c r="AC12" s="319">
        <f>'1-συμβολαια'!M12</f>
        <v>0</v>
      </c>
      <c r="AD12" s="322">
        <f t="shared" si="5"/>
        <v>38.161102500000005</v>
      </c>
      <c r="AE12" s="324"/>
      <c r="AF12" s="266">
        <f t="shared" si="6"/>
        <v>1068.683827362478</v>
      </c>
      <c r="AG12" s="348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</row>
    <row r="13" spans="1:48" s="5" customFormat="1">
      <c r="A13" s="652">
        <f>'1-συμβολαια'!A13</f>
        <v>0</v>
      </c>
      <c r="B13" s="380"/>
      <c r="C13" s="315" t="str">
        <f>'1-συμβολαια'!C13</f>
        <v>ΧΡΗΣΙΚΤΗΣΙΑ οικοπέδου 4' = 19?? ΑΓΟΡΑΠΩΛΗΣΙΑ άτυπη</v>
      </c>
      <c r="D13" s="323">
        <f>'4-πολλυπρ'!D13</f>
        <v>0</v>
      </c>
      <c r="E13" s="323" t="str">
        <f>'4-πολλυπρ'!I13</f>
        <v>219-17</v>
      </c>
      <c r="F13" s="322">
        <f>'14-βιβλΕσ'!K13</f>
        <v>1.9063000000000001</v>
      </c>
      <c r="G13" s="319">
        <f>'14-βιβλΕσ'!P13</f>
        <v>3</v>
      </c>
      <c r="H13" s="319">
        <f t="shared" si="4"/>
        <v>4.9062999999999999</v>
      </c>
      <c r="I13" s="319">
        <f>'8-κ-15-17'!AG13</f>
        <v>0.8611025000000001</v>
      </c>
      <c r="J13" s="319"/>
      <c r="K13" s="319"/>
      <c r="L13" s="319"/>
      <c r="M13" s="400"/>
      <c r="N13" s="319"/>
      <c r="O13" s="319"/>
      <c r="P13" s="319"/>
      <c r="Q13" s="366"/>
      <c r="R13" s="322">
        <f>('14-βιβλΕσ'!M13+'14-βιβλΕσ'!N13+'14-βιβλΕσ'!Q13)*40%</f>
        <v>12.428000000000003</v>
      </c>
      <c r="S13" s="319">
        <f>'14-βιβλΕσ'!Q13</f>
        <v>0</v>
      </c>
      <c r="T13" s="319"/>
      <c r="U13" s="400"/>
      <c r="V13" s="319"/>
      <c r="W13" s="319">
        <f t="shared" si="7"/>
        <v>34.931102500000009</v>
      </c>
      <c r="X13" s="316">
        <f t="shared" si="1"/>
        <v>34.931102500000009</v>
      </c>
      <c r="Y13" s="261">
        <v>978.22918805060851</v>
      </c>
      <c r="Z13" s="243"/>
      <c r="AA13" s="243"/>
      <c r="AB13" s="319">
        <f>'1-συμβολαια'!L13+'1-συμβολαια'!P13+'8-κ-15-17'!AE13+'14-βιβλΕσ'!K13+'14-βιβλΕσ'!P13+'14-βιβλΕσ'!Q13</f>
        <v>34.931102500000009</v>
      </c>
      <c r="AC13" s="319">
        <f>'1-συμβολαια'!M13</f>
        <v>0</v>
      </c>
      <c r="AD13" s="322">
        <f t="shared" si="5"/>
        <v>34.931102500000009</v>
      </c>
      <c r="AE13" s="324"/>
      <c r="AF13" s="266">
        <f t="shared" si="6"/>
        <v>978.22918805060851</v>
      </c>
      <c r="AG13" s="348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</row>
    <row r="14" spans="1:48" s="5" customFormat="1" ht="12" thickBot="1">
      <c r="A14" s="653">
        <f>'1-συμβολαια'!A14</f>
        <v>0</v>
      </c>
      <c r="B14" s="651"/>
      <c r="C14" s="408" t="str">
        <f>'1-συμβολαια'!C14</f>
        <v>ΧΡΗΣΙΚΤΗΣΙΑ αγροτεμαχίου 8' = 19??? ΑΓΟΡΑΠΩΛΗΣΙΑ άτυπη</v>
      </c>
      <c r="D14" s="461">
        <f>'4-πολλυπρ'!D14</f>
        <v>0</v>
      </c>
      <c r="E14" s="461" t="str">
        <f>'4-πολλυπρ'!I14</f>
        <v>219-17</v>
      </c>
      <c r="F14" s="414">
        <f>'14-βιβλΕσ'!K14</f>
        <v>3.3236919999999994</v>
      </c>
      <c r="G14" s="431">
        <f>'14-βιβλΕσ'!P14</f>
        <v>3</v>
      </c>
      <c r="H14" s="431">
        <f t="shared" si="4"/>
        <v>6.3236919999999994</v>
      </c>
      <c r="I14" s="431">
        <f>'8-κ-15-17'!AG14</f>
        <v>8.6111024999999994</v>
      </c>
      <c r="J14" s="431"/>
      <c r="K14" s="431"/>
      <c r="L14" s="431"/>
      <c r="M14" s="444"/>
      <c r="N14" s="431"/>
      <c r="O14" s="431"/>
      <c r="P14" s="431"/>
      <c r="Q14" s="658"/>
      <c r="R14" s="414">
        <f>('14-βιβλΕσ'!M14+'14-βιβλΕσ'!N14+'14-βιβλΕσ'!Q14)*40%</f>
        <v>16.207712000000001</v>
      </c>
      <c r="S14" s="431">
        <f>'14-βιβλΕσ'!Q14</f>
        <v>0</v>
      </c>
      <c r="T14" s="431"/>
      <c r="U14" s="444"/>
      <c r="V14" s="431"/>
      <c r="W14" s="431">
        <f t="shared" si="7"/>
        <v>52.130382500000003</v>
      </c>
      <c r="X14" s="414">
        <f t="shared" si="1"/>
        <v>52.130382500000003</v>
      </c>
      <c r="Y14" s="461">
        <v>1459.8869802561348</v>
      </c>
      <c r="Z14" s="666"/>
      <c r="AA14" s="666"/>
      <c r="AB14" s="431">
        <f>'1-συμβολαια'!L14+'1-συμβολαια'!P14+'8-κ-15-17'!AE14+'14-βιβλΕσ'!K14+'14-βιβλΕσ'!P14+'14-βιβλΕσ'!Q14</f>
        <v>52.130382500000003</v>
      </c>
      <c r="AC14" s="431">
        <f>'1-συμβολαια'!M14</f>
        <v>0</v>
      </c>
      <c r="AD14" s="414">
        <f t="shared" si="5"/>
        <v>52.130382500000003</v>
      </c>
      <c r="AE14" s="669"/>
      <c r="AF14" s="552">
        <f t="shared" si="6"/>
        <v>1459.8869802561348</v>
      </c>
      <c r="AG14" s="670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</row>
    <row r="15" spans="1:48" s="5" customFormat="1">
      <c r="A15" s="648" t="str">
        <f>'1-συμβολαια'!A15</f>
        <v>12ο</v>
      </c>
      <c r="B15" s="649">
        <f>'1-συμβολαια'!B15</f>
        <v>37930</v>
      </c>
      <c r="C15" s="382" t="str">
        <f>'1-συμβολαια'!C15</f>
        <v>κληρονομιάς ΑΠΟΔΟΧΗ</v>
      </c>
      <c r="D15" s="323" t="str">
        <f>'4-πολλυπρ'!D15</f>
        <v>219-17</v>
      </c>
      <c r="E15" s="323" t="str">
        <f>'4-πολλυπρ'!I15</f>
        <v>219-17</v>
      </c>
      <c r="F15" s="322">
        <f>'14-βιβλΕσ'!K15</f>
        <v>8.2027000000000001</v>
      </c>
      <c r="G15" s="319">
        <f>'14-βιβλΕσ'!P15</f>
        <v>19.799999999999997</v>
      </c>
      <c r="H15" s="319">
        <f t="shared" si="4"/>
        <v>28.002699999999997</v>
      </c>
      <c r="I15" s="319">
        <f>'8-κ-15-17'!AG15</f>
        <v>0</v>
      </c>
      <c r="J15" s="319"/>
      <c r="K15" s="319"/>
      <c r="L15" s="319"/>
      <c r="M15" s="404" t="s">
        <v>518</v>
      </c>
      <c r="N15" s="319"/>
      <c r="O15" s="319"/>
      <c r="P15" s="319"/>
      <c r="Q15" s="366"/>
      <c r="R15" s="322">
        <f>('14-βιβλΕσ'!M15+'14-βιβλΕσ'!N15+'14-βιβλΕσ'!Q15)*40%</f>
        <v>262.29200000000003</v>
      </c>
      <c r="S15" s="319">
        <f>'14-βιβλΕσ'!Q15</f>
        <v>577.33000000000004</v>
      </c>
      <c r="T15" s="319">
        <f t="shared" ref="T15:T42" si="8">AC15</f>
        <v>82.79</v>
      </c>
      <c r="U15" s="662" t="s">
        <v>518</v>
      </c>
      <c r="V15" s="319">
        <v>1159.25</v>
      </c>
      <c r="W15" s="319">
        <v>1159</v>
      </c>
      <c r="X15" s="322">
        <f t="shared" si="1"/>
        <v>676.03000000000009</v>
      </c>
      <c r="Y15" s="323">
        <v>19654.846324238122</v>
      </c>
      <c r="Z15" s="243"/>
      <c r="AA15" s="243"/>
      <c r="AB15" s="319">
        <f>'1-συμβολαια'!L15+'1-συμβολαια'!P15+'8-κ-15-17'!AE15+'14-βιβλΕσ'!K15+'14-βιβλΕσ'!P15+'14-βιβλΕσ'!Q15+0.5</f>
        <v>758.82</v>
      </c>
      <c r="AC15" s="319">
        <f>'1-συμβολαια'!M15</f>
        <v>82.79</v>
      </c>
      <c r="AD15" s="322">
        <f t="shared" si="5"/>
        <v>676.03000000000009</v>
      </c>
      <c r="AE15" s="667"/>
      <c r="AF15" s="266">
        <f t="shared" si="6"/>
        <v>19654.846324238122</v>
      </c>
      <c r="AG15" s="668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</row>
    <row r="16" spans="1:48" s="5" customFormat="1">
      <c r="A16" s="648">
        <f>'1-συμβολαια'!A16</f>
        <v>0</v>
      </c>
      <c r="B16" s="380"/>
      <c r="C16" s="315" t="str">
        <f>'1-συμβολαια'!C16</f>
        <v>ΧΡΗΣΙΚΤΗΣΙΑ οικοπέδου &amp; οικοδομής = 1992 αδερφού ΚΛΗΡΟΝΟΜΙΑ άτυπη</v>
      </c>
      <c r="D16" s="323">
        <f>'4-πολλυπρ'!D16</f>
        <v>0</v>
      </c>
      <c r="E16" s="323" t="str">
        <f>'4-πολλυπρ'!I16</f>
        <v>219-17</v>
      </c>
      <c r="F16" s="322">
        <f>'14-βιβλΕσ'!K16</f>
        <v>3.3236919999999994</v>
      </c>
      <c r="G16" s="319">
        <f>'14-βιβλΕσ'!P16</f>
        <v>3</v>
      </c>
      <c r="H16" s="319">
        <f t="shared" si="4"/>
        <v>6.3236919999999994</v>
      </c>
      <c r="I16" s="319">
        <f>'8-κ-15-17'!AG16</f>
        <v>8.6111024999999994</v>
      </c>
      <c r="J16" s="319"/>
      <c r="K16" s="319"/>
      <c r="L16" s="319"/>
      <c r="M16" s="400"/>
      <c r="N16" s="319"/>
      <c r="O16" s="319"/>
      <c r="P16" s="319"/>
      <c r="Q16" s="366"/>
      <c r="R16" s="322">
        <f>('14-βιβλΕσ'!M16+'14-βιβλΕσ'!N16+'14-βιβλΕσ'!Q16)*40%</f>
        <v>17.499711999999999</v>
      </c>
      <c r="S16" s="319">
        <f>'14-βιβλΕσ'!Q16</f>
        <v>3.23</v>
      </c>
      <c r="T16" s="319"/>
      <c r="U16" s="400"/>
      <c r="V16" s="319"/>
      <c r="W16" s="319">
        <f t="shared" si="7"/>
        <v>55.3603825</v>
      </c>
      <c r="X16" s="316">
        <f t="shared" si="1"/>
        <v>55.3603825</v>
      </c>
      <c r="Y16" s="261">
        <v>10241.122793375866</v>
      </c>
      <c r="Z16" s="243"/>
      <c r="AA16" s="243"/>
      <c r="AB16" s="319">
        <f>'1-συμβολαια'!L16+'1-συμβολαια'!P16+'8-κ-15-17'!AE16+'14-βιβλΕσ'!K16+'14-βιβλΕσ'!P16+'14-βιβλΕσ'!Q16</f>
        <v>55.3603825</v>
      </c>
      <c r="AC16" s="319">
        <f>'1-συμβολαια'!M16</f>
        <v>0</v>
      </c>
      <c r="AD16" s="322">
        <f t="shared" si="5"/>
        <v>55.3603825</v>
      </c>
      <c r="AE16" s="324"/>
      <c r="AF16" s="266">
        <f t="shared" si="6"/>
        <v>10241.122793375866</v>
      </c>
      <c r="AG16" s="348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</row>
    <row r="17" spans="1:48" s="5" customFormat="1">
      <c r="A17" s="648">
        <f>'1-συμβολαια'!A17</f>
        <v>0</v>
      </c>
      <c r="B17" s="380"/>
      <c r="C17" s="315" t="str">
        <f>'1-συμβολαια'!C17</f>
        <v>ΧΡΗΣΙΚΤΗΣΙΑ οικοπέδων 2'-3' = 1992 αδερφού ΚΛΗΡΟΝΟΜΙΑ άτυπη</v>
      </c>
      <c r="D17" s="323">
        <f>'4-πολλυπρ'!D17</f>
        <v>0</v>
      </c>
      <c r="E17" s="323" t="str">
        <f>'4-πολλυπρ'!I17</f>
        <v>219-17</v>
      </c>
      <c r="F17" s="322">
        <f>'14-βιβλΕσ'!K17</f>
        <v>3.3236919999999994</v>
      </c>
      <c r="G17" s="319">
        <f>'14-βιβλΕσ'!P17</f>
        <v>3</v>
      </c>
      <c r="H17" s="319">
        <f t="shared" si="4"/>
        <v>6.3236919999999994</v>
      </c>
      <c r="I17" s="319">
        <f>'8-κ-15-17'!AG17</f>
        <v>8.6111024999999994</v>
      </c>
      <c r="J17" s="319"/>
      <c r="K17" s="319"/>
      <c r="L17" s="319"/>
      <c r="M17" s="400"/>
      <c r="N17" s="319"/>
      <c r="O17" s="319"/>
      <c r="P17" s="319"/>
      <c r="Q17" s="366"/>
      <c r="R17" s="322">
        <f>('14-βιβλΕσ'!M17+'14-βιβλΕσ'!N17+'14-βιβλΕσ'!Q17)*40%</f>
        <v>16.207712000000001</v>
      </c>
      <c r="S17" s="319">
        <f>'14-βιβλΕσ'!Q17</f>
        <v>0</v>
      </c>
      <c r="T17" s="319"/>
      <c r="U17" s="400"/>
      <c r="V17" s="319"/>
      <c r="W17" s="319">
        <f t="shared" si="7"/>
        <v>52.130382500000003</v>
      </c>
      <c r="X17" s="316">
        <f t="shared" si="1"/>
        <v>52.130382500000003</v>
      </c>
      <c r="Y17" s="261">
        <v>1505.1142999120711</v>
      </c>
      <c r="Z17" s="243"/>
      <c r="AA17" s="243"/>
      <c r="AB17" s="319">
        <f>'1-συμβολαια'!L17+'1-συμβολαια'!P17+'8-κ-15-17'!AE17+'14-βιβλΕσ'!K17+'14-βιβλΕσ'!P17+'14-βιβλΕσ'!Q17</f>
        <v>52.130382500000003</v>
      </c>
      <c r="AC17" s="319">
        <f>'1-συμβολαια'!M17</f>
        <v>0</v>
      </c>
      <c r="AD17" s="322">
        <f t="shared" si="5"/>
        <v>52.130382500000003</v>
      </c>
      <c r="AE17" s="324"/>
      <c r="AF17" s="266">
        <f t="shared" si="6"/>
        <v>1505.1142999120711</v>
      </c>
      <c r="AG17" s="348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</row>
    <row r="18" spans="1:48" s="5" customFormat="1">
      <c r="A18" s="648">
        <f>'1-συμβολαια'!A18</f>
        <v>0</v>
      </c>
      <c r="B18" s="380"/>
      <c r="C18" s="315" t="str">
        <f>'1-συμβολαια'!C18</f>
        <v>ΧΡΗΣΙΚΤΗΣΙΑ αγροτεμαχίου 9' = 1968 μητρός ΚΛΗΡΟΝΟΜΙΑ άτυπη</v>
      </c>
      <c r="D18" s="323">
        <f>'4-πολλυπρ'!D18</f>
        <v>0</v>
      </c>
      <c r="E18" s="323" t="str">
        <f>'4-πολλυπρ'!I18</f>
        <v>219-17</v>
      </c>
      <c r="F18" s="322">
        <f>'14-βιβλΕσ'!K18</f>
        <v>1.9063000000000001</v>
      </c>
      <c r="G18" s="319">
        <f>'14-βιβλΕσ'!P18</f>
        <v>3</v>
      </c>
      <c r="H18" s="319">
        <f t="shared" si="4"/>
        <v>4.9062999999999999</v>
      </c>
      <c r="I18" s="319">
        <f>'8-κ-15-17'!AG18</f>
        <v>0.8611025000000001</v>
      </c>
      <c r="J18" s="319"/>
      <c r="K18" s="319"/>
      <c r="L18" s="319"/>
      <c r="M18" s="400"/>
      <c r="N18" s="319"/>
      <c r="O18" s="319"/>
      <c r="P18" s="319"/>
      <c r="Q18" s="366"/>
      <c r="R18" s="322">
        <f>('14-βιβλΕσ'!M18+'14-βιβλΕσ'!N18+'14-βιβλΕσ'!Q18)*40%</f>
        <v>13.720000000000002</v>
      </c>
      <c r="S18" s="319">
        <f>'14-βιβλΕσ'!Q18</f>
        <v>3.23</v>
      </c>
      <c r="T18" s="319"/>
      <c r="U18" s="400"/>
      <c r="V18" s="319"/>
      <c r="W18" s="319">
        <f t="shared" si="7"/>
        <v>38.161102500000005</v>
      </c>
      <c r="X18" s="316">
        <f t="shared" si="1"/>
        <v>38.161102500000005</v>
      </c>
      <c r="Y18" s="261">
        <v>1264.2854038093064</v>
      </c>
      <c r="Z18" s="243"/>
      <c r="AA18" s="243"/>
      <c r="AB18" s="319">
        <f>'1-συμβολαια'!L18+'1-συμβολαια'!P18+'8-κ-15-17'!AE18+'14-βιβλΕσ'!K18+'14-βιβλΕσ'!P18+'14-βιβλΕσ'!Q18</f>
        <v>38.161102500000005</v>
      </c>
      <c r="AC18" s="319">
        <f>'1-συμβολαια'!M18</f>
        <v>0</v>
      </c>
      <c r="AD18" s="322">
        <f t="shared" si="5"/>
        <v>38.161102500000005</v>
      </c>
      <c r="AE18" s="324"/>
      <c r="AF18" s="266">
        <f t="shared" si="6"/>
        <v>1264.2854038093064</v>
      </c>
      <c r="AG18" s="348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</row>
    <row r="19" spans="1:48" s="5" customFormat="1">
      <c r="A19" s="648">
        <f>'1-συμβολαια'!A19</f>
        <v>0</v>
      </c>
      <c r="B19" s="380"/>
      <c r="C19" s="315" t="str">
        <f>'1-συμβολαια'!C19</f>
        <v>ΧΡΗΣΙΚΤΗΣΙΑ οικοπέδου 4' = 19?? ΑΓΟΡΑΠΩΛΗΣΙΑ άτυπη</v>
      </c>
      <c r="D19" s="323">
        <f>'4-πολλυπρ'!D19</f>
        <v>0</v>
      </c>
      <c r="E19" s="323" t="str">
        <f>'4-πολλυπρ'!I19</f>
        <v>219-17</v>
      </c>
      <c r="F19" s="322">
        <f>'14-βιβλΕσ'!K19</f>
        <v>1.9063000000000001</v>
      </c>
      <c r="G19" s="319">
        <f>'14-βιβλΕσ'!P19</f>
        <v>3</v>
      </c>
      <c r="H19" s="319">
        <f t="shared" si="4"/>
        <v>4.9062999999999999</v>
      </c>
      <c r="I19" s="319">
        <f>'8-κ-15-17'!AG19</f>
        <v>0.8611025000000001</v>
      </c>
      <c r="J19" s="319"/>
      <c r="K19" s="319"/>
      <c r="L19" s="319"/>
      <c r="M19" s="400"/>
      <c r="N19" s="319"/>
      <c r="O19" s="319"/>
      <c r="P19" s="319"/>
      <c r="Q19" s="366"/>
      <c r="R19" s="322">
        <f>('14-βιβλΕσ'!M19+'14-βιβλΕσ'!N19+'14-βιβλΕσ'!Q19)*40%</f>
        <v>12.428000000000003</v>
      </c>
      <c r="S19" s="319">
        <f>'14-βιβλΕσ'!Q19</f>
        <v>0</v>
      </c>
      <c r="T19" s="319"/>
      <c r="U19" s="400"/>
      <c r="V19" s="319"/>
      <c r="W19" s="319">
        <f t="shared" si="7"/>
        <v>34.931102500000009</v>
      </c>
      <c r="X19" s="316">
        <f t="shared" si="1"/>
        <v>34.931102500000009</v>
      </c>
      <c r="Y19" s="261">
        <v>1023.4565077065433</v>
      </c>
      <c r="Z19" s="243"/>
      <c r="AA19" s="243"/>
      <c r="AB19" s="319">
        <f>'1-συμβολαια'!L19+'1-συμβολαια'!P19+'8-κ-15-17'!AE19+'14-βιβλΕσ'!K19+'14-βιβλΕσ'!P19+'14-βιβλΕσ'!Q19</f>
        <v>34.931102500000009</v>
      </c>
      <c r="AC19" s="319">
        <f>'1-συμβολαια'!M19</f>
        <v>0</v>
      </c>
      <c r="AD19" s="322">
        <f t="shared" si="5"/>
        <v>34.931102500000009</v>
      </c>
      <c r="AE19" s="324"/>
      <c r="AF19" s="266">
        <f t="shared" si="6"/>
        <v>1023.4565077065433</v>
      </c>
      <c r="AG19" s="348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</row>
    <row r="20" spans="1:48" s="5" customFormat="1" ht="12" thickBot="1">
      <c r="A20" s="650">
        <f>'1-συμβολαια'!A20</f>
        <v>0</v>
      </c>
      <c r="B20" s="651"/>
      <c r="C20" s="408" t="str">
        <f>'1-συμβολαια'!C20</f>
        <v>ΧΡΗΣΙΚΤΗΣΙΑ αγροτεμαχίου 8' = 19??? ΑΓΟΡΑΠΩΛΗΣΙΑ άτυπη</v>
      </c>
      <c r="D20" s="461">
        <f>'4-πολλυπρ'!D20</f>
        <v>0</v>
      </c>
      <c r="E20" s="461" t="str">
        <f>'4-πολλυπρ'!I20</f>
        <v>219-17</v>
      </c>
      <c r="F20" s="414">
        <f>'14-βιβλΕσ'!K20</f>
        <v>3.3236919999999994</v>
      </c>
      <c r="G20" s="431">
        <f>'14-βιβλΕσ'!P20</f>
        <v>3</v>
      </c>
      <c r="H20" s="431">
        <f t="shared" si="4"/>
        <v>6.3236919999999994</v>
      </c>
      <c r="I20" s="431">
        <f>'8-κ-15-17'!AG20</f>
        <v>8.6111024999999994</v>
      </c>
      <c r="J20" s="431"/>
      <c r="K20" s="431"/>
      <c r="L20" s="431"/>
      <c r="M20" s="444"/>
      <c r="N20" s="431"/>
      <c r="O20" s="431"/>
      <c r="P20" s="431"/>
      <c r="Q20" s="658"/>
      <c r="R20" s="414">
        <f>('14-βιβλΕσ'!M20+'14-βιβλΕσ'!N20+'14-βιβλΕσ'!Q20)*40%</f>
        <v>16.207712000000001</v>
      </c>
      <c r="S20" s="431">
        <f>'14-βιβλΕσ'!Q20</f>
        <v>0</v>
      </c>
      <c r="T20" s="431"/>
      <c r="U20" s="444"/>
      <c r="V20" s="431"/>
      <c r="W20" s="431">
        <f t="shared" si="7"/>
        <v>52.130382500000003</v>
      </c>
      <c r="X20" s="414">
        <f t="shared" si="1"/>
        <v>52.130382500000003</v>
      </c>
      <c r="Y20" s="461">
        <v>1219.0580841533717</v>
      </c>
      <c r="Z20" s="666"/>
      <c r="AA20" s="666"/>
      <c r="AB20" s="431">
        <f>'1-συμβολαια'!L20+'1-συμβολαια'!P20+'8-κ-15-17'!AE20+'14-βιβλΕσ'!K20+'14-βιβλΕσ'!P20+'14-βιβλΕσ'!Q20</f>
        <v>52.130382500000003</v>
      </c>
      <c r="AC20" s="431">
        <f>'1-συμβολαια'!M20</f>
        <v>0</v>
      </c>
      <c r="AD20" s="414">
        <f t="shared" si="5"/>
        <v>52.130382500000003</v>
      </c>
      <c r="AE20" s="669"/>
      <c r="AF20" s="552">
        <f t="shared" si="6"/>
        <v>1219.0580841533717</v>
      </c>
      <c r="AG20" s="670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</row>
    <row r="21" spans="1:48" s="5" customFormat="1">
      <c r="A21" s="652" t="str">
        <f>'1-συμβολαια'!A21</f>
        <v>13ο</v>
      </c>
      <c r="B21" s="649">
        <f>'1-συμβολαια'!B21</f>
        <v>37930</v>
      </c>
      <c r="C21" s="382" t="str">
        <f>'1-συμβολαια'!C21</f>
        <v>κληρονομιάς ΑΠΟΔΟΧΗ</v>
      </c>
      <c r="D21" s="323" t="str">
        <f>'4-πολλυπρ'!D21</f>
        <v>219-17</v>
      </c>
      <c r="E21" s="323" t="str">
        <f>'4-πολλυπρ'!I21</f>
        <v>219-17</v>
      </c>
      <c r="F21" s="322">
        <f>'14-βιβλΕσ'!K21</f>
        <v>8.2027000000000001</v>
      </c>
      <c r="G21" s="319">
        <f>'14-βιβλΕσ'!P21</f>
        <v>19.799999999999997</v>
      </c>
      <c r="H21" s="319">
        <f t="shared" si="4"/>
        <v>28.002699999999997</v>
      </c>
      <c r="I21" s="319">
        <f>'8-κ-15-17'!AG21</f>
        <v>0</v>
      </c>
      <c r="J21" s="319"/>
      <c r="K21" s="319"/>
      <c r="L21" s="319"/>
      <c r="M21" s="404" t="s">
        <v>518</v>
      </c>
      <c r="N21" s="319"/>
      <c r="O21" s="319"/>
      <c r="P21" s="319"/>
      <c r="Q21" s="366"/>
      <c r="R21" s="322">
        <f>('14-βιβλΕσ'!M21+'14-βιβλΕσ'!N21+'14-βιβλΕσ'!Q21)*40%</f>
        <v>231.87200000000007</v>
      </c>
      <c r="S21" s="319">
        <f>'14-βιβλΕσ'!Q21</f>
        <v>554.42000000000019</v>
      </c>
      <c r="T21" s="319">
        <f t="shared" si="8"/>
        <v>82.79</v>
      </c>
      <c r="U21" s="662" t="s">
        <v>518</v>
      </c>
      <c r="V21" s="319">
        <v>1159.25</v>
      </c>
      <c r="W21" s="319">
        <v>9131</v>
      </c>
      <c r="X21" s="322">
        <f t="shared" si="1"/>
        <v>599.98000000000025</v>
      </c>
      <c r="Y21" s="323">
        <v>17525.101643226459</v>
      </c>
      <c r="Z21" s="243"/>
      <c r="AA21" s="243"/>
      <c r="AB21" s="319">
        <f>'1-συμβολαια'!L21+'1-συμβολαια'!P21+'8-κ-15-17'!AE21+'14-βιβλΕσ'!K21+'14-βιβλΕσ'!P21+'14-βιβλΕσ'!Q21+0.5</f>
        <v>682.77000000000021</v>
      </c>
      <c r="AC21" s="319">
        <f>'1-συμβολαια'!M21</f>
        <v>82.79</v>
      </c>
      <c r="AD21" s="322">
        <f t="shared" si="5"/>
        <v>599.98000000000025</v>
      </c>
      <c r="AE21" s="667"/>
      <c r="AF21" s="266">
        <f t="shared" si="6"/>
        <v>17525.101643226459</v>
      </c>
      <c r="AG21" s="668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</row>
    <row r="22" spans="1:48" s="5" customFormat="1">
      <c r="A22" s="652">
        <f>'1-συμβολαια'!A22</f>
        <v>0</v>
      </c>
      <c r="B22" s="380"/>
      <c r="C22" s="315" t="str">
        <f>'1-συμβολαια'!C22</f>
        <v>ΧΡΗΣΙΚΤΗΣΙΑ οικοπέδου &amp; οικοδομής = 1992 αδερφού ΚΛΗΡΟΝΟΜΙΑ άτυπη</v>
      </c>
      <c r="D22" s="323">
        <f>'4-πολλυπρ'!D22</f>
        <v>0</v>
      </c>
      <c r="E22" s="323" t="str">
        <f>'4-πολλυπρ'!I22</f>
        <v>219-17</v>
      </c>
      <c r="F22" s="322">
        <f>'14-βιβλΕσ'!K22</f>
        <v>3.3236919999999994</v>
      </c>
      <c r="G22" s="319">
        <f>'14-βιβλΕσ'!P22</f>
        <v>3</v>
      </c>
      <c r="H22" s="319">
        <f t="shared" si="4"/>
        <v>6.3236919999999994</v>
      </c>
      <c r="I22" s="319">
        <f>'8-κ-15-17'!AG22</f>
        <v>8.6111024999999994</v>
      </c>
      <c r="J22" s="319"/>
      <c r="K22" s="319"/>
      <c r="L22" s="319"/>
      <c r="M22" s="400"/>
      <c r="N22" s="319"/>
      <c r="O22" s="319"/>
      <c r="P22" s="319"/>
      <c r="Q22" s="366"/>
      <c r="R22" s="322">
        <f>('14-βιβλΕσ'!M22+'14-βιβλΕσ'!N22+'14-βιβλΕσ'!Q22)*40%</f>
        <v>17.499711999999999</v>
      </c>
      <c r="S22" s="319">
        <f>'14-βιβλΕσ'!Q22</f>
        <v>3.23</v>
      </c>
      <c r="T22" s="319"/>
      <c r="U22" s="400"/>
      <c r="V22" s="319"/>
      <c r="W22" s="319">
        <f t="shared" si="7"/>
        <v>55.3603825</v>
      </c>
      <c r="X22" s="316">
        <f t="shared" si="1"/>
        <v>55.3603825</v>
      </c>
      <c r="Y22" s="261">
        <v>1934.4184241229691</v>
      </c>
      <c r="Z22" s="243"/>
      <c r="AA22" s="243"/>
      <c r="AB22" s="319">
        <f>'1-συμβολαια'!L22+'1-συμβολαια'!P22+'8-κ-15-17'!AE22+'14-βιβλΕσ'!K22+'14-βιβλΕσ'!P22+'14-βιβλΕσ'!Q22</f>
        <v>55.3603825</v>
      </c>
      <c r="AC22" s="319">
        <f>'1-συμβολαια'!M22</f>
        <v>0</v>
      </c>
      <c r="AD22" s="322">
        <f t="shared" si="5"/>
        <v>55.3603825</v>
      </c>
      <c r="AE22" s="324"/>
      <c r="AF22" s="266">
        <f t="shared" si="6"/>
        <v>1934.4184241229691</v>
      </c>
      <c r="AG22" s="348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</row>
    <row r="23" spans="1:48" s="5" customFormat="1">
      <c r="A23" s="652">
        <f>'1-συμβολαια'!A23</f>
        <v>0</v>
      </c>
      <c r="B23" s="380"/>
      <c r="C23" s="315" t="str">
        <f>'1-συμβολαια'!C23</f>
        <v>ΧΡΗΣΙΚΤΗΣΙΑ οικοπέδων 2'-3' = 1992 αδερφού ΚΛΗΡΟΝΟΜΙΑ άτυπη</v>
      </c>
      <c r="D23" s="323">
        <f>'4-πολλυπρ'!D23</f>
        <v>0</v>
      </c>
      <c r="E23" s="323" t="str">
        <f>'4-πολλυπρ'!I23</f>
        <v>219-17</v>
      </c>
      <c r="F23" s="322">
        <f>'14-βιβλΕσ'!K23</f>
        <v>3.3236919999999994</v>
      </c>
      <c r="G23" s="319">
        <f>'14-βιβλΕσ'!P23</f>
        <v>3</v>
      </c>
      <c r="H23" s="319">
        <f t="shared" si="4"/>
        <v>6.3236919999999994</v>
      </c>
      <c r="I23" s="319">
        <f>'8-κ-15-17'!AG23</f>
        <v>8.6111024999999994</v>
      </c>
      <c r="J23" s="319"/>
      <c r="K23" s="319"/>
      <c r="L23" s="319"/>
      <c r="M23" s="400"/>
      <c r="N23" s="319"/>
      <c r="O23" s="319"/>
      <c r="P23" s="319"/>
      <c r="Q23" s="366"/>
      <c r="R23" s="322">
        <f>('14-βιβλΕσ'!M23+'14-βιβλΕσ'!N23+'14-βιβλΕσ'!Q23)*40%</f>
        <v>16.207712000000001</v>
      </c>
      <c r="S23" s="319">
        <f>'14-βιβλΕσ'!Q23</f>
        <v>0</v>
      </c>
      <c r="T23" s="319"/>
      <c r="U23" s="400"/>
      <c r="V23" s="319"/>
      <c r="W23" s="319">
        <f t="shared" si="7"/>
        <v>52.130382500000003</v>
      </c>
      <c r="X23" s="316">
        <f t="shared" si="1"/>
        <v>52.130382500000003</v>
      </c>
      <c r="Y23" s="261">
        <v>9131.0231332141011</v>
      </c>
      <c r="Z23" s="243"/>
      <c r="AA23" s="243"/>
      <c r="AB23" s="319">
        <f>'1-συμβολαια'!L23+'1-συμβολαια'!P23+'8-κ-15-17'!AE23+'14-βιβλΕσ'!K23+'14-βιβλΕσ'!P23+'14-βιβλΕσ'!Q23</f>
        <v>52.130382500000003</v>
      </c>
      <c r="AC23" s="319">
        <f>'1-συμβολαια'!M23</f>
        <v>0</v>
      </c>
      <c r="AD23" s="322">
        <f t="shared" si="5"/>
        <v>52.130382500000003</v>
      </c>
      <c r="AE23" s="324"/>
      <c r="AF23" s="266">
        <f t="shared" si="6"/>
        <v>9131.0231332141011</v>
      </c>
      <c r="AG23" s="348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</row>
    <row r="24" spans="1:48" s="5" customFormat="1">
      <c r="A24" s="652">
        <f>'1-συμβολαια'!A24</f>
        <v>0</v>
      </c>
      <c r="B24" s="380"/>
      <c r="C24" s="315" t="str">
        <f>'1-συμβολαια'!C24</f>
        <v>ΧΡΗΣΙΚΤΗΣΙΑ αγροτεμαχίου 9' = 1968 μητρός ΚΛΗΡΟΝΟΜΙΑ άτυπη</v>
      </c>
      <c r="D24" s="323">
        <f>'4-πολλυπρ'!D24</f>
        <v>0</v>
      </c>
      <c r="E24" s="323" t="str">
        <f>'4-πολλυπρ'!I24</f>
        <v>219-17</v>
      </c>
      <c r="F24" s="322">
        <f>'14-βιβλΕσ'!K24</f>
        <v>1.9063000000000001</v>
      </c>
      <c r="G24" s="319">
        <f>'14-βιβλΕσ'!P24</f>
        <v>3</v>
      </c>
      <c r="H24" s="319">
        <f t="shared" si="4"/>
        <v>4.9062999999999999</v>
      </c>
      <c r="I24" s="319">
        <f>'8-κ-15-17'!AG24</f>
        <v>0.8611025000000001</v>
      </c>
      <c r="J24" s="319"/>
      <c r="K24" s="319"/>
      <c r="L24" s="319"/>
      <c r="M24" s="400"/>
      <c r="N24" s="319"/>
      <c r="O24" s="319"/>
      <c r="P24" s="319"/>
      <c r="Q24" s="366"/>
      <c r="R24" s="322">
        <f>('14-βιβλΕσ'!M24+'14-βιβλΕσ'!N24+'14-βιβλΕσ'!Q24)*40%</f>
        <v>13.720000000000002</v>
      </c>
      <c r="S24" s="319">
        <f>'14-βιβλΕσ'!Q24</f>
        <v>3.23</v>
      </c>
      <c r="T24" s="319"/>
      <c r="U24" s="400"/>
      <c r="V24" s="319"/>
      <c r="W24" s="319">
        <f t="shared" si="7"/>
        <v>38.161102500000005</v>
      </c>
      <c r="X24" s="316">
        <f t="shared" si="1"/>
        <v>38.161102500000005</v>
      </c>
      <c r="Y24" s="261">
        <v>1309.5127234652427</v>
      </c>
      <c r="Z24" s="243"/>
      <c r="AA24" s="243"/>
      <c r="AB24" s="319">
        <f>'1-συμβολαια'!L24+'1-συμβολαια'!P24+'8-κ-15-17'!AE24+'14-βιβλΕσ'!K24+'14-βιβλΕσ'!P24+'14-βιβλΕσ'!Q24</f>
        <v>38.161102500000005</v>
      </c>
      <c r="AC24" s="319">
        <f>'1-συμβολαια'!M24</f>
        <v>0</v>
      </c>
      <c r="AD24" s="322">
        <f t="shared" si="5"/>
        <v>38.161102500000005</v>
      </c>
      <c r="AE24" s="324"/>
      <c r="AF24" s="266">
        <f t="shared" si="6"/>
        <v>1309.5127234652427</v>
      </c>
      <c r="AG24" s="348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</row>
    <row r="25" spans="1:48" s="5" customFormat="1">
      <c r="A25" s="652">
        <f>'1-συμβολαια'!A25</f>
        <v>0</v>
      </c>
      <c r="B25" s="380"/>
      <c r="C25" s="315" t="str">
        <f>'1-συμβολαια'!C25</f>
        <v>ΧΡΗΣΙΚΤΗΣΙΑ οικοπέδου 4' = 19?? ΑΓΟΡΑΠΩΛΗΣΙΑ άτυπη</v>
      </c>
      <c r="D25" s="323">
        <f>'4-πολλυπρ'!D25</f>
        <v>0</v>
      </c>
      <c r="E25" s="323" t="str">
        <f>'4-πολλυπρ'!I25</f>
        <v>219-17</v>
      </c>
      <c r="F25" s="322">
        <f>'14-βιβλΕσ'!K25</f>
        <v>1.9063000000000001</v>
      </c>
      <c r="G25" s="319">
        <f>'14-βιβλΕσ'!P25</f>
        <v>3</v>
      </c>
      <c r="H25" s="319">
        <f t="shared" si="4"/>
        <v>4.9062999999999999</v>
      </c>
      <c r="I25" s="319">
        <f>'8-κ-15-17'!AG25</f>
        <v>0.8611025000000001</v>
      </c>
      <c r="J25" s="319"/>
      <c r="K25" s="319"/>
      <c r="L25" s="319"/>
      <c r="M25" s="400"/>
      <c r="N25" s="319"/>
      <c r="O25" s="319"/>
      <c r="P25" s="319"/>
      <c r="Q25" s="366"/>
      <c r="R25" s="322">
        <f>('14-βιβλΕσ'!M25+'14-βιβλΕσ'!N25+'14-βιβλΕσ'!Q25)*40%</f>
        <v>12.428000000000003</v>
      </c>
      <c r="S25" s="319">
        <f>'14-βιβλΕσ'!Q25</f>
        <v>0</v>
      </c>
      <c r="T25" s="319"/>
      <c r="U25" s="400"/>
      <c r="V25" s="319"/>
      <c r="W25" s="319">
        <f t="shared" si="7"/>
        <v>34.931102500000009</v>
      </c>
      <c r="X25" s="316">
        <f t="shared" si="1"/>
        <v>34.931102500000009</v>
      </c>
      <c r="Y25" s="261">
        <v>1219.0580841533717</v>
      </c>
      <c r="Z25" s="243"/>
      <c r="AA25" s="243"/>
      <c r="AB25" s="319">
        <f>'1-συμβολαια'!L25+'1-συμβολαια'!P25+'8-κ-15-17'!AE25+'14-βιβλΕσ'!K25+'14-βιβλΕσ'!P25+'14-βιβλΕσ'!Q25</f>
        <v>34.931102500000009</v>
      </c>
      <c r="AC25" s="319">
        <f>'1-συμβολαια'!M25</f>
        <v>0</v>
      </c>
      <c r="AD25" s="322">
        <f t="shared" si="5"/>
        <v>34.931102500000009</v>
      </c>
      <c r="AE25" s="324"/>
      <c r="AF25" s="266">
        <f t="shared" si="6"/>
        <v>1219.0580841533717</v>
      </c>
      <c r="AG25" s="348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</row>
    <row r="26" spans="1:48" s="5" customFormat="1" ht="12" thickBot="1">
      <c r="A26" s="653">
        <f>'1-συμβολαια'!A26</f>
        <v>0</v>
      </c>
      <c r="B26" s="651"/>
      <c r="C26" s="408" t="str">
        <f>'1-συμβολαια'!C26</f>
        <v>ΧΡΗΣΙΚΤΗΣΙΑ αγροτεμαχίου 8' = 19??? ΑΓΟΡΑΠΩΛΗΣΙΑ άτυπη</v>
      </c>
      <c r="D26" s="461">
        <f>'4-πολλυπρ'!D26</f>
        <v>0</v>
      </c>
      <c r="E26" s="461" t="str">
        <f>'4-πολλυπρ'!I26</f>
        <v>219-17</v>
      </c>
      <c r="F26" s="414">
        <f>'14-βιβλΕσ'!K26</f>
        <v>3.3236919999999994</v>
      </c>
      <c r="G26" s="431">
        <f>'14-βιβλΕσ'!P26</f>
        <v>3</v>
      </c>
      <c r="H26" s="431">
        <f t="shared" si="4"/>
        <v>6.3236919999999994</v>
      </c>
      <c r="I26" s="431">
        <f>'8-κ-15-17'!AG26</f>
        <v>8.6111024999999994</v>
      </c>
      <c r="J26" s="431"/>
      <c r="K26" s="431"/>
      <c r="L26" s="431"/>
      <c r="M26" s="444"/>
      <c r="N26" s="431"/>
      <c r="O26" s="431"/>
      <c r="P26" s="431"/>
      <c r="Q26" s="658"/>
      <c r="R26" s="414">
        <f>('14-βιβλΕσ'!M26+'14-βιβλΕσ'!N26+'14-βιβλΕσ'!Q26)*40%</f>
        <v>16.207712000000001</v>
      </c>
      <c r="S26" s="431">
        <f>'14-βιβλΕσ'!Q26</f>
        <v>0</v>
      </c>
      <c r="T26" s="431"/>
      <c r="U26" s="444"/>
      <c r="V26" s="431"/>
      <c r="W26" s="431">
        <f t="shared" si="7"/>
        <v>52.130382500000003</v>
      </c>
      <c r="X26" s="414">
        <f t="shared" si="1"/>
        <v>52.130382500000003</v>
      </c>
      <c r="Y26" s="461">
        <v>1264.2854038093064</v>
      </c>
      <c r="Z26" s="666"/>
      <c r="AA26" s="666"/>
      <c r="AB26" s="431">
        <f>'1-συμβολαια'!L26+'1-συμβολαια'!P26+'8-κ-15-17'!AE26+'14-βιβλΕσ'!K26+'14-βιβλΕσ'!P26+'14-βιβλΕσ'!Q26</f>
        <v>52.130382500000003</v>
      </c>
      <c r="AC26" s="431">
        <f>'1-συμβολαια'!M26</f>
        <v>0</v>
      </c>
      <c r="AD26" s="414">
        <f t="shared" si="5"/>
        <v>52.130382500000003</v>
      </c>
      <c r="AE26" s="669"/>
      <c r="AF26" s="552">
        <f t="shared" si="6"/>
        <v>1264.2854038093064</v>
      </c>
      <c r="AG26" s="670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</row>
    <row r="27" spans="1:48" s="5" customFormat="1">
      <c r="A27" s="648" t="str">
        <f>'1-συμβολαια'!A27</f>
        <v>14ο</v>
      </c>
      <c r="B27" s="649">
        <f>'1-συμβολαια'!B27</f>
        <v>37930</v>
      </c>
      <c r="C27" s="382" t="str">
        <f>'1-συμβολαια'!C27</f>
        <v>κληρονομιάς ΑΠΟΔΟΧΗ</v>
      </c>
      <c r="D27" s="323" t="str">
        <f>'4-πολλυπρ'!D27</f>
        <v>219-17</v>
      </c>
      <c r="E27" s="323" t="str">
        <f>'4-πολλυπρ'!I27</f>
        <v>219-17</v>
      </c>
      <c r="F27" s="322">
        <f>'14-βιβλΕσ'!K27</f>
        <v>8.2027000000000001</v>
      </c>
      <c r="G27" s="319">
        <f>'14-βιβλΕσ'!P27</f>
        <v>19.799999999999997</v>
      </c>
      <c r="H27" s="319">
        <f t="shared" si="4"/>
        <v>28.002699999999997</v>
      </c>
      <c r="I27" s="319">
        <f>'8-κ-15-17'!AG27</f>
        <v>0</v>
      </c>
      <c r="J27" s="319"/>
      <c r="K27" s="319"/>
      <c r="L27" s="319"/>
      <c r="M27" s="404" t="s">
        <v>518</v>
      </c>
      <c r="N27" s="319"/>
      <c r="O27" s="319"/>
      <c r="P27" s="319"/>
      <c r="Q27" s="366"/>
      <c r="R27" s="322">
        <f>('14-βιβλΕσ'!M27+'14-βιβλΕσ'!N27+'14-βιβλΕσ'!Q27)*40%</f>
        <v>277.38800000000003</v>
      </c>
      <c r="S27" s="319">
        <f>'14-βιβλΕσ'!Q27</f>
        <v>570.87</v>
      </c>
      <c r="T27" s="319">
        <f t="shared" si="8"/>
        <v>82.79</v>
      </c>
      <c r="U27" s="662" t="s">
        <v>518</v>
      </c>
      <c r="V27" s="319">
        <v>1159.25</v>
      </c>
      <c r="W27" s="319">
        <v>10724</v>
      </c>
      <c r="X27" s="322">
        <f t="shared" si="1"/>
        <v>713.77</v>
      </c>
      <c r="Y27" s="323">
        <v>20711.737373039978</v>
      </c>
      <c r="Z27" s="243"/>
      <c r="AA27" s="243"/>
      <c r="AB27" s="319">
        <f>'1-συμβολαια'!L27+'1-συμβολαια'!P27+'8-κ-15-17'!AE27+'14-βιβλΕσ'!K27+'14-βιβλΕσ'!P27+'14-βιβλΕσ'!Q27+0.5</f>
        <v>796.56</v>
      </c>
      <c r="AC27" s="319">
        <f>'1-συμβολαια'!M27</f>
        <v>82.79</v>
      </c>
      <c r="AD27" s="322">
        <f t="shared" si="5"/>
        <v>713.77</v>
      </c>
      <c r="AE27" s="667"/>
      <c r="AF27" s="266">
        <f t="shared" si="6"/>
        <v>20711.737373039978</v>
      </c>
      <c r="AG27" s="668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</row>
    <row r="28" spans="1:48" s="5" customFormat="1">
      <c r="A28" s="648">
        <f>'1-συμβολαια'!A28</f>
        <v>0</v>
      </c>
      <c r="B28" s="380"/>
      <c r="C28" s="315" t="str">
        <f>'1-συμβολαια'!C28</f>
        <v>ΧΡΗΣΙΚΤΗΣΙΑ οικοπέδου &amp; οικοδομής = 1935 πατρός ΚΛΗΡΟΝΟΜΙΑ άτυπη</v>
      </c>
      <c r="D28" s="323">
        <f>'4-πολλυπρ'!D28</f>
        <v>0</v>
      </c>
      <c r="E28" s="323" t="str">
        <f>'4-πολλυπρ'!I28</f>
        <v>219-17</v>
      </c>
      <c r="F28" s="322">
        <f>'14-βιβλΕσ'!K28</f>
        <v>3.3236919999999994</v>
      </c>
      <c r="G28" s="319">
        <f>'14-βιβλΕσ'!P28</f>
        <v>3</v>
      </c>
      <c r="H28" s="319">
        <f t="shared" si="4"/>
        <v>6.3236919999999994</v>
      </c>
      <c r="I28" s="319">
        <f>'8-κ-15-17'!AG28</f>
        <v>8.6111024999999994</v>
      </c>
      <c r="J28" s="319"/>
      <c r="K28" s="319"/>
      <c r="L28" s="319"/>
      <c r="M28" s="400"/>
      <c r="N28" s="319"/>
      <c r="O28" s="319"/>
      <c r="P28" s="319"/>
      <c r="Q28" s="366"/>
      <c r="R28" s="322">
        <f>('14-βιβλΕσ'!M28+'14-βιβλΕσ'!N28+'14-βιβλΕσ'!Q28)*40%</f>
        <v>17.499711999999999</v>
      </c>
      <c r="S28" s="319">
        <f>'14-βιβλΕσ'!Q28</f>
        <v>3.23</v>
      </c>
      <c r="T28" s="319"/>
      <c r="U28" s="400"/>
      <c r="V28" s="319"/>
      <c r="W28" s="319">
        <f t="shared" si="7"/>
        <v>55.3603825</v>
      </c>
      <c r="X28" s="316">
        <f t="shared" si="1"/>
        <v>55.3603825</v>
      </c>
      <c r="Y28" s="261">
        <v>1505.1142999120711</v>
      </c>
      <c r="Z28" s="243"/>
      <c r="AA28" s="243"/>
      <c r="AB28" s="319">
        <f>'1-συμβολαια'!L28+'1-συμβολαια'!P28+'8-κ-15-17'!AE28+'14-βιβλΕσ'!K28+'14-βιβλΕσ'!P28+'14-βιβλΕσ'!Q28</f>
        <v>55.3603825</v>
      </c>
      <c r="AC28" s="319">
        <f>'1-συμβολαια'!M28</f>
        <v>0</v>
      </c>
      <c r="AD28" s="322">
        <f t="shared" si="5"/>
        <v>55.3603825</v>
      </c>
      <c r="AE28" s="324"/>
      <c r="AF28" s="266">
        <f t="shared" si="6"/>
        <v>1505.1142999120711</v>
      </c>
      <c r="AG28" s="348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</row>
    <row r="29" spans="1:48" s="5" customFormat="1">
      <c r="A29" s="648">
        <f>'1-συμβολαια'!A29</f>
        <v>0</v>
      </c>
      <c r="B29" s="380"/>
      <c r="C29" s="315" t="str">
        <f>'1-συμβολαια'!C29</f>
        <v>ΧΡΗΣΙΚΤΗΣΙΑ οικοπέδων 2'-3' = 1992 αδερφού ΚΛΗΡΟΝΟΜΙΑ άτυπη</v>
      </c>
      <c r="D29" s="323">
        <f>'4-πολλυπρ'!D29</f>
        <v>0</v>
      </c>
      <c r="E29" s="323" t="str">
        <f>'4-πολλυπρ'!I29</f>
        <v>219-17</v>
      </c>
      <c r="F29" s="322">
        <f>'14-βιβλΕσ'!K29</f>
        <v>3.3236919999999994</v>
      </c>
      <c r="G29" s="319">
        <f>'14-βιβλΕσ'!P29</f>
        <v>3</v>
      </c>
      <c r="H29" s="319">
        <f t="shared" si="4"/>
        <v>6.3236919999999994</v>
      </c>
      <c r="I29" s="319">
        <f>'8-κ-15-17'!AG29</f>
        <v>8.6111024999999994</v>
      </c>
      <c r="J29" s="319"/>
      <c r="K29" s="319"/>
      <c r="L29" s="319"/>
      <c r="M29" s="400"/>
      <c r="N29" s="319"/>
      <c r="O29" s="319"/>
      <c r="P29" s="319"/>
      <c r="Q29" s="366"/>
      <c r="R29" s="322">
        <f>('14-βιβλΕσ'!M29+'14-βιβλΕσ'!N29+'14-βιβλΕσ'!Q29)*40%</f>
        <v>16.207712000000001</v>
      </c>
      <c r="S29" s="319">
        <f>'14-βιβλΕσ'!Q29</f>
        <v>0</v>
      </c>
      <c r="T29" s="319"/>
      <c r="U29" s="400"/>
      <c r="V29" s="319"/>
      <c r="W29" s="319">
        <f t="shared" si="7"/>
        <v>52.130382500000003</v>
      </c>
      <c r="X29" s="316">
        <f t="shared" si="1"/>
        <v>52.130382500000003</v>
      </c>
      <c r="Y29" s="261">
        <v>1889.191104467033</v>
      </c>
      <c r="Z29" s="243"/>
      <c r="AA29" s="243"/>
      <c r="AB29" s="319">
        <f>'1-συμβολαια'!L29+'1-συμβολαια'!P29+'8-κ-15-17'!AE29+'14-βιβλΕσ'!K29+'14-βιβλΕσ'!P29+'14-βιβλΕσ'!Q29</f>
        <v>52.130382500000003</v>
      </c>
      <c r="AC29" s="319">
        <f>'1-συμβολαια'!M29</f>
        <v>0</v>
      </c>
      <c r="AD29" s="322">
        <f t="shared" si="5"/>
        <v>52.130382500000003</v>
      </c>
      <c r="AE29" s="324"/>
      <c r="AF29" s="266">
        <f t="shared" si="6"/>
        <v>1889.191104467033</v>
      </c>
      <c r="AG29" s="348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</row>
    <row r="30" spans="1:48" s="5" customFormat="1">
      <c r="A30" s="648">
        <f>'1-συμβολαια'!A30</f>
        <v>0</v>
      </c>
      <c r="B30" s="380"/>
      <c r="C30" s="315" t="str">
        <f>'1-συμβολαια'!C30</f>
        <v>ΧΡΗΣΙΚΤΗΣΙΑ αγροτεμαχίου 9' = 1968 μητρός ΚΛΗΡΟΝΟΜΙΑ άτυπη</v>
      </c>
      <c r="D30" s="323">
        <f>'4-πολλυπρ'!D30</f>
        <v>0</v>
      </c>
      <c r="E30" s="323" t="str">
        <f>'4-πολλυπρ'!I30</f>
        <v>219-17</v>
      </c>
      <c r="F30" s="322">
        <f>'14-βιβλΕσ'!K30</f>
        <v>1.9063000000000001</v>
      </c>
      <c r="G30" s="319">
        <f>'14-βιβλΕσ'!P30</f>
        <v>3</v>
      </c>
      <c r="H30" s="319">
        <f t="shared" ref="H30:H42" si="9">F30+G30</f>
        <v>4.9062999999999999</v>
      </c>
      <c r="I30" s="319">
        <f>'8-κ-15-17'!AG30</f>
        <v>0.8611025000000001</v>
      </c>
      <c r="J30" s="319"/>
      <c r="K30" s="319"/>
      <c r="L30" s="319"/>
      <c r="M30" s="400"/>
      <c r="N30" s="319"/>
      <c r="O30" s="319"/>
      <c r="P30" s="319"/>
      <c r="Q30" s="366"/>
      <c r="R30" s="322">
        <f>('14-βιβλΕσ'!M30+'14-βιβλΕσ'!N30+'14-βιβλΕσ'!Q30)*40%</f>
        <v>13.720000000000002</v>
      </c>
      <c r="S30" s="319">
        <f>'14-βιβλΕσ'!Q30</f>
        <v>3.23</v>
      </c>
      <c r="T30" s="319"/>
      <c r="U30" s="400"/>
      <c r="V30" s="319"/>
      <c r="W30" s="319">
        <f t="shared" si="7"/>
        <v>38.161102500000005</v>
      </c>
      <c r="X30" s="316">
        <f t="shared" si="1"/>
        <v>38.161102500000005</v>
      </c>
      <c r="Y30" s="261">
        <v>10528.739421674025</v>
      </c>
      <c r="Z30" s="243"/>
      <c r="AA30" s="243"/>
      <c r="AB30" s="319">
        <f>'1-συμβολαια'!L30+'1-συμβολαια'!P30+'8-κ-15-17'!AE30+'14-βιβλΕσ'!K30+'14-βιβλΕσ'!P30+'14-βιβλΕσ'!Q30</f>
        <v>38.161102500000005</v>
      </c>
      <c r="AC30" s="319">
        <f>'1-συμβολαια'!M30</f>
        <v>0</v>
      </c>
      <c r="AD30" s="322">
        <f t="shared" ref="AD30:AD42" si="10">AB30-AC30</f>
        <v>38.161102500000005</v>
      </c>
      <c r="AE30" s="324"/>
      <c r="AF30" s="266">
        <f t="shared" ref="AF30:AF42" si="11">Y30+AA30</f>
        <v>10528.739421674025</v>
      </c>
      <c r="AG30" s="348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</row>
    <row r="31" spans="1:48" s="5" customFormat="1">
      <c r="A31" s="648">
        <f>'1-συμβολαια'!A31</f>
        <v>0</v>
      </c>
      <c r="B31" s="380"/>
      <c r="C31" s="315" t="str">
        <f>'1-συμβολαια'!C31</f>
        <v>ΧΡΗΣΙΚΤΗΣΙΑ οικοπέδου 4' = 19?? ΑΓΟΡΑΠΩΛΗΣΙΑ άτυπη</v>
      </c>
      <c r="D31" s="323">
        <f>'4-πολλυπρ'!D31</f>
        <v>0</v>
      </c>
      <c r="E31" s="323" t="str">
        <f>'4-πολλυπρ'!I31</f>
        <v>219-17</v>
      </c>
      <c r="F31" s="322">
        <f>'14-βιβλΕσ'!K31</f>
        <v>1.9063000000000001</v>
      </c>
      <c r="G31" s="319">
        <f>'14-βιβλΕσ'!P31</f>
        <v>3</v>
      </c>
      <c r="H31" s="319">
        <f t="shared" si="9"/>
        <v>4.9062999999999999</v>
      </c>
      <c r="I31" s="319">
        <f>'8-κ-15-17'!AG31</f>
        <v>0.8611025000000001</v>
      </c>
      <c r="J31" s="319"/>
      <c r="K31" s="319"/>
      <c r="L31" s="319"/>
      <c r="M31" s="400"/>
      <c r="N31" s="319"/>
      <c r="O31" s="319"/>
      <c r="P31" s="319"/>
      <c r="Q31" s="366"/>
      <c r="R31" s="322">
        <f>('14-βιβλΕσ'!M31+'14-βιβλΕσ'!N31+'14-βιβλΕσ'!Q31)*40%</f>
        <v>12.428000000000003</v>
      </c>
      <c r="S31" s="319">
        <f>'14-βιβλΕσ'!Q31</f>
        <v>0</v>
      </c>
      <c r="T31" s="319"/>
      <c r="U31" s="400"/>
      <c r="V31" s="319"/>
      <c r="W31" s="319">
        <f t="shared" si="7"/>
        <v>34.931102500000009</v>
      </c>
      <c r="X31" s="316">
        <f t="shared" si="1"/>
        <v>34.931102500000009</v>
      </c>
      <c r="Y31" s="261">
        <v>1264.2854038093078</v>
      </c>
      <c r="Z31" s="243"/>
      <c r="AA31" s="243"/>
      <c r="AB31" s="319">
        <f>'1-συμβολαια'!L31+'1-συμβολαια'!P31+'8-κ-15-17'!AE31+'14-βιβλΕσ'!K31+'14-βιβλΕσ'!P31+'14-βιβλΕσ'!Q31</f>
        <v>34.931102500000009</v>
      </c>
      <c r="AC31" s="319">
        <f>'1-συμβολαια'!M31</f>
        <v>0</v>
      </c>
      <c r="AD31" s="322">
        <f t="shared" si="10"/>
        <v>34.931102500000009</v>
      </c>
      <c r="AE31" s="324"/>
      <c r="AF31" s="266">
        <f t="shared" si="11"/>
        <v>1264.2854038093078</v>
      </c>
      <c r="AG31" s="348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</row>
    <row r="32" spans="1:48" s="5" customFormat="1" ht="12" thickBot="1">
      <c r="A32" s="650">
        <f>'1-συμβολαια'!A32</f>
        <v>0</v>
      </c>
      <c r="B32" s="651"/>
      <c r="C32" s="408" t="str">
        <f>'1-συμβολαια'!C32</f>
        <v>ΧΡΗΣΙΚΤΗΣΙΑ αγροτεμαχίου 8' = 19??? ΑΓΟΡΑΠΩΛΗΣΙΑ άτυπη</v>
      </c>
      <c r="D32" s="461">
        <f>'4-πολλυπρ'!D32</f>
        <v>0</v>
      </c>
      <c r="E32" s="461" t="str">
        <f>'4-πολλυπρ'!I32</f>
        <v>219-17</v>
      </c>
      <c r="F32" s="414">
        <f>'14-βιβλΕσ'!K32</f>
        <v>3.3236919999999994</v>
      </c>
      <c r="G32" s="431">
        <f>'14-βιβλΕσ'!P32</f>
        <v>3</v>
      </c>
      <c r="H32" s="431">
        <f t="shared" si="9"/>
        <v>6.3236919999999994</v>
      </c>
      <c r="I32" s="431">
        <f>'8-κ-15-17'!AG32</f>
        <v>8.6111024999999994</v>
      </c>
      <c r="J32" s="431"/>
      <c r="K32" s="431"/>
      <c r="L32" s="431"/>
      <c r="M32" s="444"/>
      <c r="N32" s="431"/>
      <c r="O32" s="431"/>
      <c r="P32" s="431"/>
      <c r="Q32" s="658"/>
      <c r="R32" s="414">
        <f>('14-βιβλΕσ'!M32+'14-βιβλΕσ'!N32+'14-βιβλΕσ'!Q32)*40%</f>
        <v>16.207712000000001</v>
      </c>
      <c r="S32" s="431">
        <f>'14-βιβλΕσ'!Q32</f>
        <v>0</v>
      </c>
      <c r="T32" s="431"/>
      <c r="U32" s="444"/>
      <c r="V32" s="431"/>
      <c r="W32" s="431">
        <f t="shared" si="7"/>
        <v>52.130382500000003</v>
      </c>
      <c r="X32" s="414">
        <f t="shared" si="1"/>
        <v>52.130382500000003</v>
      </c>
      <c r="Y32" s="461">
        <v>1459.8869802561348</v>
      </c>
      <c r="Z32" s="666"/>
      <c r="AA32" s="666"/>
      <c r="AB32" s="431">
        <f>'1-συμβολαια'!L32+'1-συμβολαια'!P32+'8-κ-15-17'!AE32+'14-βιβλΕσ'!K32+'14-βιβλΕσ'!P32+'14-βιβλΕσ'!Q32</f>
        <v>52.130382500000003</v>
      </c>
      <c r="AC32" s="431">
        <f>'1-συμβολαια'!M32</f>
        <v>0</v>
      </c>
      <c r="AD32" s="414">
        <f t="shared" si="10"/>
        <v>52.130382500000003</v>
      </c>
      <c r="AE32" s="669"/>
      <c r="AF32" s="552">
        <f t="shared" si="11"/>
        <v>1459.8869802561348</v>
      </c>
      <c r="AG32" s="670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</row>
    <row r="33" spans="1:48" s="5" customFormat="1">
      <c r="A33" s="402" t="str">
        <f>'1-συμβολαια'!A33</f>
        <v>15ο</v>
      </c>
      <c r="B33" s="649">
        <f>'1-συμβολαια'!B33</f>
        <v>37930</v>
      </c>
      <c r="C33" s="382" t="str">
        <f>'1-συμβολαια'!C33</f>
        <v>αγοραπωλησία τίμημα = Δ.Ο.Υ. =</v>
      </c>
      <c r="D33" s="323" t="str">
        <f>'4-πολλυπρ'!D33</f>
        <v>219-17</v>
      </c>
      <c r="E33" s="323" t="str">
        <f>'4-πολλυπρ'!I33</f>
        <v>219-17</v>
      </c>
      <c r="F33" s="322">
        <f>'14-βιβλΕσ'!K33</f>
        <v>39.600490000000001</v>
      </c>
      <c r="G33" s="319">
        <f>'14-βιβλΕσ'!P33</f>
        <v>22.799999999999997</v>
      </c>
      <c r="H33" s="319">
        <f t="shared" si="9"/>
        <v>62.400489999999998</v>
      </c>
      <c r="I33" s="319">
        <f>'8-κ-15-17'!AG33</f>
        <v>0</v>
      </c>
      <c r="J33" s="319"/>
      <c r="K33" s="319"/>
      <c r="L33" s="319"/>
      <c r="M33" s="485">
        <v>38019</v>
      </c>
      <c r="N33" s="319"/>
      <c r="O33" s="319"/>
      <c r="P33" s="319"/>
      <c r="Q33" s="366"/>
      <c r="R33" s="322">
        <f>('14-βιβλΕσ'!M33+'14-βιβλΕσ'!N33+'14-βιβλΕσ'!Q33)*40%</f>
        <v>390.30103999999994</v>
      </c>
      <c r="S33" s="319">
        <f>'14-βιβλΕσ'!Q33</f>
        <v>621.75999999999988</v>
      </c>
      <c r="T33" s="319"/>
      <c r="U33" s="485">
        <v>38019</v>
      </c>
      <c r="V33" s="319"/>
      <c r="W33" s="319">
        <f t="shared" si="7"/>
        <v>998.55259999999987</v>
      </c>
      <c r="X33" s="322">
        <f t="shared" si="1"/>
        <v>998.55259999999987</v>
      </c>
      <c r="Y33" s="323">
        <v>14516.341181007854</v>
      </c>
      <c r="Z33" s="243"/>
      <c r="AA33" s="243"/>
      <c r="AB33" s="319">
        <f>'1-συμβολαια'!L33+'1-συμβολαια'!P33+'8-κ-15-17'!AE33+'14-βιβλΕσ'!K33+'14-βιβλΕσ'!P33+'14-βιβλΕσ'!Q33</f>
        <v>1155.2125999999998</v>
      </c>
      <c r="AC33" s="319">
        <f>'1-συμβολαια'!M33</f>
        <v>156.66</v>
      </c>
      <c r="AD33" s="322">
        <f t="shared" si="10"/>
        <v>998.55259999999987</v>
      </c>
      <c r="AE33" s="667">
        <v>46035</v>
      </c>
      <c r="AF33" s="266">
        <f t="shared" si="11"/>
        <v>14516.341181007854</v>
      </c>
      <c r="AG33" s="668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</row>
    <row r="34" spans="1:48" s="5" customFormat="1">
      <c r="A34" s="402" t="str">
        <f>'1-συμβολαια'!A34</f>
        <v>16ο</v>
      </c>
      <c r="B34" s="380">
        <f>'1-συμβολαια'!B34</f>
        <v>38029</v>
      </c>
      <c r="C34" s="315" t="str">
        <f>'1-συμβολαια'!C34</f>
        <v>πληρεξούσιο</v>
      </c>
      <c r="D34" s="323" t="str">
        <f>'4-πολλυπρ'!D34</f>
        <v>219-17</v>
      </c>
      <c r="E34" s="323" t="str">
        <f>'4-πολλυπρ'!I34</f>
        <v>219-17</v>
      </c>
      <c r="F34" s="322">
        <f>'14-βιβλΕσ'!K34</f>
        <v>2.0339</v>
      </c>
      <c r="G34" s="319">
        <f>'14-βιβλΕσ'!P34</f>
        <v>0.5</v>
      </c>
      <c r="H34" s="319">
        <f t="shared" si="9"/>
        <v>2.5339</v>
      </c>
      <c r="I34" s="319">
        <f>'8-κ-15-17'!AG34</f>
        <v>0</v>
      </c>
      <c r="J34" s="319"/>
      <c r="K34" s="319"/>
      <c r="L34" s="319"/>
      <c r="M34" s="400"/>
      <c r="N34" s="319"/>
      <c r="O34" s="319"/>
      <c r="P34" s="319"/>
      <c r="Q34" s="366"/>
      <c r="R34" s="322">
        <f>('14-βιβλΕσ'!M34+'14-βιβλΕσ'!N34+'14-βιβλΕσ'!Q34)*40%</f>
        <v>7.9200000000000008</v>
      </c>
      <c r="S34" s="319">
        <f>'14-βιβλΕσ'!Q34</f>
        <v>0.6</v>
      </c>
      <c r="T34" s="319"/>
      <c r="U34" s="400"/>
      <c r="V34" s="319"/>
      <c r="W34" s="319">
        <f t="shared" si="7"/>
        <v>19.8</v>
      </c>
      <c r="X34" s="316">
        <f t="shared" si="1"/>
        <v>19.8</v>
      </c>
      <c r="Y34" s="261">
        <v>759.54495803832924</v>
      </c>
      <c r="Z34" s="243"/>
      <c r="AA34" s="243"/>
      <c r="AB34" s="319">
        <f>'1-συμβολαια'!L34+'1-συμβολαια'!P34+'8-κ-15-17'!AE34+'14-βιβλΕσ'!K34+'14-βιβλΕσ'!P34+'14-βιβλΕσ'!Q34</f>
        <v>45.92</v>
      </c>
      <c r="AC34" s="319">
        <f>'1-συμβολαια'!M34</f>
        <v>26.12</v>
      </c>
      <c r="AD34" s="322">
        <f t="shared" si="10"/>
        <v>19.8</v>
      </c>
      <c r="AE34" s="324">
        <v>46035</v>
      </c>
      <c r="AF34" s="266">
        <f t="shared" si="11"/>
        <v>759.54495803832924</v>
      </c>
      <c r="AG34" s="348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</row>
    <row r="35" spans="1:48" s="5" customFormat="1" ht="12" thickBot="1">
      <c r="A35" s="654" t="str">
        <f>'1-συμβολαια'!A35</f>
        <v>17ο</v>
      </c>
      <c r="B35" s="651">
        <f>'1-συμβολαια'!B35</f>
        <v>38029</v>
      </c>
      <c r="C35" s="408" t="str">
        <f>'1-συμβολαια'!C35</f>
        <v>πληρεξούσιο</v>
      </c>
      <c r="D35" s="461" t="str">
        <f>'4-πολλυπρ'!D35</f>
        <v>219-17</v>
      </c>
      <c r="E35" s="461" t="str">
        <f>'4-πολλυπρ'!I35</f>
        <v>219-17</v>
      </c>
      <c r="F35" s="414">
        <f>'14-βιβλΕσ'!K35</f>
        <v>2.0339</v>
      </c>
      <c r="G35" s="431">
        <f>'14-βιβλΕσ'!P35</f>
        <v>0.5</v>
      </c>
      <c r="H35" s="431">
        <f t="shared" si="9"/>
        <v>2.5339</v>
      </c>
      <c r="I35" s="431">
        <f>'8-κ-15-17'!AG35</f>
        <v>0</v>
      </c>
      <c r="J35" s="431"/>
      <c r="K35" s="431"/>
      <c r="L35" s="431"/>
      <c r="M35" s="444"/>
      <c r="N35" s="431"/>
      <c r="O35" s="431"/>
      <c r="P35" s="431"/>
      <c r="Q35" s="658"/>
      <c r="R35" s="414">
        <f>('14-βιβλΕσ'!M35+'14-βιβλΕσ'!N35+'14-βιβλΕσ'!Q35)*40%</f>
        <v>7.9200000000000008</v>
      </c>
      <c r="S35" s="431">
        <f>'14-βιβλΕσ'!Q35</f>
        <v>0.6</v>
      </c>
      <c r="T35" s="431"/>
      <c r="U35" s="444"/>
      <c r="V35" s="431"/>
      <c r="W35" s="431">
        <f t="shared" si="7"/>
        <v>19.8</v>
      </c>
      <c r="X35" s="414">
        <f t="shared" si="1"/>
        <v>19.8</v>
      </c>
      <c r="Y35" s="461">
        <v>1000.3738541410924</v>
      </c>
      <c r="Z35" s="666"/>
      <c r="AA35" s="666"/>
      <c r="AB35" s="431">
        <f>'1-συμβολαια'!L35+'1-συμβολαια'!P35+'8-κ-15-17'!AE35+'14-βιβλΕσ'!K35+'14-βιβλΕσ'!P35+'14-βιβλΕσ'!Q35</f>
        <v>45.92</v>
      </c>
      <c r="AC35" s="431">
        <f>'1-συμβολαια'!M35</f>
        <v>26.12</v>
      </c>
      <c r="AD35" s="414">
        <f t="shared" si="10"/>
        <v>19.8</v>
      </c>
      <c r="AE35" s="669">
        <v>46035</v>
      </c>
      <c r="AF35" s="552">
        <f t="shared" si="11"/>
        <v>1000.3738541410924</v>
      </c>
      <c r="AG35" s="670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</row>
    <row r="36" spans="1:48" s="5" customFormat="1">
      <c r="A36" s="648" t="str">
        <f>'1-συμβολαια'!A36</f>
        <v>18ο</v>
      </c>
      <c r="B36" s="649">
        <f>'1-συμβολαια'!B36</f>
        <v>38030</v>
      </c>
      <c r="C36" s="382" t="str">
        <f>'1-συμβολαια'!C36</f>
        <v>αποδοχή κληρονομιάς</v>
      </c>
      <c r="D36" s="323" t="str">
        <f>'4-πολλυπρ'!D36</f>
        <v>219-17</v>
      </c>
      <c r="E36" s="323" t="str">
        <f>'4-πολλυπρ'!I36</f>
        <v>219-17</v>
      </c>
      <c r="F36" s="322">
        <f>'14-βιβλΕσ'!K36</f>
        <v>10.3345</v>
      </c>
      <c r="G36" s="319">
        <f>'14-βιβλΕσ'!P36</f>
        <v>20.299999999999997</v>
      </c>
      <c r="H36" s="319">
        <f t="shared" si="9"/>
        <v>30.634499999999996</v>
      </c>
      <c r="I36" s="319">
        <f>'8-κ-15-17'!AG36</f>
        <v>0</v>
      </c>
      <c r="J36" s="319"/>
      <c r="K36" s="319"/>
      <c r="L36" s="319"/>
      <c r="M36" s="485">
        <v>38085</v>
      </c>
      <c r="N36" s="319"/>
      <c r="O36" s="319"/>
      <c r="P36" s="319"/>
      <c r="Q36" s="366"/>
      <c r="R36" s="322">
        <f>('14-βιβλΕσ'!M36+'14-βιβλΕσ'!N36+'14-βιβλΕσ'!Q36)*40%</f>
        <v>282.69600000000003</v>
      </c>
      <c r="S36" s="319">
        <f>'14-βιβλΕσ'!Q36</f>
        <v>572.6</v>
      </c>
      <c r="T36" s="319"/>
      <c r="U36" s="485">
        <v>38085</v>
      </c>
      <c r="V36" s="319"/>
      <c r="W36" s="319">
        <f t="shared" si="7"/>
        <v>727.04000000000008</v>
      </c>
      <c r="X36" s="322">
        <f t="shared" ref="X36:X42" si="12">AD36</f>
        <v>727.04000000000008</v>
      </c>
      <c r="Y36" s="323">
        <v>23568.314896776857</v>
      </c>
      <c r="Z36" s="243"/>
      <c r="AA36" s="243"/>
      <c r="AB36" s="319">
        <f>'1-συμβολαια'!L36+'1-συμβολαια'!P36+'8-κ-15-17'!AE36+'14-βιβλΕσ'!K36+'14-βιβλΕσ'!P36+'14-βιβλΕσ'!Q36</f>
        <v>829.15000000000009</v>
      </c>
      <c r="AC36" s="319">
        <f>'1-συμβολαια'!M36</f>
        <v>102.11</v>
      </c>
      <c r="AD36" s="322">
        <f t="shared" si="10"/>
        <v>727.04000000000008</v>
      </c>
      <c r="AE36" s="667">
        <v>46035</v>
      </c>
      <c r="AF36" s="266">
        <f t="shared" si="11"/>
        <v>23568.314896776857</v>
      </c>
      <c r="AG36" s="668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</row>
    <row r="37" spans="1:48" s="5" customFormat="1">
      <c r="A37" s="648">
        <f>'1-συμβολαια'!A37</f>
        <v>0</v>
      </c>
      <c r="B37" s="380"/>
      <c r="C37" s="315" t="str">
        <f>'1-συμβολαια'!C37</f>
        <v>ΧΡΗΣΙΚΤΗΣΙΑ  αγροτεμαχίου -1 = αναδασμός ΑΛΛΑ πριν ΑΓΟΡΑΠΩΛΗΣΙΑ άτυπος από ;;;??? το 19???</v>
      </c>
      <c r="D37" s="323" t="str">
        <f>'4-πολλυπρ'!D37</f>
        <v>νιαπουΣτεργιανη</v>
      </c>
      <c r="E37" s="323" t="str">
        <f>'4-πολλυπρ'!I37</f>
        <v>219-17</v>
      </c>
      <c r="F37" s="322">
        <f>'14-βιβλΕσ'!K37</f>
        <v>7.3236879999999998</v>
      </c>
      <c r="G37" s="319">
        <f>'14-βιβλΕσ'!P37</f>
        <v>3</v>
      </c>
      <c r="H37" s="319">
        <f t="shared" si="9"/>
        <v>10.323688000000001</v>
      </c>
      <c r="I37" s="319">
        <f>'8-κ-15-17'!AG37</f>
        <v>25.833307500000004</v>
      </c>
      <c r="J37" s="319"/>
      <c r="K37" s="319"/>
      <c r="L37" s="319"/>
      <c r="M37" s="400"/>
      <c r="N37" s="319"/>
      <c r="O37" s="319"/>
      <c r="P37" s="319"/>
      <c r="Q37" s="366"/>
      <c r="R37" s="322">
        <f>('14-βιβλΕσ'!M37+'14-βιβλΕσ'!N37+'14-βιβλΕσ'!Q37)*40%</f>
        <v>52.838368000000003</v>
      </c>
      <c r="S37" s="319">
        <f>'14-βιβλΕσ'!Q37</f>
        <v>64.31</v>
      </c>
      <c r="T37" s="319"/>
      <c r="U37" s="400"/>
      <c r="V37" s="319"/>
      <c r="W37" s="319">
        <f t="shared" si="7"/>
        <v>160.92922750000002</v>
      </c>
      <c r="X37" s="322">
        <f t="shared" si="12"/>
        <v>160.92922750000002</v>
      </c>
      <c r="Y37" s="261">
        <v>2468.4177161928178</v>
      </c>
      <c r="Z37" s="243"/>
      <c r="AA37" s="243"/>
      <c r="AB37" s="319">
        <f>'1-συμβολαια'!L37+'1-συμβολαια'!P37+'8-κ-15-17'!AE37+'14-βιβλΕσ'!K37+'14-βιβλΕσ'!P37+'14-βιβλΕσ'!Q37</f>
        <v>160.92922750000002</v>
      </c>
      <c r="AC37" s="319">
        <f>'1-συμβολαια'!M37</f>
        <v>0</v>
      </c>
      <c r="AD37" s="322">
        <f t="shared" si="10"/>
        <v>160.92922750000002</v>
      </c>
      <c r="AE37" s="324"/>
      <c r="AF37" s="266">
        <f t="shared" si="11"/>
        <v>2468.4177161928178</v>
      </c>
      <c r="AG37" s="348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</row>
    <row r="38" spans="1:48" s="5" customFormat="1">
      <c r="A38" s="648">
        <f>'1-συμβολαια'!A38</f>
        <v>0</v>
      </c>
      <c r="B38" s="380"/>
      <c r="C38" s="315" t="str">
        <f>'1-συμβολαια'!C38</f>
        <v>ΧΡΗΣΙΚΤΗΣΙΑ  οικοπέδου -2 = 19?? ως αγροτεμάχιο με ΑΝΑΔΑΣΜΟ</v>
      </c>
      <c r="D38" s="323">
        <f>'4-πολλυπρ'!D38</f>
        <v>0</v>
      </c>
      <c r="E38" s="323" t="str">
        <f>'4-πολλυπρ'!I38</f>
        <v>219-17</v>
      </c>
      <c r="F38" s="322">
        <f>'14-βιβλΕσ'!K38</f>
        <v>61.323688000000018</v>
      </c>
      <c r="G38" s="319">
        <f>'14-βιβλΕσ'!P38</f>
        <v>3</v>
      </c>
      <c r="H38" s="319">
        <f t="shared" si="9"/>
        <v>64.323688000000018</v>
      </c>
      <c r="I38" s="319">
        <f>'8-κ-15-17'!AG38</f>
        <v>258.33330750000005</v>
      </c>
      <c r="J38" s="319"/>
      <c r="K38" s="319"/>
      <c r="L38" s="319"/>
      <c r="M38" s="400"/>
      <c r="N38" s="319"/>
      <c r="O38" s="319"/>
      <c r="P38" s="319"/>
      <c r="Q38" s="366"/>
      <c r="R38" s="322">
        <f>('14-βιβλΕσ'!M38+'14-βιβλΕσ'!N38+'14-βιβλΕσ'!Q38)*40%</f>
        <v>216.80636800000002</v>
      </c>
      <c r="S38" s="319">
        <f>'14-βιβλΕσ'!Q38</f>
        <v>114.22999999999999</v>
      </c>
      <c r="T38" s="319"/>
      <c r="U38" s="400"/>
      <c r="V38" s="319"/>
      <c r="W38" s="319">
        <f t="shared" si="7"/>
        <v>803.34922750000021</v>
      </c>
      <c r="X38" s="322">
        <f t="shared" si="12"/>
        <v>803.34922750000021</v>
      </c>
      <c r="Y38" s="261">
        <v>11242.653799488142</v>
      </c>
      <c r="Z38" s="243"/>
      <c r="AA38" s="243"/>
      <c r="AB38" s="319">
        <f>'1-συμβολαια'!L38+'1-συμβολαια'!P38+'8-κ-15-17'!AE38+'14-βιβλΕσ'!K38+'14-βιβλΕσ'!P38+'14-βιβλΕσ'!Q38</f>
        <v>803.34922750000021</v>
      </c>
      <c r="AC38" s="319">
        <f>'1-συμβολαια'!M38</f>
        <v>0</v>
      </c>
      <c r="AD38" s="322">
        <f t="shared" si="10"/>
        <v>803.34922750000021</v>
      </c>
      <c r="AE38" s="324"/>
      <c r="AF38" s="266">
        <f t="shared" si="11"/>
        <v>11242.653799488142</v>
      </c>
      <c r="AG38" s="348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</row>
    <row r="39" spans="1:48" s="5" customFormat="1" ht="12" thickBot="1">
      <c r="A39" s="650">
        <f>'1-συμβολαια'!A39</f>
        <v>0</v>
      </c>
      <c r="B39" s="651"/>
      <c r="C39" s="408" t="str">
        <f>'1-συμβολαια'!C39</f>
        <v>ΧΡΗΣΙΚΤΗΣΙΑ  οικοπέδου -4 = 19?? ;;;???</v>
      </c>
      <c r="D39" s="461">
        <f>'4-πολλυπρ'!D39</f>
        <v>0</v>
      </c>
      <c r="E39" s="461" t="str">
        <f>'4-πολλυπρ'!I39</f>
        <v>219-17</v>
      </c>
      <c r="F39" s="414">
        <f>'14-βιβλΕσ'!K39</f>
        <v>21.323692000000001</v>
      </c>
      <c r="G39" s="431">
        <f>'14-βιβλΕσ'!P39</f>
        <v>3</v>
      </c>
      <c r="H39" s="431">
        <f t="shared" si="9"/>
        <v>24.323692000000001</v>
      </c>
      <c r="I39" s="431">
        <f>'8-κ-15-17'!AG39</f>
        <v>86.111102500000001</v>
      </c>
      <c r="J39" s="431"/>
      <c r="K39" s="431"/>
      <c r="L39" s="431"/>
      <c r="M39" s="444"/>
      <c r="N39" s="431"/>
      <c r="O39" s="431"/>
      <c r="P39" s="431"/>
      <c r="Q39" s="658"/>
      <c r="R39" s="414">
        <f>('14-βιβλΕσ'!M39+'14-βιβλΕσ'!N39+'14-βιβλΕσ'!Q39)*40%</f>
        <v>110.13971200000002</v>
      </c>
      <c r="S39" s="431">
        <f>'14-βιβλΕσ'!Q39</f>
        <v>114.22999999999999</v>
      </c>
      <c r="T39" s="431"/>
      <c r="U39" s="444"/>
      <c r="V39" s="431"/>
      <c r="W39" s="431">
        <f t="shared" si="7"/>
        <v>364.46038250000004</v>
      </c>
      <c r="X39" s="414">
        <f t="shared" si="12"/>
        <v>364.46038250000004</v>
      </c>
      <c r="Y39" s="461">
        <v>14907.820492920742</v>
      </c>
      <c r="Z39" s="666"/>
      <c r="AA39" s="666"/>
      <c r="AB39" s="431">
        <f>'1-συμβολαια'!L39+'1-συμβολαια'!P39+'8-κ-15-17'!AE39+'14-βιβλΕσ'!K39+'14-βιβλΕσ'!P39+'14-βιβλΕσ'!Q39</f>
        <v>364.46038250000004</v>
      </c>
      <c r="AC39" s="431">
        <f>'1-συμβολαια'!M39</f>
        <v>0</v>
      </c>
      <c r="AD39" s="414">
        <f t="shared" si="10"/>
        <v>364.46038250000004</v>
      </c>
      <c r="AE39" s="669"/>
      <c r="AF39" s="552">
        <f t="shared" si="11"/>
        <v>14907.820492920742</v>
      </c>
      <c r="AG39" s="670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</row>
    <row r="40" spans="1:48" s="5" customFormat="1" ht="12" thickBot="1">
      <c r="A40" s="655" t="str">
        <f>'1-συμβολαια'!A40</f>
        <v>19ο</v>
      </c>
      <c r="B40" s="656">
        <f>'1-συμβολαια'!B40</f>
        <v>38350</v>
      </c>
      <c r="C40" s="508" t="str">
        <f>'1-συμβολαια'!C40</f>
        <v>*γονική ΨΙΛΗΣ ΚΥΡΙΟΤΗΤΑΣ</v>
      </c>
      <c r="D40" s="527" t="str">
        <f>'4-πολλυπρ'!D40</f>
        <v>219-17</v>
      </c>
      <c r="E40" s="527" t="str">
        <f>'4-πολλυπρ'!I40</f>
        <v>219-17</v>
      </c>
      <c r="F40" s="491">
        <f>'14-βιβλΕσ'!K40</f>
        <v>38.410568000000005</v>
      </c>
      <c r="G40" s="568">
        <f>'14-βιβλΕσ'!P40</f>
        <v>22.799999999999997</v>
      </c>
      <c r="H40" s="568">
        <f t="shared" si="9"/>
        <v>61.210568000000002</v>
      </c>
      <c r="I40" s="511">
        <f>'8-κ-15-17'!AG40</f>
        <v>1.957500000003165E-3</v>
      </c>
      <c r="J40" s="511">
        <v>144.47999999999999</v>
      </c>
      <c r="K40" s="511">
        <v>918.21</v>
      </c>
      <c r="L40" s="511">
        <v>1492</v>
      </c>
      <c r="M40" s="516">
        <v>44418</v>
      </c>
      <c r="N40" s="511"/>
      <c r="O40" s="511"/>
      <c r="P40" s="511"/>
      <c r="Q40" s="659"/>
      <c r="R40" s="509">
        <f>('14-βιβλΕσ'!M40+'14-βιβλΕσ'!N40+'14-βιβλΕσ'!Q40)*40%</f>
        <v>139.36604799999998</v>
      </c>
      <c r="S40" s="511">
        <f>'14-βιβλΕσ'!Q40</f>
        <v>330.38999999999993</v>
      </c>
      <c r="T40" s="511">
        <f t="shared" si="8"/>
        <v>422.69</v>
      </c>
      <c r="U40" s="516">
        <v>44418</v>
      </c>
      <c r="V40" s="511">
        <v>2927.38</v>
      </c>
      <c r="W40" s="568">
        <v>5698.94</v>
      </c>
      <c r="X40" s="491">
        <f t="shared" si="12"/>
        <v>371.21707750000002</v>
      </c>
      <c r="Y40" s="561">
        <v>15459</v>
      </c>
      <c r="Z40" s="671"/>
      <c r="AA40" s="671"/>
      <c r="AB40" s="568">
        <f>'1-συμβολαια'!L40+'1-συμβολαια'!P40+'8-κ-15-17'!AE40+'14-βιβλΕσ'!K40+'14-βιβλΕσ'!P40+'14-βιβλΕσ'!Q40</f>
        <v>793.90707750000001</v>
      </c>
      <c r="AC40" s="568">
        <f>'1-συμβολαια'!M40</f>
        <v>422.69</v>
      </c>
      <c r="AD40" s="491">
        <f t="shared" si="10"/>
        <v>371.21707750000002</v>
      </c>
      <c r="AE40" s="672">
        <v>46035</v>
      </c>
      <c r="AF40" s="571">
        <f t="shared" si="11"/>
        <v>15459</v>
      </c>
      <c r="AG40" s="6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</row>
    <row r="41" spans="1:48" s="5" customFormat="1">
      <c r="A41" s="648" t="str">
        <f>'1-συμβολαια'!A41</f>
        <v>20ο</v>
      </c>
      <c r="B41" s="649">
        <f>'1-συμβολαια'!B41</f>
        <v>38350</v>
      </c>
      <c r="C41" s="382" t="str">
        <f>'1-συμβολαια'!C41</f>
        <v>δωρεά</v>
      </c>
      <c r="D41" s="323" t="str">
        <f>'4-πολλυπρ'!D41</f>
        <v>219-17</v>
      </c>
      <c r="E41" s="323" t="str">
        <f>'4-πολλυπρ'!I41</f>
        <v>219-17</v>
      </c>
      <c r="F41" s="322">
        <f>'14-βιβλΕσ'!K41</f>
        <v>53.165474000000003</v>
      </c>
      <c r="G41" s="319">
        <f>'14-βιβλΕσ'!P41</f>
        <v>22.8</v>
      </c>
      <c r="H41" s="319">
        <f t="shared" si="9"/>
        <v>75.965474</v>
      </c>
      <c r="I41" s="319">
        <f>'8-κ-15-17'!AG41</f>
        <v>2.4999999993724487E-5</v>
      </c>
      <c r="J41" s="319">
        <v>207.91</v>
      </c>
      <c r="K41" s="319">
        <v>1321.32</v>
      </c>
      <c r="L41" s="319">
        <v>2147</v>
      </c>
      <c r="M41" s="499">
        <v>44418</v>
      </c>
      <c r="N41" s="319"/>
      <c r="O41" s="319"/>
      <c r="P41" s="319"/>
      <c r="Q41" s="366"/>
      <c r="R41" s="322">
        <f>('14-βιβλΕσ'!M41+'14-βιβλΕσ'!N41+'14-βιβλΕσ'!Q41)*40%</f>
        <v>133.36846399999996</v>
      </c>
      <c r="S41" s="319">
        <f>'14-βιβλΕσ'!Q41</f>
        <v>310.13999999999993</v>
      </c>
      <c r="T41" s="319">
        <f t="shared" si="8"/>
        <v>593.98</v>
      </c>
      <c r="U41" s="499">
        <v>44418</v>
      </c>
      <c r="V41" s="319">
        <v>3973.14</v>
      </c>
      <c r="W41" s="319">
        <v>6728.67</v>
      </c>
      <c r="X41" s="322">
        <f t="shared" si="12"/>
        <v>356.22118499999988</v>
      </c>
      <c r="Y41" s="323">
        <v>17597</v>
      </c>
      <c r="Z41" s="243"/>
      <c r="AA41" s="243"/>
      <c r="AB41" s="319">
        <f>'1-συμβολαια'!L41+'1-συμβολαια'!P41+'8-κ-15-17'!AE41+'14-βιβλΕσ'!K41+'14-βιβλΕσ'!P41+'14-βιβλΕσ'!Q41</f>
        <v>950.2011849999999</v>
      </c>
      <c r="AC41" s="319">
        <f>'1-συμβολαια'!M41</f>
        <v>593.98</v>
      </c>
      <c r="AD41" s="322">
        <f t="shared" si="10"/>
        <v>356.22118499999988</v>
      </c>
      <c r="AE41" s="667">
        <v>46035</v>
      </c>
      <c r="AF41" s="266">
        <f t="shared" si="11"/>
        <v>17597</v>
      </c>
      <c r="AG41" s="668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</row>
    <row r="42" spans="1:48" s="5" customFormat="1" ht="12" thickBot="1">
      <c r="A42" s="650">
        <f>'1-συμβολαια'!A42</f>
        <v>0</v>
      </c>
      <c r="B42" s="651"/>
      <c r="C42" s="408" t="str">
        <f>'1-συμβολαια'!C42</f>
        <v>χρησικτησία 1/2 οικοπέδου &amp; οικίας = συζυγου 1972 ΔΩΡΕΑ άτυπος</v>
      </c>
      <c r="D42" s="461">
        <f>'4-πολλυπρ'!D42</f>
        <v>0</v>
      </c>
      <c r="E42" s="461" t="str">
        <f>'4-πολλυπρ'!I42</f>
        <v>κΑναστασια {Γ-Π}</v>
      </c>
      <c r="F42" s="414">
        <f>'14-βιβλΕσ'!K42</f>
        <v>21.494854</v>
      </c>
      <c r="G42" s="431">
        <f>'14-βιβλΕσ'!P42</f>
        <v>3</v>
      </c>
      <c r="H42" s="431">
        <f t="shared" si="9"/>
        <v>24.494854</v>
      </c>
      <c r="I42" s="431">
        <f>'8-κ-15-17'!AG42</f>
        <v>86.848050000000015</v>
      </c>
      <c r="J42" s="431"/>
      <c r="K42" s="431"/>
      <c r="L42" s="431"/>
      <c r="M42" s="974"/>
      <c r="N42" s="431"/>
      <c r="O42" s="431"/>
      <c r="P42" s="431"/>
      <c r="Q42" s="658"/>
      <c r="R42" s="414">
        <f>('14-βιβλΕσ'!M42+'14-βιβλΕσ'!N42+'14-βιβλΕσ'!Q42)*40%</f>
        <v>149.58014399999999</v>
      </c>
      <c r="S42" s="431">
        <f>'14-βιβλΕσ'!Q42</f>
        <v>211.68999999999997</v>
      </c>
      <c r="T42" s="431">
        <f t="shared" si="8"/>
        <v>0</v>
      </c>
      <c r="U42" s="463"/>
      <c r="V42" s="431"/>
      <c r="W42" s="431">
        <f t="shared" si="7"/>
        <v>463.79840999999999</v>
      </c>
      <c r="X42" s="414">
        <f t="shared" si="12"/>
        <v>463.79840999999999</v>
      </c>
      <c r="Y42" s="461">
        <v>11709.213042411844</v>
      </c>
      <c r="Z42" s="666"/>
      <c r="AA42" s="666"/>
      <c r="AB42" s="431">
        <f>'1-συμβολαια'!L42+'1-συμβολαια'!P42+'8-κ-15-17'!AE42+'14-βιβλΕσ'!K42+'14-βιβλΕσ'!P42+'14-βιβλΕσ'!Q42</f>
        <v>463.79840999999999</v>
      </c>
      <c r="AC42" s="431">
        <f>'1-συμβολαια'!M42</f>
        <v>0</v>
      </c>
      <c r="AD42" s="414">
        <f t="shared" si="10"/>
        <v>463.79840999999999</v>
      </c>
      <c r="AE42" s="669"/>
      <c r="AF42" s="552">
        <f t="shared" si="11"/>
        <v>11709.213042411844</v>
      </c>
      <c r="AG42" s="670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</row>
    <row r="43" spans="1:48">
      <c r="A43" s="953" t="s">
        <v>35</v>
      </c>
      <c r="B43" s="954"/>
      <c r="C43" s="954"/>
      <c r="D43" s="954"/>
      <c r="E43" s="955"/>
      <c r="F43" s="43">
        <f t="shared" ref="F43:S43" si="13">SUM(F3:F42)</f>
        <v>374.43793399999998</v>
      </c>
      <c r="G43" s="43">
        <f t="shared" si="13"/>
        <v>275.70000000000005</v>
      </c>
      <c r="H43" s="43">
        <f t="shared" si="13"/>
        <v>650.13793399999986</v>
      </c>
      <c r="I43" s="43">
        <f t="shared" si="13"/>
        <v>594.90531250000004</v>
      </c>
      <c r="J43" s="43">
        <f t="shared" si="13"/>
        <v>352.39</v>
      </c>
      <c r="K43" s="43">
        <f t="shared" si="13"/>
        <v>2239.5299999999997</v>
      </c>
      <c r="L43" s="351">
        <f t="shared" si="13"/>
        <v>3639</v>
      </c>
      <c r="M43" s="43"/>
      <c r="N43" s="43">
        <f t="shared" si="13"/>
        <v>0</v>
      </c>
      <c r="O43" s="43">
        <f t="shared" si="13"/>
        <v>0</v>
      </c>
      <c r="P43" s="351">
        <f t="shared" si="13"/>
        <v>0</v>
      </c>
      <c r="Q43" s="657">
        <f t="shared" si="13"/>
        <v>0</v>
      </c>
      <c r="R43" s="43">
        <f t="shared" si="13"/>
        <v>3587.1198240000003</v>
      </c>
      <c r="S43" s="43">
        <f t="shared" si="13"/>
        <v>6019.9100000000008</v>
      </c>
      <c r="T43" s="43">
        <f t="shared" ref="T43:W43" si="14">SUM(T3:T42)</f>
        <v>1347.83</v>
      </c>
      <c r="U43" s="43"/>
      <c r="V43" s="43">
        <f t="shared" si="14"/>
        <v>11537.52</v>
      </c>
      <c r="W43" s="43">
        <f t="shared" si="14"/>
        <v>40682.136609999994</v>
      </c>
      <c r="X43" s="43">
        <f>SUM(X3:X42)</f>
        <v>9839.9048725000011</v>
      </c>
      <c r="Y43" s="351">
        <f>SUM(Y3:Y42)</f>
        <v>298148.7760813238</v>
      </c>
      <c r="Z43" s="366"/>
      <c r="AA43" s="366"/>
      <c r="AB43" s="43">
        <f>SUM(AB3:AB42)</f>
        <v>11581.534872500004</v>
      </c>
      <c r="AC43" s="43">
        <f>SUM(AC3:AC42)</f>
        <v>1741.63</v>
      </c>
      <c r="AD43" s="43">
        <f>SUM(AD3:AD42)</f>
        <v>9839.9048725000011</v>
      </c>
      <c r="AE43" s="43"/>
      <c r="AF43" s="351">
        <f>SUM(AF3:AF42)</f>
        <v>298148.7760813238</v>
      </c>
    </row>
    <row r="44" spans="1:48">
      <c r="S44" s="75"/>
    </row>
    <row r="45" spans="1:48">
      <c r="S45" s="123"/>
      <c r="AB45" s="123"/>
    </row>
    <row r="49" spans="21:32">
      <c r="U49" s="404" t="s">
        <v>518</v>
      </c>
      <c r="V49" s="663">
        <v>3426</v>
      </c>
      <c r="X49" s="316">
        <f>H3+I3+R3</f>
        <v>441.32090000000005</v>
      </c>
      <c r="Y49" s="261">
        <v>6179.4926981872859</v>
      </c>
      <c r="Z49" s="316">
        <f>AD3-X49</f>
        <v>599.83910000000003</v>
      </c>
      <c r="AA49" s="261">
        <v>8399.1067237858679</v>
      </c>
      <c r="AC49" s="663">
        <v>3426</v>
      </c>
      <c r="AF49" s="266">
        <f t="shared" ref="AF49:AF88" si="15">Y49+AA49</f>
        <v>14578.599421973155</v>
      </c>
    </row>
    <row r="50" spans="21:32">
      <c r="U50" s="73"/>
      <c r="V50" s="663"/>
      <c r="X50" s="316">
        <f t="shared" ref="X50:X88" si="16">H4+I4+R4</f>
        <v>100.67850649999998</v>
      </c>
      <c r="Y50" s="261">
        <v>1409.7272433305347</v>
      </c>
      <c r="Z50" s="316">
        <f t="shared" ref="Z50:Z88" si="17">AD4-X50</f>
        <v>125.29187599999999</v>
      </c>
      <c r="AA50" s="261">
        <v>884.49204878367607</v>
      </c>
      <c r="AC50" s="663"/>
      <c r="AF50" s="266">
        <f t="shared" si="15"/>
        <v>2294.2192921142109</v>
      </c>
    </row>
    <row r="51" spans="21:32">
      <c r="U51" s="400"/>
      <c r="V51" s="664"/>
      <c r="X51" s="316">
        <f t="shared" si="16"/>
        <v>93.514506499999996</v>
      </c>
      <c r="Y51" s="261">
        <v>1309.4150086509317</v>
      </c>
      <c r="Z51" s="316">
        <f t="shared" si="17"/>
        <v>114.54587599999998</v>
      </c>
      <c r="AA51" s="261">
        <v>808.63117208781182</v>
      </c>
      <c r="AB51" s="8"/>
      <c r="AC51" s="664"/>
      <c r="AD51" s="8"/>
      <c r="AF51" s="266">
        <f t="shared" si="15"/>
        <v>2118.0461807387437</v>
      </c>
    </row>
    <row r="52" spans="21:32">
      <c r="U52" s="73"/>
      <c r="V52" s="663"/>
      <c r="X52" s="316">
        <f t="shared" si="16"/>
        <v>47.795402500000009</v>
      </c>
      <c r="Y52" s="261">
        <v>669.24394642463574</v>
      </c>
      <c r="Z52" s="316">
        <f t="shared" si="17"/>
        <v>61.1357</v>
      </c>
      <c r="AA52" s="261">
        <v>431.58457094875172</v>
      </c>
      <c r="AB52" s="8"/>
      <c r="AC52" s="663"/>
      <c r="AD52" s="8"/>
      <c r="AF52" s="266">
        <f t="shared" si="15"/>
        <v>1100.8285173733875</v>
      </c>
    </row>
    <row r="53" spans="21:32">
      <c r="U53" s="400"/>
      <c r="V53" s="664"/>
      <c r="X53" s="316">
        <f t="shared" si="16"/>
        <v>66.471402499999996</v>
      </c>
      <c r="Y53" s="261">
        <v>930.7502689925135</v>
      </c>
      <c r="Z53" s="316">
        <f t="shared" si="17"/>
        <v>89.14970000000001</v>
      </c>
      <c r="AA53" s="261">
        <v>629.34807362490301</v>
      </c>
      <c r="AB53" s="8"/>
      <c r="AC53" s="664"/>
      <c r="AD53" s="8"/>
      <c r="AF53" s="266">
        <f t="shared" si="15"/>
        <v>1560.0983426174166</v>
      </c>
    </row>
    <row r="54" spans="21:32" ht="12" thickBot="1">
      <c r="U54" s="444"/>
      <c r="V54" s="664"/>
      <c r="X54" s="414">
        <f t="shared" si="16"/>
        <v>59.450506500000003</v>
      </c>
      <c r="Y54" s="461">
        <v>832.44181460765935</v>
      </c>
      <c r="Z54" s="414">
        <f t="shared" si="17"/>
        <v>63.449876000000003</v>
      </c>
      <c r="AA54" s="461">
        <v>447.92138652557321</v>
      </c>
      <c r="AB54" s="8">
        <f>SUM(Y49:Y54)</f>
        <v>11331.070980193559</v>
      </c>
      <c r="AC54" s="664"/>
      <c r="AD54" s="8">
        <f>SUM(AA49:AA54)</f>
        <v>11601.083975756581</v>
      </c>
      <c r="AF54" s="552">
        <f t="shared" si="15"/>
        <v>1280.3632011332325</v>
      </c>
    </row>
    <row r="55" spans="21:32">
      <c r="U55" s="485">
        <v>38019</v>
      </c>
      <c r="V55" s="665">
        <v>3427</v>
      </c>
      <c r="X55" s="322">
        <f t="shared" si="16"/>
        <v>330.95380000000006</v>
      </c>
      <c r="Y55" s="323">
        <v>4634.1031900762764</v>
      </c>
      <c r="Z55" s="322">
        <f t="shared" si="17"/>
        <v>440.50620000000009</v>
      </c>
      <c r="AA55" s="323">
        <v>3109.7326002199211</v>
      </c>
      <c r="AB55" s="8"/>
      <c r="AC55" s="665">
        <v>3427</v>
      </c>
      <c r="AD55" s="8"/>
      <c r="AF55" s="266">
        <f t="shared" si="15"/>
        <v>7743.835790296198</v>
      </c>
    </row>
    <row r="56" spans="21:32">
      <c r="U56" s="400"/>
      <c r="V56" s="664"/>
      <c r="X56" s="316">
        <f t="shared" si="16"/>
        <v>32.434506499999998</v>
      </c>
      <c r="Y56" s="261">
        <v>454.15659237089778</v>
      </c>
      <c r="Z56" s="316">
        <f t="shared" si="17"/>
        <v>22.925876000000002</v>
      </c>
      <c r="AA56" s="261">
        <v>161.8441329220779</v>
      </c>
      <c r="AB56" s="8"/>
      <c r="AC56" s="664"/>
      <c r="AD56" s="8"/>
      <c r="AF56" s="266">
        <f t="shared" si="15"/>
        <v>616.00072529297563</v>
      </c>
    </row>
    <row r="57" spans="21:32">
      <c r="U57" s="400"/>
      <c r="V57" s="664"/>
      <c r="X57" s="316">
        <f t="shared" si="16"/>
        <v>31.1425065</v>
      </c>
      <c r="Y57" s="261">
        <v>436.06566450852523</v>
      </c>
      <c r="Z57" s="316">
        <f t="shared" si="17"/>
        <v>20.987876000000004</v>
      </c>
      <c r="AA57" s="261">
        <v>148.16291395347739</v>
      </c>
      <c r="AB57" s="8"/>
      <c r="AC57" s="664"/>
      <c r="AD57" s="8"/>
      <c r="AF57" s="266">
        <f t="shared" si="15"/>
        <v>584.22857846200259</v>
      </c>
    </row>
    <row r="58" spans="21:32">
      <c r="U58" s="400"/>
      <c r="V58" s="664"/>
      <c r="X58" s="316">
        <f t="shared" si="16"/>
        <v>19.487402500000002</v>
      </c>
      <c r="Y58" s="261">
        <v>272.86779632550054</v>
      </c>
      <c r="Z58" s="316">
        <f t="shared" si="17"/>
        <v>18.673700000000004</v>
      </c>
      <c r="AA58" s="261">
        <v>131.82609837665555</v>
      </c>
      <c r="AB58" s="8"/>
      <c r="AC58" s="664"/>
      <c r="AD58" s="8"/>
      <c r="AF58" s="266">
        <f t="shared" si="15"/>
        <v>404.69389470215606</v>
      </c>
    </row>
    <row r="59" spans="21:32">
      <c r="U59" s="400"/>
      <c r="V59" s="664"/>
      <c r="X59" s="316">
        <f t="shared" si="16"/>
        <v>18.195402500000004</v>
      </c>
      <c r="Y59" s="261">
        <v>254.77686846312642</v>
      </c>
      <c r="Z59" s="316">
        <f t="shared" si="17"/>
        <v>16.735700000000005</v>
      </c>
      <c r="AA59" s="261">
        <v>118.14487940805493</v>
      </c>
      <c r="AB59" s="8"/>
      <c r="AC59" s="664"/>
      <c r="AD59" s="8"/>
      <c r="AF59" s="266">
        <f t="shared" si="15"/>
        <v>372.92174787118137</v>
      </c>
    </row>
    <row r="60" spans="21:32" ht="12" thickBot="1">
      <c r="U60" s="444"/>
      <c r="V60" s="664"/>
      <c r="X60" s="414">
        <f t="shared" si="16"/>
        <v>31.1425065</v>
      </c>
      <c r="Y60" s="461">
        <v>436.06566450852523</v>
      </c>
      <c r="Z60" s="414">
        <f t="shared" si="17"/>
        <v>20.987876000000004</v>
      </c>
      <c r="AA60" s="461">
        <v>148.16291395347739</v>
      </c>
      <c r="AB60" s="8">
        <f>SUM(Y55:Y60)</f>
        <v>6488.035776252852</v>
      </c>
      <c r="AC60" s="664"/>
      <c r="AD60" s="8">
        <f>SUM(AA55:AA60)</f>
        <v>3817.873538833664</v>
      </c>
      <c r="AF60" s="552">
        <f t="shared" si="15"/>
        <v>584.22857846200259</v>
      </c>
    </row>
    <row r="61" spans="21:32">
      <c r="U61" s="404" t="s">
        <v>518</v>
      </c>
      <c r="V61" s="663">
        <v>3428</v>
      </c>
      <c r="X61" s="322">
        <f t="shared" si="16"/>
        <v>290.29470000000003</v>
      </c>
      <c r="Y61" s="323">
        <v>4064.7836505646287</v>
      </c>
      <c r="Z61" s="322">
        <f t="shared" si="17"/>
        <v>385.73530000000005</v>
      </c>
      <c r="AA61" s="323">
        <v>2723.0800326206772</v>
      </c>
      <c r="AB61" s="8"/>
      <c r="AC61" s="663">
        <v>3428</v>
      </c>
      <c r="AD61" s="8"/>
      <c r="AF61" s="266">
        <f t="shared" si="15"/>
        <v>6787.8636831853055</v>
      </c>
    </row>
    <row r="62" spans="21:32">
      <c r="U62" s="400"/>
      <c r="V62" s="664"/>
      <c r="X62" s="316">
        <f t="shared" si="16"/>
        <v>32.434506499999998</v>
      </c>
      <c r="Y62" s="261">
        <v>454.15659237089778</v>
      </c>
      <c r="Z62" s="316">
        <f t="shared" si="17"/>
        <v>22.925876000000002</v>
      </c>
      <c r="AA62" s="261">
        <v>161.8441329220779</v>
      </c>
      <c r="AB62" s="8"/>
      <c r="AC62" s="664"/>
      <c r="AD62" s="8"/>
      <c r="AF62" s="266">
        <f t="shared" si="15"/>
        <v>616.00072529297563</v>
      </c>
    </row>
    <row r="63" spans="21:32">
      <c r="U63" s="400"/>
      <c r="V63" s="664"/>
      <c r="X63" s="316">
        <f t="shared" si="16"/>
        <v>31.1425065</v>
      </c>
      <c r="Y63" s="261">
        <v>436.06566450852523</v>
      </c>
      <c r="Z63" s="316">
        <f t="shared" si="17"/>
        <v>20.987876000000004</v>
      </c>
      <c r="AA63" s="261">
        <v>148.16291395347739</v>
      </c>
      <c r="AB63" s="8"/>
      <c r="AC63" s="664"/>
      <c r="AD63" s="8"/>
      <c r="AF63" s="266">
        <f t="shared" si="15"/>
        <v>584.22857846200259</v>
      </c>
    </row>
    <row r="64" spans="21:32">
      <c r="U64" s="400"/>
      <c r="V64" s="664"/>
      <c r="X64" s="316">
        <f t="shared" si="16"/>
        <v>19.487402500000002</v>
      </c>
      <c r="Y64" s="261">
        <v>272.86779632550054</v>
      </c>
      <c r="Z64" s="316">
        <f t="shared" si="17"/>
        <v>18.673700000000004</v>
      </c>
      <c r="AA64" s="261">
        <v>131.82609837665555</v>
      </c>
      <c r="AB64" s="8"/>
      <c r="AC64" s="664"/>
      <c r="AD64" s="8"/>
      <c r="AF64" s="266">
        <f t="shared" si="15"/>
        <v>404.69389470215606</v>
      </c>
    </row>
    <row r="65" spans="21:32">
      <c r="U65" s="400"/>
      <c r="V65" s="664"/>
      <c r="X65" s="316">
        <f t="shared" si="16"/>
        <v>18.195402500000004</v>
      </c>
      <c r="Y65" s="261">
        <v>254.77686846312642</v>
      </c>
      <c r="Z65" s="316">
        <f t="shared" si="17"/>
        <v>16.735700000000005</v>
      </c>
      <c r="AA65" s="261">
        <v>118.14487940805493</v>
      </c>
      <c r="AB65" s="8"/>
      <c r="AC65" s="664"/>
      <c r="AD65" s="8"/>
      <c r="AF65" s="266">
        <f t="shared" si="15"/>
        <v>372.92174787118137</v>
      </c>
    </row>
    <row r="66" spans="21:32" ht="12" thickBot="1">
      <c r="U66" s="444"/>
      <c r="V66" s="664"/>
      <c r="X66" s="414">
        <f t="shared" si="16"/>
        <v>31.1425065</v>
      </c>
      <c r="Y66" s="461">
        <v>436.06566450852523</v>
      </c>
      <c r="Z66" s="414">
        <f t="shared" si="17"/>
        <v>20.987876000000004</v>
      </c>
      <c r="AA66" s="461">
        <v>148.16291395347739</v>
      </c>
      <c r="AB66" s="8">
        <f>SUM(Y61:Y66)</f>
        <v>5918.7162367412047</v>
      </c>
      <c r="AC66" s="664"/>
      <c r="AD66" s="8">
        <f>SUM(AA61:AA66)</f>
        <v>3431.2209712344202</v>
      </c>
      <c r="AF66" s="552">
        <f t="shared" si="15"/>
        <v>584.22857846200259</v>
      </c>
    </row>
    <row r="67" spans="21:32">
      <c r="U67" s="404" t="s">
        <v>518</v>
      </c>
      <c r="V67" s="663">
        <v>3429</v>
      </c>
      <c r="X67" s="322">
        <f t="shared" si="16"/>
        <v>259.87470000000008</v>
      </c>
      <c r="Y67" s="323">
        <v>3638.8347143622959</v>
      </c>
      <c r="Z67" s="322">
        <f t="shared" si="17"/>
        <v>340.10530000000017</v>
      </c>
      <c r="AA67" s="323">
        <v>2400.9572144900035</v>
      </c>
      <c r="AB67" s="8"/>
      <c r="AC67" s="663">
        <v>3429</v>
      </c>
      <c r="AD67" s="8"/>
      <c r="AF67" s="266">
        <f t="shared" si="15"/>
        <v>6039.791928852299</v>
      </c>
    </row>
    <row r="68" spans="21:32">
      <c r="U68" s="400"/>
      <c r="V68" s="664"/>
      <c r="X68" s="316">
        <f t="shared" si="16"/>
        <v>32.434506499999998</v>
      </c>
      <c r="Y68" s="261">
        <v>454.15659237089778</v>
      </c>
      <c r="Z68" s="316">
        <f t="shared" si="17"/>
        <v>22.925876000000002</v>
      </c>
      <c r="AA68" s="261">
        <v>161.8441329220779</v>
      </c>
      <c r="AB68" s="8"/>
      <c r="AC68" s="664"/>
      <c r="AD68" s="8"/>
      <c r="AF68" s="266">
        <f t="shared" si="15"/>
        <v>616.00072529297563</v>
      </c>
    </row>
    <row r="69" spans="21:32">
      <c r="U69" s="400"/>
      <c r="V69" s="664"/>
      <c r="X69" s="316">
        <f t="shared" si="16"/>
        <v>31.1425065</v>
      </c>
      <c r="Y69" s="261">
        <v>436.06566450852523</v>
      </c>
      <c r="Z69" s="316">
        <f t="shared" si="17"/>
        <v>20.987876000000004</v>
      </c>
      <c r="AA69" s="261">
        <v>148.16291395347739</v>
      </c>
      <c r="AB69" s="8"/>
      <c r="AC69" s="664"/>
      <c r="AD69" s="8"/>
      <c r="AF69" s="266">
        <f t="shared" si="15"/>
        <v>584.22857846200259</v>
      </c>
    </row>
    <row r="70" spans="21:32">
      <c r="U70" s="400"/>
      <c r="V70" s="664"/>
      <c r="X70" s="316">
        <f t="shared" si="16"/>
        <v>19.487402500000002</v>
      </c>
      <c r="Y70" s="261">
        <v>272.86779632550054</v>
      </c>
      <c r="Z70" s="316">
        <f t="shared" si="17"/>
        <v>18.673700000000004</v>
      </c>
      <c r="AA70" s="261">
        <v>131.82609837665555</v>
      </c>
      <c r="AB70" s="8"/>
      <c r="AC70" s="664"/>
      <c r="AD70" s="8"/>
      <c r="AF70" s="266">
        <f t="shared" si="15"/>
        <v>404.69389470215606</v>
      </c>
    </row>
    <row r="71" spans="21:32">
      <c r="U71" s="400"/>
      <c r="V71" s="664"/>
      <c r="X71" s="316">
        <f t="shared" si="16"/>
        <v>18.195402500000004</v>
      </c>
      <c r="Y71" s="261">
        <v>254.77686846312642</v>
      </c>
      <c r="Z71" s="316">
        <f t="shared" si="17"/>
        <v>16.735700000000005</v>
      </c>
      <c r="AA71" s="261">
        <v>118.14487940805493</v>
      </c>
      <c r="AB71" s="8"/>
      <c r="AC71" s="664"/>
      <c r="AD71" s="8"/>
      <c r="AF71" s="266">
        <f t="shared" si="15"/>
        <v>372.92174787118137</v>
      </c>
    </row>
    <row r="72" spans="21:32" ht="12" thickBot="1">
      <c r="U72" s="444"/>
      <c r="V72" s="664"/>
      <c r="X72" s="414">
        <f t="shared" si="16"/>
        <v>31.1425065</v>
      </c>
      <c r="Y72" s="461">
        <v>436.06566450852523</v>
      </c>
      <c r="Z72" s="414">
        <f t="shared" si="17"/>
        <v>20.987876000000004</v>
      </c>
      <c r="AA72" s="461">
        <v>148.16291395347739</v>
      </c>
      <c r="AB72" s="8">
        <f>SUM(Y67:Y72)</f>
        <v>5492.7673005388715</v>
      </c>
      <c r="AC72" s="664"/>
      <c r="AD72" s="8">
        <f>SUM(AA67:AA72)</f>
        <v>3109.0981531037464</v>
      </c>
      <c r="AF72" s="552">
        <f t="shared" si="15"/>
        <v>584.22857846200259</v>
      </c>
    </row>
    <row r="73" spans="21:32">
      <c r="U73" s="404" t="s">
        <v>518</v>
      </c>
      <c r="V73" s="663">
        <v>3430</v>
      </c>
      <c r="X73" s="322">
        <f t="shared" si="16"/>
        <v>305.39070000000004</v>
      </c>
      <c r="Y73" s="323">
        <v>4276.1618603250017</v>
      </c>
      <c r="Z73" s="322">
        <f t="shared" si="17"/>
        <v>408.37929999999994</v>
      </c>
      <c r="AA73" s="323">
        <v>2882.934275306432</v>
      </c>
      <c r="AB73" s="8"/>
      <c r="AC73" s="663">
        <v>3430</v>
      </c>
      <c r="AD73" s="8"/>
      <c r="AF73" s="266">
        <f t="shared" si="15"/>
        <v>7159.0961356314338</v>
      </c>
    </row>
    <row r="74" spans="21:32">
      <c r="U74" s="400"/>
      <c r="V74" s="664"/>
      <c r="X74" s="316">
        <f t="shared" si="16"/>
        <v>32.434506499999998</v>
      </c>
      <c r="Y74" s="261">
        <v>454.15659237089778</v>
      </c>
      <c r="Z74" s="316">
        <f t="shared" si="17"/>
        <v>22.925876000000002</v>
      </c>
      <c r="AA74" s="261">
        <v>161.8441329220779</v>
      </c>
      <c r="AB74" s="8"/>
      <c r="AC74" s="664"/>
      <c r="AD74" s="8"/>
      <c r="AF74" s="266">
        <f t="shared" si="15"/>
        <v>616.00072529297563</v>
      </c>
    </row>
    <row r="75" spans="21:32">
      <c r="U75" s="400"/>
      <c r="V75" s="664"/>
      <c r="X75" s="316">
        <f t="shared" si="16"/>
        <v>31.1425065</v>
      </c>
      <c r="Y75" s="261">
        <v>436.06566450852523</v>
      </c>
      <c r="Z75" s="316">
        <f t="shared" si="17"/>
        <v>20.987876000000004</v>
      </c>
      <c r="AA75" s="261">
        <v>148.16291395347739</v>
      </c>
      <c r="AB75" s="8"/>
      <c r="AC75" s="664"/>
      <c r="AD75" s="8"/>
      <c r="AF75" s="266">
        <f t="shared" si="15"/>
        <v>584.22857846200259</v>
      </c>
    </row>
    <row r="76" spans="21:32">
      <c r="U76" s="400"/>
      <c r="V76" s="664"/>
      <c r="X76" s="316">
        <f t="shared" si="16"/>
        <v>19.487402500000002</v>
      </c>
      <c r="Y76" s="261">
        <v>272.86779632550054</v>
      </c>
      <c r="Z76" s="316">
        <f t="shared" si="17"/>
        <v>18.673700000000004</v>
      </c>
      <c r="AA76" s="261">
        <v>131.82609837665555</v>
      </c>
      <c r="AB76" s="8"/>
      <c r="AC76" s="664"/>
      <c r="AD76" s="8"/>
      <c r="AF76" s="266">
        <f t="shared" si="15"/>
        <v>404.69389470215606</v>
      </c>
    </row>
    <row r="77" spans="21:32">
      <c r="U77" s="400"/>
      <c r="V77" s="664"/>
      <c r="X77" s="316">
        <f t="shared" si="16"/>
        <v>18.195402500000004</v>
      </c>
      <c r="Y77" s="261">
        <v>254.77686846312642</v>
      </c>
      <c r="Z77" s="316">
        <f t="shared" si="17"/>
        <v>16.735700000000005</v>
      </c>
      <c r="AA77" s="261">
        <v>118.14487940805493</v>
      </c>
      <c r="AB77" s="8"/>
      <c r="AC77" s="664"/>
      <c r="AD77" s="8"/>
      <c r="AF77" s="266">
        <f t="shared" si="15"/>
        <v>372.92174787118137</v>
      </c>
    </row>
    <row r="78" spans="21:32" ht="12" thickBot="1">
      <c r="U78" s="444"/>
      <c r="V78" s="664"/>
      <c r="X78" s="414">
        <f t="shared" si="16"/>
        <v>31.1425065</v>
      </c>
      <c r="Y78" s="461">
        <v>436.06566450852523</v>
      </c>
      <c r="Z78" s="414">
        <f t="shared" si="17"/>
        <v>20.987876000000004</v>
      </c>
      <c r="AA78" s="461">
        <v>148.16291395347739</v>
      </c>
      <c r="AB78" s="8">
        <f>SUM(Y73:Y78)</f>
        <v>6130.0944465015773</v>
      </c>
      <c r="AC78" s="664"/>
      <c r="AD78" s="8">
        <f>SUM(AA73:AA78)</f>
        <v>3591.075213920175</v>
      </c>
      <c r="AF78" s="552">
        <f t="shared" si="15"/>
        <v>584.22857846200259</v>
      </c>
    </row>
    <row r="79" spans="21:32">
      <c r="U79" s="485">
        <v>38019</v>
      </c>
      <c r="V79" s="665">
        <v>3431</v>
      </c>
      <c r="X79" s="322">
        <f t="shared" si="16"/>
        <v>452.70152999999993</v>
      </c>
      <c r="Y79" s="323">
        <v>6338.8473083717763</v>
      </c>
      <c r="Z79" s="322">
        <f t="shared" si="17"/>
        <v>545.85106999999994</v>
      </c>
      <c r="AA79" s="323">
        <v>3853.4097073864691</v>
      </c>
      <c r="AB79" s="8"/>
      <c r="AC79" s="665">
        <v>3431</v>
      </c>
      <c r="AD79" s="8"/>
      <c r="AF79" s="266">
        <f t="shared" si="15"/>
        <v>10192.257015758245</v>
      </c>
    </row>
    <row r="80" spans="21:32">
      <c r="U80" s="400"/>
      <c r="V80" s="664">
        <v>3658</v>
      </c>
      <c r="X80" s="316">
        <f t="shared" si="16"/>
        <v>10.453900000000001</v>
      </c>
      <c r="Y80" s="261">
        <v>142.78040314928089</v>
      </c>
      <c r="Z80" s="316">
        <f t="shared" si="17"/>
        <v>9.3460999999999999</v>
      </c>
      <c r="AA80" s="261">
        <v>64.892733351051689</v>
      </c>
      <c r="AB80" s="8"/>
      <c r="AC80" s="664">
        <v>3658</v>
      </c>
      <c r="AD80" s="8"/>
      <c r="AF80" s="266">
        <f t="shared" si="15"/>
        <v>207.67313650033259</v>
      </c>
    </row>
    <row r="81" spans="21:32" ht="12" thickBot="1">
      <c r="U81" s="444"/>
      <c r="V81" s="664">
        <v>3659</v>
      </c>
      <c r="X81" s="414">
        <f t="shared" si="16"/>
        <v>10.453900000000001</v>
      </c>
      <c r="Y81" s="461">
        <v>142.78040314928089</v>
      </c>
      <c r="Z81" s="414">
        <f t="shared" si="17"/>
        <v>9.3460999999999999</v>
      </c>
      <c r="AA81" s="461">
        <v>64.892733351051689</v>
      </c>
      <c r="AB81" s="8"/>
      <c r="AC81" s="664">
        <v>3659</v>
      </c>
      <c r="AD81" s="8"/>
      <c r="AF81" s="552">
        <f t="shared" si="15"/>
        <v>207.67313650033259</v>
      </c>
    </row>
    <row r="82" spans="21:32">
      <c r="U82" s="485">
        <v>38085</v>
      </c>
      <c r="V82" s="665">
        <v>3660</v>
      </c>
      <c r="X82" s="322">
        <f t="shared" si="16"/>
        <v>313.33050000000003</v>
      </c>
      <c r="Y82" s="323">
        <v>4279.4990490597538</v>
      </c>
      <c r="Z82" s="322">
        <f t="shared" si="17"/>
        <v>413.70950000000005</v>
      </c>
      <c r="AA82" s="323">
        <v>2872.5072777197925</v>
      </c>
      <c r="AB82" s="8"/>
      <c r="AC82" s="665">
        <v>3660</v>
      </c>
      <c r="AD82" s="8"/>
      <c r="AF82" s="266">
        <f t="shared" si="15"/>
        <v>7152.0063267795467</v>
      </c>
    </row>
    <row r="83" spans="21:32">
      <c r="U83" s="400"/>
      <c r="V83" s="664"/>
      <c r="X83" s="316">
        <f t="shared" si="16"/>
        <v>88.995363500000011</v>
      </c>
      <c r="Y83" s="261">
        <v>1215.5075023624472</v>
      </c>
      <c r="Z83" s="316">
        <f t="shared" si="17"/>
        <v>71.933864000000014</v>
      </c>
      <c r="AA83" s="261">
        <v>499.45806865567539</v>
      </c>
      <c r="AB83" s="8"/>
      <c r="AC83" s="664"/>
      <c r="AD83" s="8"/>
      <c r="AF83" s="266">
        <f t="shared" si="15"/>
        <v>1714.9655710181225</v>
      </c>
    </row>
    <row r="84" spans="21:32">
      <c r="U84" s="400"/>
      <c r="V84" s="664"/>
      <c r="X84" s="316">
        <f t="shared" si="16"/>
        <v>539.46336350000001</v>
      </c>
      <c r="Y84" s="261">
        <v>7368.0441294442353</v>
      </c>
      <c r="Z84" s="316">
        <f t="shared" si="17"/>
        <v>263.8858640000002</v>
      </c>
      <c r="AA84" s="261">
        <v>1832.2375116534033</v>
      </c>
      <c r="AB84" s="8"/>
      <c r="AC84" s="664"/>
      <c r="AD84" s="8"/>
      <c r="AF84" s="266">
        <f t="shared" si="15"/>
        <v>9200.2816410976393</v>
      </c>
    </row>
    <row r="85" spans="21:32" ht="12" thickBot="1">
      <c r="U85" s="444"/>
      <c r="V85" s="664"/>
      <c r="X85" s="414">
        <f t="shared" si="16"/>
        <v>220.57450650000004</v>
      </c>
      <c r="Y85" s="461">
        <v>3012.628489130725</v>
      </c>
      <c r="Z85" s="414">
        <f t="shared" si="17"/>
        <v>143.885876</v>
      </c>
      <c r="AA85" s="461">
        <v>999.04214423668589</v>
      </c>
      <c r="AB85" s="8">
        <f>SUM(Y82:Y85)</f>
        <v>15875.679169997162</v>
      </c>
      <c r="AC85" s="664"/>
      <c r="AD85" s="8">
        <f>SUM(AA82:AA85)</f>
        <v>6203.2450022655576</v>
      </c>
      <c r="AF85" s="552">
        <f t="shared" si="15"/>
        <v>4011.670633367411</v>
      </c>
    </row>
    <row r="86" spans="21:32" ht="12" thickBot="1">
      <c r="U86" s="516">
        <v>44418</v>
      </c>
      <c r="V86" s="664">
        <v>4550</v>
      </c>
      <c r="X86" s="491">
        <f t="shared" si="16"/>
        <v>200.57857349999998</v>
      </c>
      <c r="Y86" s="561">
        <v>2542.439361414321</v>
      </c>
      <c r="Z86" s="491">
        <f t="shared" si="17"/>
        <v>170.63850400000004</v>
      </c>
      <c r="AA86" s="561">
        <v>1090.4751999639964</v>
      </c>
      <c r="AB86" s="8"/>
      <c r="AC86" s="664">
        <v>4550</v>
      </c>
      <c r="AD86" s="8"/>
      <c r="AF86" s="571">
        <f t="shared" si="15"/>
        <v>3632.9145613783176</v>
      </c>
    </row>
    <row r="87" spans="21:32">
      <c r="U87" s="499">
        <v>44418</v>
      </c>
      <c r="V87" s="664">
        <v>4551</v>
      </c>
      <c r="X87" s="322">
        <f t="shared" si="16"/>
        <v>209.33396299999995</v>
      </c>
      <c r="Y87" s="323">
        <v>2653.4185477794754</v>
      </c>
      <c r="Z87" s="322">
        <f t="shared" si="17"/>
        <v>146.88722199999992</v>
      </c>
      <c r="AA87" s="323">
        <v>938.69126268597415</v>
      </c>
      <c r="AB87" s="8"/>
      <c r="AC87" s="664">
        <v>4551</v>
      </c>
      <c r="AD87" s="8"/>
      <c r="AF87" s="266">
        <f t="shared" si="15"/>
        <v>3592.1098104654493</v>
      </c>
    </row>
    <row r="88" spans="21:32" ht="12" thickBot="1">
      <c r="X88" s="414">
        <f t="shared" si="16"/>
        <v>260.92304799999999</v>
      </c>
      <c r="Y88" s="461">
        <v>3307.3374486602211</v>
      </c>
      <c r="Z88" s="414">
        <f t="shared" si="17"/>
        <v>202.875362</v>
      </c>
      <c r="AA88" s="461">
        <v>1296.4867000048132</v>
      </c>
      <c r="AB88" s="8">
        <f>SUM(Y87:Y88)</f>
        <v>5960.7559964396969</v>
      </c>
      <c r="AD88" s="8">
        <f>SUM(AA87:AA88)</f>
        <v>2235.1779626907874</v>
      </c>
      <c r="AF88" s="552">
        <f t="shared" si="15"/>
        <v>4603.824148665034</v>
      </c>
    </row>
    <row r="89" spans="21:32">
      <c r="X89" s="43">
        <f>SUM(X49:X88)</f>
        <v>4832.1630704999998</v>
      </c>
      <c r="Y89" s="351">
        <f>SUM(Y49:Y88)</f>
        <v>66363.967382749572</v>
      </c>
      <c r="Z89" s="43">
        <f>SUM(Z49:Z88)</f>
        <v>5007.7418020000023</v>
      </c>
      <c r="AA89" s="351">
        <f>SUM(AA49:AA88)</f>
        <v>39062.4451918575</v>
      </c>
      <c r="AD89" s="8"/>
      <c r="AF89" s="351">
        <f>SUM(AF49:AF88)</f>
        <v>105426.41257460711</v>
      </c>
    </row>
  </sheetData>
  <mergeCells count="21">
    <mergeCell ref="A43:E43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AH1:AL2"/>
    <mergeCell ref="J1:P1"/>
    <mergeCell ref="AM1:AV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65"/>
  <sheetViews>
    <sheetView workbookViewId="0">
      <pane ySplit="1" topLeftCell="A2" activePane="bottomLeft" state="frozen"/>
      <selection pane="bottomLeft" activeCell="O46" sqref="O46"/>
    </sheetView>
  </sheetViews>
  <sheetFormatPr defaultRowHeight="11.25"/>
  <cols>
    <col min="1" max="1" width="7.28515625" style="3" bestFit="1" customWidth="1"/>
    <col min="2" max="2" width="69.71093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8.140625" style="3" bestFit="1" customWidth="1"/>
    <col min="17" max="16384" width="9.140625" style="3"/>
  </cols>
  <sheetData>
    <row r="1" spans="1:20">
      <c r="A1" s="183"/>
      <c r="B1" s="183"/>
      <c r="C1" s="301"/>
      <c r="D1" s="183" t="s">
        <v>314</v>
      </c>
      <c r="E1" s="183" t="s">
        <v>315</v>
      </c>
      <c r="F1" s="183" t="s">
        <v>316</v>
      </c>
      <c r="G1" s="183" t="s">
        <v>317</v>
      </c>
      <c r="H1" s="183" t="s">
        <v>318</v>
      </c>
      <c r="I1" s="183" t="s">
        <v>319</v>
      </c>
      <c r="J1" s="183" t="s">
        <v>320</v>
      </c>
      <c r="K1" s="313" t="s">
        <v>321</v>
      </c>
      <c r="L1" s="697" t="s">
        <v>322</v>
      </c>
      <c r="M1" s="698"/>
      <c r="N1" s="698"/>
      <c r="O1" s="698"/>
      <c r="P1" s="699" t="s">
        <v>323</v>
      </c>
      <c r="Q1" s="699"/>
      <c r="R1" s="699"/>
      <c r="S1" s="699"/>
      <c r="T1" s="700"/>
    </row>
    <row r="2" spans="1:20">
      <c r="A2" s="426" t="str">
        <f>'1-συμβολαια'!A3</f>
        <v>10ο</v>
      </c>
      <c r="B2" s="76" t="str">
        <f>'1-συμβολαια'!C3</f>
        <v>κληρονομιάς ΑΠΟΔΟΧΗ</v>
      </c>
      <c r="C2" s="300">
        <f>'1-συμβολαια'!D3</f>
        <v>0</v>
      </c>
      <c r="D2" s="439"/>
      <c r="E2" s="439"/>
      <c r="F2" s="439"/>
      <c r="G2" s="439"/>
      <c r="H2" s="439"/>
      <c r="I2" s="439"/>
      <c r="J2" s="439"/>
      <c r="K2" s="439">
        <f t="shared" ref="K2:K41" si="0">SUM(D2:I2)</f>
        <v>0</v>
      </c>
      <c r="L2" s="404" t="s">
        <v>518</v>
      </c>
      <c r="M2" s="484">
        <v>386</v>
      </c>
      <c r="N2" s="484">
        <v>7</v>
      </c>
      <c r="O2" s="76"/>
      <c r="P2" s="76"/>
      <c r="Q2" s="76"/>
      <c r="R2" s="76"/>
      <c r="S2" s="76"/>
      <c r="T2" s="76"/>
    </row>
    <row r="3" spans="1:20">
      <c r="A3" s="426">
        <f>'1-συμβολαια'!A4</f>
        <v>0</v>
      </c>
      <c r="B3" s="76" t="str">
        <f>'1-συμβολαια'!C4</f>
        <v>ΧΡΗΣΙΚΤΗΣΙΑ οικοπέδου &amp; οικοδομής = 1992 αδερφού ΚΛΗΡΟΝΟΜΙΑ άτυπη</v>
      </c>
      <c r="C3" s="300">
        <f>'1-συμβολαια'!D4</f>
        <v>1111.1099999999999</v>
      </c>
      <c r="D3" s="439"/>
      <c r="E3" s="439"/>
      <c r="F3" s="439"/>
      <c r="G3" s="439"/>
      <c r="H3" s="439"/>
      <c r="I3" s="439"/>
      <c r="J3" s="439"/>
      <c r="K3" s="439">
        <f t="shared" si="0"/>
        <v>0</v>
      </c>
      <c r="L3" s="73"/>
      <c r="M3" s="76"/>
      <c r="N3" s="76"/>
      <c r="O3" s="76"/>
      <c r="P3" s="76"/>
      <c r="Q3" s="76"/>
      <c r="R3" s="76"/>
      <c r="S3" s="76"/>
      <c r="T3" s="76"/>
    </row>
    <row r="4" spans="1:20">
      <c r="A4" s="426">
        <f>'1-συμβολαια'!A5</f>
        <v>0</v>
      </c>
      <c r="B4" s="76" t="str">
        <f>'1-συμβολαια'!C5</f>
        <v>ΧΡΗΣΙΚΤΗΣΙΑ οικοπέδων 2'-3' = 1992 αδερφού ΚΛΗΡΟΝΟΜΙΑ άτυπη</v>
      </c>
      <c r="C4" s="300">
        <f>'1-συμβολαια'!D5</f>
        <v>1111.1099999999999</v>
      </c>
      <c r="D4" s="439"/>
      <c r="E4" s="439"/>
      <c r="F4" s="439"/>
      <c r="G4" s="439"/>
      <c r="H4" s="439"/>
      <c r="I4" s="439"/>
      <c r="J4" s="439"/>
      <c r="K4" s="439">
        <f t="shared" si="0"/>
        <v>0</v>
      </c>
      <c r="L4" s="400"/>
      <c r="M4" s="76"/>
      <c r="N4" s="76"/>
      <c r="O4" s="76"/>
      <c r="P4" s="76"/>
      <c r="Q4" s="76"/>
      <c r="R4" s="76"/>
      <c r="S4" s="76"/>
      <c r="T4" s="76"/>
    </row>
    <row r="5" spans="1:20">
      <c r="A5" s="426">
        <f>'1-συμβολαια'!A6</f>
        <v>0</v>
      </c>
      <c r="B5" s="76" t="str">
        <f>'1-συμβολαια'!C6</f>
        <v>ΧΡΗΣΙΚΤΗΣΙΑ αγροτεμαχίου 9' = 1968 μητρός ΚΛΗΡΟΝΟΜΙΑ άτυπη</v>
      </c>
      <c r="C5" s="300">
        <f>'1-συμβολαια'!D6</f>
        <v>111.11</v>
      </c>
      <c r="D5" s="439"/>
      <c r="E5" s="439"/>
      <c r="F5" s="439"/>
      <c r="G5" s="439"/>
      <c r="H5" s="439"/>
      <c r="I5" s="439"/>
      <c r="J5" s="439"/>
      <c r="K5" s="439">
        <f t="shared" si="0"/>
        <v>0</v>
      </c>
      <c r="L5" s="73"/>
      <c r="M5" s="76"/>
      <c r="N5" s="76"/>
      <c r="O5" s="76"/>
      <c r="P5" s="76"/>
      <c r="Q5" s="76"/>
      <c r="R5" s="76"/>
      <c r="S5" s="76"/>
      <c r="T5" s="76"/>
    </row>
    <row r="6" spans="1:20">
      <c r="A6" s="426">
        <f>'1-συμβολαια'!A7</f>
        <v>0</v>
      </c>
      <c r="B6" s="76" t="str">
        <f>'1-συμβολαια'!C7</f>
        <v>ΧΡΗΣΙΚΤΗΣΙΑ οικοπέδου 4' = 19?? ΑΓΟΡΑΠΩΛΗΣΙΑ άτυπη</v>
      </c>
      <c r="C6" s="300">
        <f>'1-συμβολαια'!D7</f>
        <v>111.11</v>
      </c>
      <c r="D6" s="439"/>
      <c r="E6" s="439"/>
      <c r="F6" s="439"/>
      <c r="G6" s="439"/>
      <c r="H6" s="439"/>
      <c r="I6" s="439"/>
      <c r="J6" s="439"/>
      <c r="K6" s="439">
        <f t="shared" si="0"/>
        <v>0</v>
      </c>
      <c r="L6" s="400"/>
      <c r="M6" s="76"/>
      <c r="N6" s="76"/>
      <c r="O6" s="76"/>
      <c r="P6" s="76"/>
      <c r="Q6" s="76"/>
      <c r="R6" s="76"/>
      <c r="S6" s="76"/>
      <c r="T6" s="76"/>
    </row>
    <row r="7" spans="1:20" ht="12" thickBot="1">
      <c r="A7" s="429">
        <f>'1-συμβολαια'!A8</f>
        <v>0</v>
      </c>
      <c r="B7" s="251" t="str">
        <f>'1-συμβολαια'!C8</f>
        <v>ΧΡΗΣΙΚΤΗΣΙΑ αγροτεμαχίου 8' = 19??? ΑΓΟΡΑΠΩΛΗΣΙΑ άτυπη</v>
      </c>
      <c r="C7" s="442">
        <f>'1-συμβολαια'!D8</f>
        <v>1111.1099999999999</v>
      </c>
      <c r="D7" s="443"/>
      <c r="E7" s="443"/>
      <c r="F7" s="443"/>
      <c r="G7" s="443"/>
      <c r="H7" s="443"/>
      <c r="I7" s="443"/>
      <c r="J7" s="443"/>
      <c r="K7" s="443">
        <f t="shared" si="0"/>
        <v>0</v>
      </c>
      <c r="L7" s="444"/>
      <c r="M7" s="251"/>
      <c r="N7" s="251"/>
      <c r="O7" s="251"/>
      <c r="P7" s="251"/>
      <c r="Q7" s="251"/>
      <c r="R7" s="251"/>
      <c r="S7" s="251"/>
      <c r="T7" s="251"/>
    </row>
    <row r="8" spans="1:20">
      <c r="A8" s="452" t="str">
        <f>'1-συμβολαια'!A9</f>
        <v>11ο</v>
      </c>
      <c r="B8" s="440" t="str">
        <f>'1-συμβολαια'!C9</f>
        <v>κληρονομιάς ΑΠΟΔΟΧΗ</v>
      </c>
      <c r="C8" s="441">
        <f>'1-συμβολαια'!D9</f>
        <v>0</v>
      </c>
      <c r="D8" s="439"/>
      <c r="E8" s="439"/>
      <c r="F8" s="439"/>
      <c r="G8" s="439"/>
      <c r="H8" s="439"/>
      <c r="I8" s="439"/>
      <c r="J8" s="439"/>
      <c r="K8" s="439"/>
      <c r="L8" s="485">
        <v>38019</v>
      </c>
      <c r="M8" s="440">
        <v>386</v>
      </c>
      <c r="N8" s="440">
        <v>8</v>
      </c>
      <c r="O8" s="440"/>
      <c r="P8" s="440"/>
      <c r="Q8" s="440"/>
      <c r="R8" s="440"/>
      <c r="S8" s="440"/>
      <c r="T8" s="440"/>
    </row>
    <row r="9" spans="1:20">
      <c r="A9" s="453">
        <f>'1-συμβολαια'!A10</f>
        <v>0</v>
      </c>
      <c r="B9" s="76" t="str">
        <f>'1-συμβολαια'!C10</f>
        <v>ΧΡΗΣΙΚΤΗΣΙΑ οικοπέδου &amp; οικοδομής = 1992 αδερφού ΚΛΗΡΟΝΟΜΙΑ άτυπη</v>
      </c>
      <c r="C9" s="300">
        <f>'1-συμβολαια'!D10</f>
        <v>1111.1099999999999</v>
      </c>
      <c r="D9" s="439"/>
      <c r="E9" s="439"/>
      <c r="F9" s="439"/>
      <c r="G9" s="439"/>
      <c r="H9" s="439"/>
      <c r="I9" s="439"/>
      <c r="J9" s="439"/>
      <c r="K9" s="439"/>
      <c r="L9" s="400"/>
      <c r="M9" s="76"/>
      <c r="N9" s="76"/>
      <c r="O9" s="76"/>
      <c r="P9" s="76"/>
      <c r="Q9" s="76"/>
      <c r="R9" s="76"/>
      <c r="S9" s="76"/>
      <c r="T9" s="76"/>
    </row>
    <row r="10" spans="1:20">
      <c r="A10" s="453">
        <f>'1-συμβολαια'!A11</f>
        <v>0</v>
      </c>
      <c r="B10" s="76" t="str">
        <f>'1-συμβολαια'!C11</f>
        <v>ΧΡΗΣΙΚΤΗΣΙΑ οικοπέδων 2'-3' = 1992 αδερφού ΚΛΗΡΟΝΟΜΙΑ άτυπη</v>
      </c>
      <c r="C10" s="300">
        <f>'1-συμβολαια'!D11</f>
        <v>1111.1099999999999</v>
      </c>
      <c r="D10" s="439"/>
      <c r="E10" s="439"/>
      <c r="F10" s="439"/>
      <c r="G10" s="439"/>
      <c r="H10" s="439"/>
      <c r="I10" s="439"/>
      <c r="J10" s="439"/>
      <c r="K10" s="439"/>
      <c r="L10" s="400"/>
      <c r="M10" s="76"/>
      <c r="N10" s="76"/>
      <c r="O10" s="76"/>
      <c r="P10" s="76"/>
      <c r="Q10" s="76"/>
      <c r="R10" s="76"/>
      <c r="S10" s="76"/>
      <c r="T10" s="76"/>
    </row>
    <row r="11" spans="1:20">
      <c r="A11" s="453">
        <f>'1-συμβολαια'!A12</f>
        <v>0</v>
      </c>
      <c r="B11" s="76" t="str">
        <f>'1-συμβολαια'!C12</f>
        <v>ΧΡΗΣΙΚΤΗΣΙΑ αγροτεμαχίου 9' = 1968 μητρός ΚΛΗΡΟΝΟΜΙΑ άτυπη</v>
      </c>
      <c r="C11" s="300">
        <f>'1-συμβολαια'!D12</f>
        <v>111.11</v>
      </c>
      <c r="D11" s="439"/>
      <c r="E11" s="439"/>
      <c r="F11" s="439"/>
      <c r="G11" s="439"/>
      <c r="H11" s="439"/>
      <c r="I11" s="439"/>
      <c r="J11" s="439"/>
      <c r="K11" s="439"/>
      <c r="L11" s="400"/>
      <c r="M11" s="76"/>
      <c r="N11" s="76"/>
      <c r="O11" s="76"/>
      <c r="P11" s="76"/>
      <c r="Q11" s="76"/>
      <c r="R11" s="76"/>
      <c r="S11" s="76"/>
      <c r="T11" s="76"/>
    </row>
    <row r="12" spans="1:20">
      <c r="A12" s="453">
        <f>'1-συμβολαια'!A13</f>
        <v>0</v>
      </c>
      <c r="B12" s="76" t="str">
        <f>'1-συμβολαια'!C13</f>
        <v>ΧΡΗΣΙΚΤΗΣΙΑ οικοπέδου 4' = 19?? ΑΓΟΡΑΠΩΛΗΣΙΑ άτυπη</v>
      </c>
      <c r="C12" s="300">
        <f>'1-συμβολαια'!D13</f>
        <v>111.11</v>
      </c>
      <c r="D12" s="439"/>
      <c r="E12" s="439"/>
      <c r="F12" s="439"/>
      <c r="G12" s="439"/>
      <c r="H12" s="439"/>
      <c r="I12" s="439"/>
      <c r="J12" s="439"/>
      <c r="K12" s="439"/>
      <c r="L12" s="400"/>
      <c r="M12" s="76"/>
      <c r="N12" s="76"/>
      <c r="O12" s="76"/>
      <c r="P12" s="76"/>
      <c r="Q12" s="76"/>
      <c r="R12" s="76"/>
      <c r="S12" s="76"/>
      <c r="T12" s="76"/>
    </row>
    <row r="13" spans="1:20" ht="12" thickBot="1">
      <c r="A13" s="454">
        <f>'1-συμβολαια'!A14</f>
        <v>0</v>
      </c>
      <c r="B13" s="251" t="str">
        <f>'1-συμβολαια'!C14</f>
        <v>ΧΡΗΣΙΚΤΗΣΙΑ αγροτεμαχίου 8' = 19??? ΑΓΟΡΑΠΩΛΗΣΙΑ άτυπη</v>
      </c>
      <c r="C13" s="442">
        <f>'1-συμβολαια'!D14</f>
        <v>1111.1099999999999</v>
      </c>
      <c r="D13" s="443"/>
      <c r="E13" s="443"/>
      <c r="F13" s="443"/>
      <c r="G13" s="443"/>
      <c r="H13" s="443"/>
      <c r="I13" s="443"/>
      <c r="J13" s="443"/>
      <c r="K13" s="443"/>
      <c r="L13" s="444"/>
      <c r="M13" s="251"/>
      <c r="N13" s="251"/>
      <c r="O13" s="251"/>
      <c r="P13" s="251"/>
      <c r="Q13" s="251"/>
      <c r="R13" s="251"/>
      <c r="S13" s="251"/>
      <c r="T13" s="251"/>
    </row>
    <row r="14" spans="1:20">
      <c r="A14" s="472" t="str">
        <f>'1-συμβολαια'!A15</f>
        <v>12ο</v>
      </c>
      <c r="B14" s="440" t="str">
        <f>'1-συμβολαια'!C15</f>
        <v>κληρονομιάς ΑΠΟΔΟΧΗ</v>
      </c>
      <c r="C14" s="441">
        <f>'1-συμβολαια'!D15</f>
        <v>0</v>
      </c>
      <c r="D14" s="439"/>
      <c r="E14" s="439"/>
      <c r="F14" s="439"/>
      <c r="G14" s="439"/>
      <c r="H14" s="439"/>
      <c r="I14" s="439"/>
      <c r="J14" s="439"/>
      <c r="K14" s="439"/>
      <c r="L14" s="404" t="s">
        <v>518</v>
      </c>
      <c r="M14" s="484">
        <v>386</v>
      </c>
      <c r="N14" s="484">
        <v>9</v>
      </c>
      <c r="O14" s="440"/>
      <c r="P14" s="440"/>
      <c r="Q14" s="440"/>
      <c r="R14" s="440"/>
      <c r="S14" s="440"/>
      <c r="T14" s="440"/>
    </row>
    <row r="15" spans="1:20">
      <c r="A15" s="426">
        <f>'1-συμβολαια'!A16</f>
        <v>0</v>
      </c>
      <c r="B15" s="76" t="str">
        <f>'1-συμβολαια'!C16</f>
        <v>ΧΡΗΣΙΚΤΗΣΙΑ οικοπέδου &amp; οικοδομής = 1992 αδερφού ΚΛΗΡΟΝΟΜΙΑ άτυπη</v>
      </c>
      <c r="C15" s="300">
        <f>'1-συμβολαια'!D16</f>
        <v>1111.1099999999999</v>
      </c>
      <c r="D15" s="439"/>
      <c r="E15" s="439"/>
      <c r="F15" s="439"/>
      <c r="G15" s="439"/>
      <c r="H15" s="439"/>
      <c r="I15" s="439"/>
      <c r="J15" s="439"/>
      <c r="K15" s="439"/>
      <c r="L15" s="400"/>
      <c r="M15" s="76"/>
      <c r="N15" s="76"/>
      <c r="O15" s="76"/>
      <c r="P15" s="76"/>
      <c r="Q15" s="76"/>
      <c r="R15" s="76"/>
      <c r="S15" s="76"/>
      <c r="T15" s="76"/>
    </row>
    <row r="16" spans="1:20">
      <c r="A16" s="426">
        <f>'1-συμβολαια'!A17</f>
        <v>0</v>
      </c>
      <c r="B16" s="76" t="str">
        <f>'1-συμβολαια'!C17</f>
        <v>ΧΡΗΣΙΚΤΗΣΙΑ οικοπέδων 2'-3' = 1992 αδερφού ΚΛΗΡΟΝΟΜΙΑ άτυπη</v>
      </c>
      <c r="C16" s="300">
        <f>'1-συμβολαια'!D17</f>
        <v>1111.1099999999999</v>
      </c>
      <c r="D16" s="439"/>
      <c r="E16" s="439"/>
      <c r="F16" s="439"/>
      <c r="G16" s="439"/>
      <c r="H16" s="439"/>
      <c r="I16" s="439"/>
      <c r="J16" s="439"/>
      <c r="K16" s="439"/>
      <c r="L16" s="400"/>
      <c r="M16" s="76"/>
      <c r="N16" s="76"/>
      <c r="O16" s="76"/>
      <c r="P16" s="76"/>
      <c r="Q16" s="76"/>
      <c r="R16" s="76"/>
      <c r="S16" s="76"/>
      <c r="T16" s="76"/>
    </row>
    <row r="17" spans="1:20">
      <c r="A17" s="426">
        <f>'1-συμβολαια'!A18</f>
        <v>0</v>
      </c>
      <c r="B17" s="76" t="str">
        <f>'1-συμβολαια'!C18</f>
        <v>ΧΡΗΣΙΚΤΗΣΙΑ αγροτεμαχίου 9' = 1968 μητρός ΚΛΗΡΟΝΟΜΙΑ άτυπη</v>
      </c>
      <c r="C17" s="300">
        <f>'1-συμβολαια'!D18</f>
        <v>111.11</v>
      </c>
      <c r="D17" s="439"/>
      <c r="E17" s="439"/>
      <c r="F17" s="439"/>
      <c r="G17" s="439"/>
      <c r="H17" s="439"/>
      <c r="I17" s="439"/>
      <c r="J17" s="439"/>
      <c r="K17" s="439"/>
      <c r="L17" s="400"/>
      <c r="M17" s="76"/>
      <c r="N17" s="76"/>
      <c r="O17" s="76"/>
      <c r="P17" s="76"/>
      <c r="Q17" s="76"/>
      <c r="R17" s="76"/>
      <c r="S17" s="76"/>
      <c r="T17" s="76"/>
    </row>
    <row r="18" spans="1:20">
      <c r="A18" s="426">
        <f>'1-συμβολαια'!A19</f>
        <v>0</v>
      </c>
      <c r="B18" s="76" t="str">
        <f>'1-συμβολαια'!C19</f>
        <v>ΧΡΗΣΙΚΤΗΣΙΑ οικοπέδου 4' = 19?? ΑΓΟΡΑΠΩΛΗΣΙΑ άτυπη</v>
      </c>
      <c r="C18" s="300">
        <f>'1-συμβολαια'!D19</f>
        <v>111.11</v>
      </c>
      <c r="D18" s="439"/>
      <c r="E18" s="439"/>
      <c r="F18" s="439"/>
      <c r="G18" s="439"/>
      <c r="H18" s="439"/>
      <c r="I18" s="439"/>
      <c r="J18" s="439"/>
      <c r="K18" s="439"/>
      <c r="L18" s="400"/>
      <c r="M18" s="76"/>
      <c r="N18" s="76"/>
      <c r="O18" s="76"/>
      <c r="P18" s="76"/>
      <c r="Q18" s="76"/>
      <c r="R18" s="76"/>
      <c r="S18" s="76"/>
      <c r="T18" s="76"/>
    </row>
    <row r="19" spans="1:20" ht="12" thickBot="1">
      <c r="A19" s="429">
        <f>'1-συμβολαια'!A20</f>
        <v>0</v>
      </c>
      <c r="B19" s="251" t="str">
        <f>'1-συμβολαια'!C20</f>
        <v>ΧΡΗΣΙΚΤΗΣΙΑ αγροτεμαχίου 8' = 19??? ΑΓΟΡΑΠΩΛΗΣΙΑ άτυπη</v>
      </c>
      <c r="C19" s="442">
        <f>'1-συμβολαια'!D20</f>
        <v>1111.1099999999999</v>
      </c>
      <c r="D19" s="443"/>
      <c r="E19" s="443"/>
      <c r="F19" s="443"/>
      <c r="G19" s="443"/>
      <c r="H19" s="443"/>
      <c r="I19" s="443"/>
      <c r="J19" s="443"/>
      <c r="K19" s="443"/>
      <c r="L19" s="444"/>
      <c r="M19" s="251"/>
      <c r="N19" s="251"/>
      <c r="O19" s="251"/>
      <c r="P19" s="251"/>
      <c r="Q19" s="251"/>
      <c r="R19" s="251"/>
      <c r="S19" s="251"/>
      <c r="T19" s="251"/>
    </row>
    <row r="20" spans="1:20">
      <c r="A20" s="452" t="str">
        <f>'1-συμβολαια'!A21</f>
        <v>13ο</v>
      </c>
      <c r="B20" s="440" t="str">
        <f>'1-συμβολαια'!C21</f>
        <v>κληρονομιάς ΑΠΟΔΟΧΗ</v>
      </c>
      <c r="C20" s="441">
        <f>'1-συμβολαια'!D21</f>
        <v>0</v>
      </c>
      <c r="D20" s="439"/>
      <c r="E20" s="439"/>
      <c r="F20" s="439"/>
      <c r="G20" s="439"/>
      <c r="H20" s="439"/>
      <c r="I20" s="439"/>
      <c r="J20" s="439"/>
      <c r="K20" s="439"/>
      <c r="L20" s="404" t="s">
        <v>518</v>
      </c>
      <c r="M20" s="484">
        <v>386</v>
      </c>
      <c r="N20" s="484">
        <v>10</v>
      </c>
      <c r="O20" s="440"/>
      <c r="P20" s="440"/>
      <c r="Q20" s="440"/>
      <c r="R20" s="440"/>
      <c r="S20" s="440"/>
      <c r="T20" s="440"/>
    </row>
    <row r="21" spans="1:20">
      <c r="A21" s="453">
        <f>'1-συμβολαια'!A22</f>
        <v>0</v>
      </c>
      <c r="B21" s="76" t="str">
        <f>'1-συμβολαια'!C22</f>
        <v>ΧΡΗΣΙΚΤΗΣΙΑ οικοπέδου &amp; οικοδομής = 1992 αδερφού ΚΛΗΡΟΝΟΜΙΑ άτυπη</v>
      </c>
      <c r="C21" s="300">
        <f>'1-συμβολαια'!D22</f>
        <v>1111.1099999999999</v>
      </c>
      <c r="D21" s="439"/>
      <c r="E21" s="439"/>
      <c r="F21" s="439"/>
      <c r="G21" s="439"/>
      <c r="H21" s="439"/>
      <c r="I21" s="439"/>
      <c r="J21" s="439"/>
      <c r="K21" s="439"/>
      <c r="L21" s="400"/>
      <c r="M21" s="76"/>
      <c r="N21" s="76"/>
      <c r="O21" s="76"/>
      <c r="P21" s="76"/>
      <c r="Q21" s="76"/>
      <c r="R21" s="76"/>
      <c r="S21" s="76"/>
      <c r="T21" s="76"/>
    </row>
    <row r="22" spans="1:20">
      <c r="A22" s="453">
        <f>'1-συμβολαια'!A23</f>
        <v>0</v>
      </c>
      <c r="B22" s="76" t="str">
        <f>'1-συμβολαια'!C23</f>
        <v>ΧΡΗΣΙΚΤΗΣΙΑ οικοπέδων 2'-3' = 1992 αδερφού ΚΛΗΡΟΝΟΜΙΑ άτυπη</v>
      </c>
      <c r="C22" s="300">
        <f>'1-συμβολαια'!D23</f>
        <v>1111.1099999999999</v>
      </c>
      <c r="D22" s="439"/>
      <c r="E22" s="439"/>
      <c r="F22" s="439"/>
      <c r="G22" s="439"/>
      <c r="H22" s="439"/>
      <c r="I22" s="439"/>
      <c r="J22" s="439"/>
      <c r="K22" s="439"/>
      <c r="L22" s="400"/>
      <c r="M22" s="76"/>
      <c r="N22" s="76"/>
      <c r="O22" s="76"/>
      <c r="P22" s="76"/>
      <c r="Q22" s="76"/>
      <c r="R22" s="76"/>
      <c r="S22" s="76"/>
      <c r="T22" s="76"/>
    </row>
    <row r="23" spans="1:20">
      <c r="A23" s="453">
        <f>'1-συμβολαια'!A24</f>
        <v>0</v>
      </c>
      <c r="B23" s="76" t="str">
        <f>'1-συμβολαια'!C24</f>
        <v>ΧΡΗΣΙΚΤΗΣΙΑ αγροτεμαχίου 9' = 1968 μητρός ΚΛΗΡΟΝΟΜΙΑ άτυπη</v>
      </c>
      <c r="C23" s="300">
        <f>'1-συμβολαια'!D24</f>
        <v>111.11</v>
      </c>
      <c r="D23" s="439"/>
      <c r="E23" s="439"/>
      <c r="F23" s="439"/>
      <c r="G23" s="439"/>
      <c r="H23" s="439"/>
      <c r="I23" s="439"/>
      <c r="J23" s="439"/>
      <c r="K23" s="439"/>
      <c r="L23" s="400"/>
      <c r="M23" s="76"/>
      <c r="N23" s="76"/>
      <c r="O23" s="76"/>
      <c r="P23" s="76"/>
      <c r="Q23" s="76"/>
      <c r="R23" s="76"/>
      <c r="S23" s="76"/>
      <c r="T23" s="76"/>
    </row>
    <row r="24" spans="1:20">
      <c r="A24" s="453">
        <f>'1-συμβολαια'!A25</f>
        <v>0</v>
      </c>
      <c r="B24" s="76" t="str">
        <f>'1-συμβολαια'!C25</f>
        <v>ΧΡΗΣΙΚΤΗΣΙΑ οικοπέδου 4' = 19?? ΑΓΟΡΑΠΩΛΗΣΙΑ άτυπη</v>
      </c>
      <c r="C24" s="300">
        <f>'1-συμβολαια'!D25</f>
        <v>111.11</v>
      </c>
      <c r="D24" s="439"/>
      <c r="E24" s="439"/>
      <c r="F24" s="439"/>
      <c r="G24" s="439"/>
      <c r="H24" s="439"/>
      <c r="I24" s="439"/>
      <c r="J24" s="439"/>
      <c r="K24" s="439"/>
      <c r="L24" s="400"/>
      <c r="M24" s="76"/>
      <c r="N24" s="76"/>
      <c r="O24" s="76"/>
      <c r="P24" s="76"/>
      <c r="Q24" s="76"/>
      <c r="R24" s="76"/>
      <c r="S24" s="76"/>
      <c r="T24" s="76"/>
    </row>
    <row r="25" spans="1:20" ht="12" thickBot="1">
      <c r="A25" s="454">
        <f>'1-συμβολαια'!A26</f>
        <v>0</v>
      </c>
      <c r="B25" s="251" t="str">
        <f>'1-συμβολαια'!C26</f>
        <v>ΧΡΗΣΙΚΤΗΣΙΑ αγροτεμαχίου 8' = 19??? ΑΓΟΡΑΠΩΛΗΣΙΑ άτυπη</v>
      </c>
      <c r="C25" s="442">
        <f>'1-συμβολαια'!D26</f>
        <v>1111.1099999999999</v>
      </c>
      <c r="D25" s="443"/>
      <c r="E25" s="443"/>
      <c r="F25" s="443"/>
      <c r="G25" s="443"/>
      <c r="H25" s="443"/>
      <c r="I25" s="443"/>
      <c r="J25" s="443"/>
      <c r="K25" s="443"/>
      <c r="L25" s="444"/>
      <c r="M25" s="251"/>
      <c r="N25" s="251"/>
      <c r="O25" s="251"/>
      <c r="P25" s="251"/>
      <c r="Q25" s="251"/>
      <c r="R25" s="251"/>
      <c r="S25" s="251"/>
      <c r="T25" s="251"/>
    </row>
    <row r="26" spans="1:20">
      <c r="A26" s="472" t="str">
        <f>'1-συμβολαια'!A27</f>
        <v>14ο</v>
      </c>
      <c r="B26" s="440" t="str">
        <f>'1-συμβολαια'!C27</f>
        <v>κληρονομιάς ΑΠΟΔΟΧΗ</v>
      </c>
      <c r="C26" s="441">
        <f>'1-συμβολαια'!D27</f>
        <v>0</v>
      </c>
      <c r="D26" s="439"/>
      <c r="E26" s="439"/>
      <c r="F26" s="439"/>
      <c r="G26" s="439"/>
      <c r="H26" s="439"/>
      <c r="I26" s="439"/>
      <c r="J26" s="439"/>
      <c r="K26" s="439"/>
      <c r="L26" s="404" t="s">
        <v>518</v>
      </c>
      <c r="M26" s="484">
        <v>386</v>
      </c>
      <c r="N26" s="484">
        <v>11</v>
      </c>
      <c r="O26" s="76"/>
      <c r="P26" s="76"/>
      <c r="Q26" s="76"/>
      <c r="R26" s="76"/>
      <c r="S26" s="76"/>
      <c r="T26" s="76"/>
    </row>
    <row r="27" spans="1:20">
      <c r="A27" s="426">
        <f>'1-συμβολαια'!A28</f>
        <v>0</v>
      </c>
      <c r="B27" s="76" t="str">
        <f>'1-συμβολαια'!C28</f>
        <v>ΧΡΗΣΙΚΤΗΣΙΑ οικοπέδου &amp; οικοδομής = 1935 πατρός ΚΛΗΡΟΝΟΜΙΑ άτυπη</v>
      </c>
      <c r="C27" s="300">
        <f>'1-συμβολαια'!D28</f>
        <v>1111.1099999999999</v>
      </c>
      <c r="D27" s="439"/>
      <c r="E27" s="439"/>
      <c r="F27" s="439"/>
      <c r="G27" s="439"/>
      <c r="H27" s="439"/>
      <c r="I27" s="439"/>
      <c r="J27" s="439"/>
      <c r="K27" s="439"/>
      <c r="L27" s="400"/>
      <c r="M27" s="76"/>
      <c r="N27" s="76"/>
      <c r="O27" s="76"/>
      <c r="P27" s="76"/>
      <c r="Q27" s="76"/>
      <c r="R27" s="76"/>
      <c r="S27" s="76"/>
      <c r="T27" s="76"/>
    </row>
    <row r="28" spans="1:20">
      <c r="A28" s="426">
        <f>'1-συμβολαια'!A29</f>
        <v>0</v>
      </c>
      <c r="B28" s="76" t="str">
        <f>'1-συμβολαια'!C29</f>
        <v>ΧΡΗΣΙΚΤΗΣΙΑ οικοπέδων 2'-3' = 1992 αδερφού ΚΛΗΡΟΝΟΜΙΑ άτυπη</v>
      </c>
      <c r="C28" s="300">
        <f>'1-συμβολαια'!D29</f>
        <v>1111.1099999999999</v>
      </c>
      <c r="D28" s="439"/>
      <c r="E28" s="439"/>
      <c r="F28" s="439"/>
      <c r="G28" s="439"/>
      <c r="H28" s="439"/>
      <c r="I28" s="439"/>
      <c r="J28" s="439"/>
      <c r="K28" s="439"/>
      <c r="L28" s="400"/>
      <c r="M28" s="76"/>
      <c r="N28" s="76"/>
      <c r="O28" s="76"/>
      <c r="P28" s="76"/>
      <c r="Q28" s="76"/>
      <c r="R28" s="76"/>
      <c r="S28" s="76"/>
      <c r="T28" s="76"/>
    </row>
    <row r="29" spans="1:20">
      <c r="A29" s="426">
        <f>'1-συμβολαια'!A30</f>
        <v>0</v>
      </c>
      <c r="B29" s="76" t="str">
        <f>'1-συμβολαια'!C30</f>
        <v>ΧΡΗΣΙΚΤΗΣΙΑ αγροτεμαχίου 9' = 1968 μητρός ΚΛΗΡΟΝΟΜΙΑ άτυπη</v>
      </c>
      <c r="C29" s="300">
        <f>'1-συμβολαια'!D30</f>
        <v>111.11</v>
      </c>
      <c r="D29" s="439"/>
      <c r="E29" s="439"/>
      <c r="F29" s="439"/>
      <c r="G29" s="439"/>
      <c r="H29" s="439"/>
      <c r="I29" s="439"/>
      <c r="J29" s="439"/>
      <c r="K29" s="439"/>
      <c r="L29" s="400"/>
      <c r="M29" s="76"/>
      <c r="N29" s="76"/>
      <c r="O29" s="76"/>
      <c r="P29" s="76"/>
      <c r="Q29" s="76"/>
      <c r="R29" s="76"/>
      <c r="S29" s="76"/>
      <c r="T29" s="76"/>
    </row>
    <row r="30" spans="1:20">
      <c r="A30" s="426">
        <f>'1-συμβολαια'!A31</f>
        <v>0</v>
      </c>
      <c r="B30" s="76" t="str">
        <f>'1-συμβολαια'!C31</f>
        <v>ΧΡΗΣΙΚΤΗΣΙΑ οικοπέδου 4' = 19?? ΑΓΟΡΑΠΩΛΗΣΙΑ άτυπη</v>
      </c>
      <c r="C30" s="300">
        <f>'1-συμβολαια'!D31</f>
        <v>111.11</v>
      </c>
      <c r="D30" s="439"/>
      <c r="E30" s="439"/>
      <c r="F30" s="439"/>
      <c r="G30" s="439"/>
      <c r="H30" s="439"/>
      <c r="I30" s="439"/>
      <c r="J30" s="439"/>
      <c r="K30" s="439"/>
      <c r="L30" s="400"/>
      <c r="M30" s="76"/>
      <c r="N30" s="76"/>
      <c r="O30" s="76"/>
      <c r="P30" s="76"/>
      <c r="Q30" s="76"/>
      <c r="R30" s="76"/>
      <c r="S30" s="76"/>
      <c r="T30" s="76"/>
    </row>
    <row r="31" spans="1:20" ht="12" thickBot="1">
      <c r="A31" s="429">
        <f>'1-συμβολαια'!A32</f>
        <v>0</v>
      </c>
      <c r="B31" s="251" t="str">
        <f>'1-συμβολαια'!C32</f>
        <v>ΧΡΗΣΙΚΤΗΣΙΑ αγροτεμαχίου 8' = 19??? ΑΓΟΡΑΠΩΛΗΣΙΑ άτυπη</v>
      </c>
      <c r="C31" s="442">
        <f>'1-συμβολαια'!D32</f>
        <v>1111.1099999999999</v>
      </c>
      <c r="D31" s="443"/>
      <c r="E31" s="443"/>
      <c r="F31" s="443"/>
      <c r="G31" s="443"/>
      <c r="H31" s="443"/>
      <c r="I31" s="443"/>
      <c r="J31" s="443"/>
      <c r="K31" s="443"/>
      <c r="L31" s="444"/>
      <c r="M31" s="251"/>
      <c r="N31" s="251"/>
      <c r="O31" s="251"/>
      <c r="P31" s="251"/>
      <c r="Q31" s="251"/>
      <c r="R31" s="251"/>
      <c r="S31" s="251"/>
      <c r="T31" s="251"/>
    </row>
    <row r="32" spans="1:20">
      <c r="A32" s="427" t="str">
        <f>'1-συμβολαια'!A33</f>
        <v>15ο</v>
      </c>
      <c r="B32" s="440" t="str">
        <f>'1-συμβολαια'!C33</f>
        <v>αγοραπωλησία τίμημα = Δ.Ο.Υ. =</v>
      </c>
      <c r="C32" s="441">
        <f>'1-συμβολαια'!D33</f>
        <v>8237.2199999999993</v>
      </c>
      <c r="D32" s="439"/>
      <c r="E32" s="439"/>
      <c r="F32" s="439"/>
      <c r="G32" s="439"/>
      <c r="H32" s="439"/>
      <c r="I32" s="439"/>
      <c r="J32" s="439"/>
      <c r="K32" s="439"/>
      <c r="L32" s="485">
        <v>38019</v>
      </c>
      <c r="M32" s="440">
        <v>386</v>
      </c>
      <c r="N32" s="440">
        <v>12</v>
      </c>
      <c r="O32" s="440"/>
      <c r="P32" s="500" t="s">
        <v>559</v>
      </c>
      <c r="Q32" s="440"/>
      <c r="R32" s="440"/>
      <c r="S32" s="440"/>
      <c r="T32" s="440"/>
    </row>
    <row r="33" spans="1:20">
      <c r="A33" s="265" t="str">
        <f>'1-συμβολαια'!A34</f>
        <v>16ο</v>
      </c>
      <c r="B33" s="76" t="str">
        <f>'1-συμβολαια'!C34</f>
        <v>πληρεξούσιο</v>
      </c>
      <c r="C33" s="300">
        <f>'1-συμβολαια'!D34</f>
        <v>0</v>
      </c>
      <c r="D33" s="326">
        <v>0.5</v>
      </c>
      <c r="E33" s="326"/>
      <c r="F33" s="326"/>
      <c r="G33" s="326"/>
      <c r="H33" s="326"/>
      <c r="I33" s="326"/>
      <c r="J33" s="326"/>
      <c r="K33" s="326">
        <f t="shared" ref="K33" si="1">SUM(D33:I33)</f>
        <v>0.5</v>
      </c>
      <c r="L33" s="400"/>
      <c r="M33" s="76"/>
      <c r="N33" s="76"/>
      <c r="O33" s="76"/>
      <c r="P33" s="76"/>
      <c r="Q33" s="76"/>
      <c r="R33" s="76"/>
      <c r="S33" s="76"/>
      <c r="T33" s="76"/>
    </row>
    <row r="34" spans="1:20" ht="12" thickBot="1">
      <c r="A34" s="463" t="str">
        <f>'1-συμβολαια'!A35</f>
        <v>17ο</v>
      </c>
      <c r="B34" s="251" t="str">
        <f>'1-συμβολαια'!C35</f>
        <v>πληρεξούσιο</v>
      </c>
      <c r="C34" s="442">
        <f>'1-συμβολαια'!D35</f>
        <v>0</v>
      </c>
      <c r="D34" s="431">
        <v>0.5</v>
      </c>
      <c r="E34" s="431"/>
      <c r="F34" s="431"/>
      <c r="G34" s="431"/>
      <c r="H34" s="431"/>
      <c r="I34" s="431"/>
      <c r="J34" s="431"/>
      <c r="K34" s="431">
        <f t="shared" si="0"/>
        <v>0.5</v>
      </c>
      <c r="L34" s="444"/>
      <c r="M34" s="251"/>
      <c r="N34" s="251"/>
      <c r="O34" s="251"/>
      <c r="P34" s="251"/>
      <c r="Q34" s="251"/>
      <c r="R34" s="251"/>
      <c r="S34" s="251"/>
      <c r="T34" s="251"/>
    </row>
    <row r="35" spans="1:20">
      <c r="A35" s="472" t="str">
        <f>'1-συμβολαια'!A36</f>
        <v>18ο</v>
      </c>
      <c r="B35" s="440" t="str">
        <f>'1-συμβολαια'!C36</f>
        <v>αποδοχή κληρονομιάς</v>
      </c>
      <c r="C35" s="441">
        <f>'1-συμβολαια'!D36</f>
        <v>0</v>
      </c>
      <c r="D35" s="319">
        <v>0.5</v>
      </c>
      <c r="E35" s="319"/>
      <c r="F35" s="319"/>
      <c r="G35" s="319"/>
      <c r="H35" s="319"/>
      <c r="I35" s="319"/>
      <c r="J35" s="319"/>
      <c r="K35" s="319">
        <f t="shared" si="0"/>
        <v>0.5</v>
      </c>
      <c r="L35" s="485">
        <v>38085</v>
      </c>
      <c r="M35" s="440">
        <v>390</v>
      </c>
      <c r="N35" s="440">
        <v>16</v>
      </c>
      <c r="O35" s="440"/>
      <c r="P35" s="440"/>
      <c r="Q35" s="440"/>
      <c r="R35" s="440"/>
      <c r="S35" s="440"/>
      <c r="T35" s="440"/>
    </row>
    <row r="36" spans="1:20">
      <c r="A36" s="426">
        <f>'1-συμβολαια'!A37</f>
        <v>0</v>
      </c>
      <c r="B36" s="76" t="str">
        <f>'1-συμβολαια'!C37</f>
        <v>ΧΡΗΣΙΚΤΗΣΙΑ  αγροτεμαχίου -1 = αναδασμός ΑΛΛΑ πριν ΑΓΟΡΑΠΩΛΗΣΙΑ άτυπος από ;;;??? το 19???</v>
      </c>
      <c r="C36" s="300">
        <f>'1-συμβολαια'!D37</f>
        <v>3333.33</v>
      </c>
      <c r="D36" s="326"/>
      <c r="E36" s="326"/>
      <c r="F36" s="326"/>
      <c r="G36" s="326"/>
      <c r="H36" s="326"/>
      <c r="I36" s="326"/>
      <c r="J36" s="326"/>
      <c r="K36" s="326">
        <f t="shared" si="0"/>
        <v>0</v>
      </c>
      <c r="L36" s="400"/>
      <c r="M36" s="76"/>
      <c r="N36" s="76"/>
      <c r="O36" s="76"/>
      <c r="P36" s="76"/>
      <c r="Q36" s="76"/>
      <c r="R36" s="76"/>
      <c r="S36" s="76"/>
      <c r="T36" s="76"/>
    </row>
    <row r="37" spans="1:20">
      <c r="A37" s="426">
        <f>'1-συμβολαια'!A38</f>
        <v>0</v>
      </c>
      <c r="B37" s="76" t="str">
        <f>'1-συμβολαια'!C38</f>
        <v>ΧΡΗΣΙΚΤΗΣΙΑ  οικοπέδου -2 = 19?? ως αγροτεμάχιο με ΑΝΑΔΑΣΜΟ</v>
      </c>
      <c r="C37" s="300">
        <f>'1-συμβολαια'!D38</f>
        <v>33333.33</v>
      </c>
      <c r="D37" s="326"/>
      <c r="E37" s="326"/>
      <c r="F37" s="326"/>
      <c r="G37" s="326"/>
      <c r="H37" s="326"/>
      <c r="I37" s="326"/>
      <c r="J37" s="326"/>
      <c r="K37" s="326">
        <f t="shared" si="0"/>
        <v>0</v>
      </c>
      <c r="L37" s="400"/>
      <c r="M37" s="76"/>
      <c r="N37" s="76"/>
      <c r="O37" s="76"/>
      <c r="P37" s="76"/>
      <c r="Q37" s="76"/>
      <c r="R37" s="76"/>
      <c r="S37" s="76"/>
      <c r="T37" s="76"/>
    </row>
    <row r="38" spans="1:20" ht="12" thickBot="1">
      <c r="A38" s="429">
        <f>'1-συμβολαια'!A39</f>
        <v>0</v>
      </c>
      <c r="B38" s="251" t="str">
        <f>'1-συμβολαια'!C39</f>
        <v>ΧΡΗΣΙΚΤΗΣΙΑ  οικοπέδου -4 = 19?? ;;;???</v>
      </c>
      <c r="C38" s="442">
        <f>'1-συμβολαια'!D39</f>
        <v>11111.11</v>
      </c>
      <c r="D38" s="431"/>
      <c r="E38" s="431"/>
      <c r="F38" s="431"/>
      <c r="G38" s="431"/>
      <c r="H38" s="431"/>
      <c r="I38" s="431"/>
      <c r="J38" s="431"/>
      <c r="K38" s="431">
        <f t="shared" si="0"/>
        <v>0</v>
      </c>
      <c r="L38" s="444"/>
      <c r="M38" s="251"/>
      <c r="N38" s="251"/>
      <c r="O38" s="251"/>
      <c r="P38" s="251"/>
      <c r="Q38" s="251"/>
      <c r="R38" s="251"/>
      <c r="S38" s="251"/>
      <c r="T38" s="251"/>
    </row>
    <row r="39" spans="1:20" ht="12" thickBot="1">
      <c r="A39" s="513" t="str">
        <f>'1-συμβολαια'!A40</f>
        <v>19ο</v>
      </c>
      <c r="B39" s="514" t="str">
        <f>'1-συμβολαια'!C40</f>
        <v>*γονική ΨΙΛΗΣ ΚΥΡΙΟΤΗΤΑΣ</v>
      </c>
      <c r="C39" s="515">
        <f>'1-συμβολαια'!D40</f>
        <v>18629.93</v>
      </c>
      <c r="D39" s="511">
        <v>3</v>
      </c>
      <c r="E39" s="511"/>
      <c r="F39" s="511"/>
      <c r="G39" s="511"/>
      <c r="H39" s="511"/>
      <c r="I39" s="511"/>
      <c r="J39" s="511"/>
      <c r="K39" s="511">
        <f t="shared" si="0"/>
        <v>3</v>
      </c>
      <c r="L39" s="516">
        <v>44418</v>
      </c>
      <c r="M39" s="514">
        <v>641</v>
      </c>
      <c r="N39" s="514">
        <v>99</v>
      </c>
      <c r="O39" s="514">
        <v>335.74</v>
      </c>
      <c r="P39" s="517" t="s">
        <v>596</v>
      </c>
      <c r="Q39" s="514"/>
      <c r="R39" s="514"/>
      <c r="S39" s="514"/>
      <c r="T39" s="514"/>
    </row>
    <row r="40" spans="1:20">
      <c r="A40" s="472" t="str">
        <f>'1-συμβολαια'!A41</f>
        <v>20ο</v>
      </c>
      <c r="B40" s="440" t="str">
        <f>'1-συμβολαια'!C41</f>
        <v>δωρεά</v>
      </c>
      <c r="C40" s="441">
        <f>'1-συμβολαια'!D41</f>
        <v>26827.1</v>
      </c>
      <c r="D40" s="319">
        <v>3</v>
      </c>
      <c r="E40" s="319"/>
      <c r="F40" s="319"/>
      <c r="G40" s="319"/>
      <c r="H40" s="319"/>
      <c r="I40" s="319"/>
      <c r="J40" s="319"/>
      <c r="K40" s="319">
        <f t="shared" ref="K40" si="2">SUM(D40:I40)</f>
        <v>3</v>
      </c>
      <c r="L40" s="499">
        <v>44418</v>
      </c>
      <c r="M40" s="440">
        <v>641</v>
      </c>
      <c r="N40" s="440">
        <v>100</v>
      </c>
      <c r="O40" s="440">
        <v>470.1</v>
      </c>
      <c r="P40" s="440"/>
      <c r="Q40" s="440"/>
      <c r="R40" s="440"/>
      <c r="S40" s="440"/>
      <c r="T40" s="440"/>
    </row>
    <row r="41" spans="1:20" ht="12" thickBot="1">
      <c r="A41" s="429">
        <f>'1-συμβολαια'!A42</f>
        <v>0</v>
      </c>
      <c r="B41" s="251" t="str">
        <f>'1-συμβολαια'!C42</f>
        <v>χρησικτησία 1/2 οικοπέδου &amp; οικίας = συζυγου 1972 ΔΩΡΕΑ άτυπος</v>
      </c>
      <c r="C41" s="442">
        <f>'1-συμβολαια'!D42</f>
        <v>11206.2</v>
      </c>
      <c r="D41" s="431"/>
      <c r="E41" s="431"/>
      <c r="F41" s="431"/>
      <c r="G41" s="431"/>
      <c r="H41" s="431"/>
      <c r="I41" s="431"/>
      <c r="J41" s="431"/>
      <c r="K41" s="431">
        <f t="shared" si="0"/>
        <v>0</v>
      </c>
      <c r="L41" s="518"/>
      <c r="M41" s="251"/>
      <c r="N41" s="251"/>
      <c r="O41" s="251"/>
      <c r="P41" s="251"/>
      <c r="Q41" s="251"/>
      <c r="R41" s="251"/>
      <c r="S41" s="251"/>
      <c r="T41" s="251"/>
    </row>
    <row r="42" spans="1:20">
      <c r="A42" s="694" t="str">
        <f>'1-συμβολαια'!A43</f>
        <v>σύνολο</v>
      </c>
      <c r="B42" s="695"/>
      <c r="C42" s="696"/>
      <c r="D42" s="441">
        <f t="shared" ref="D42:K42" si="3">SUM(D2:D41)</f>
        <v>7.5</v>
      </c>
      <c r="E42" s="441">
        <f t="shared" si="3"/>
        <v>0</v>
      </c>
      <c r="F42" s="441">
        <f t="shared" si="3"/>
        <v>0</v>
      </c>
      <c r="G42" s="441">
        <f t="shared" si="3"/>
        <v>0</v>
      </c>
      <c r="H42" s="441">
        <f t="shared" si="3"/>
        <v>0</v>
      </c>
      <c r="I42" s="441">
        <f t="shared" si="3"/>
        <v>0</v>
      </c>
      <c r="J42" s="441">
        <f t="shared" si="3"/>
        <v>0</v>
      </c>
      <c r="K42" s="441">
        <f t="shared" si="3"/>
        <v>7.5</v>
      </c>
    </row>
    <row r="43" spans="1:20">
      <c r="J43" s="2"/>
    </row>
    <row r="44" spans="1:20">
      <c r="C44" s="2" t="s">
        <v>394</v>
      </c>
      <c r="D44" s="2">
        <v>5</v>
      </c>
      <c r="I44" s="5"/>
    </row>
    <row r="45" spans="1:20">
      <c r="J45" s="2"/>
    </row>
    <row r="46" spans="1:20">
      <c r="H46" s="149"/>
    </row>
    <row r="47" spans="1:20">
      <c r="J47" s="2"/>
    </row>
    <row r="48" spans="1:20">
      <c r="E48" s="111"/>
      <c r="J48" s="2"/>
    </row>
    <row r="49" spans="3:11">
      <c r="E49" s="6"/>
      <c r="J49" s="2"/>
    </row>
    <row r="52" spans="3:11">
      <c r="C52" s="4"/>
      <c r="D52" s="5"/>
      <c r="E52" s="5"/>
      <c r="F52" s="5"/>
      <c r="G52" s="5"/>
      <c r="H52" s="5"/>
      <c r="I52" s="5"/>
      <c r="J52" s="5"/>
      <c r="K52" s="5"/>
    </row>
    <row r="53" spans="3:11">
      <c r="C53" s="4"/>
      <c r="D53" s="5"/>
      <c r="E53" s="5"/>
      <c r="F53" s="5"/>
      <c r="G53" s="5"/>
      <c r="H53" s="5"/>
      <c r="I53" s="5"/>
      <c r="J53" s="5"/>
      <c r="K53" s="5"/>
    </row>
    <row r="54" spans="3:11">
      <c r="C54" s="4"/>
      <c r="D54" s="5"/>
      <c r="E54" s="5"/>
      <c r="F54" s="5"/>
      <c r="G54" s="5"/>
      <c r="H54" s="5"/>
      <c r="I54" s="5"/>
      <c r="J54" s="5"/>
      <c r="K54" s="5"/>
    </row>
    <row r="55" spans="3:11">
      <c r="C55" s="4"/>
      <c r="D55" s="5"/>
      <c r="E55" s="5"/>
      <c r="F55" s="5"/>
      <c r="G55" s="5"/>
      <c r="H55" s="5"/>
      <c r="I55" s="5"/>
      <c r="J55" s="5"/>
      <c r="K55" s="5"/>
    </row>
    <row r="56" spans="3:11">
      <c r="C56" s="4"/>
      <c r="D56" s="5"/>
      <c r="E56" s="5"/>
      <c r="F56" s="5"/>
      <c r="G56" s="5"/>
      <c r="H56" s="5"/>
      <c r="I56" s="5"/>
      <c r="J56" s="5"/>
      <c r="K56" s="5"/>
    </row>
    <row r="57" spans="3:11">
      <c r="C57" s="4"/>
      <c r="D57" s="5"/>
      <c r="E57" s="5"/>
      <c r="F57" s="5"/>
      <c r="G57" s="5"/>
      <c r="H57" s="5"/>
      <c r="I57" s="5"/>
      <c r="J57" s="5"/>
      <c r="K57" s="5"/>
    </row>
    <row r="58" spans="3:11">
      <c r="C58" s="4"/>
      <c r="D58" s="5"/>
    </row>
    <row r="59" spans="3:11">
      <c r="C59" s="4"/>
      <c r="D59" s="5"/>
    </row>
    <row r="60" spans="3:11">
      <c r="C60" s="4"/>
      <c r="D60" s="5"/>
    </row>
    <row r="61" spans="3:11">
      <c r="D61" s="5"/>
    </row>
    <row r="62" spans="3:11">
      <c r="D62" s="5"/>
    </row>
    <row r="63" spans="3:11">
      <c r="D63" s="5"/>
    </row>
    <row r="64" spans="3:11">
      <c r="D64" s="5"/>
    </row>
    <row r="65" spans="4:4">
      <c r="D65" s="5"/>
    </row>
  </sheetData>
  <mergeCells count="3">
    <mergeCell ref="A42:C42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67"/>
  <sheetViews>
    <sheetView workbookViewId="0">
      <pane ySplit="2" topLeftCell="A3" activePane="bottomLeft" state="frozen"/>
      <selection pane="bottomLeft" activeCell="T32" sqref="T32"/>
    </sheetView>
  </sheetViews>
  <sheetFormatPr defaultRowHeight="11.25"/>
  <cols>
    <col min="1" max="1" width="7" style="8" customWidth="1"/>
    <col min="2" max="2" width="54.28515625" style="90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1" customWidth="1"/>
    <col min="17" max="17" width="8" style="81" customWidth="1"/>
    <col min="18" max="18" width="5.85546875" style="81" customWidth="1"/>
    <col min="19" max="19" width="15.42578125" style="81" customWidth="1"/>
    <col min="20" max="20" width="8" style="81" customWidth="1"/>
    <col min="21" max="21" width="16.8554687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710" t="s">
        <v>1</v>
      </c>
      <c r="B1" s="712" t="s">
        <v>0</v>
      </c>
      <c r="C1" s="714" t="s">
        <v>7</v>
      </c>
      <c r="D1" s="707" t="s">
        <v>364</v>
      </c>
      <c r="E1" s="708"/>
      <c r="F1" s="708"/>
      <c r="G1" s="708"/>
      <c r="H1" s="708"/>
      <c r="I1" s="708"/>
      <c r="J1" s="708"/>
      <c r="K1" s="708"/>
      <c r="L1" s="708"/>
      <c r="M1" s="716" t="s">
        <v>91</v>
      </c>
      <c r="N1" s="717"/>
      <c r="O1" s="718" t="s">
        <v>249</v>
      </c>
      <c r="P1" s="701" t="s">
        <v>83</v>
      </c>
      <c r="Q1" s="702"/>
      <c r="R1" s="702"/>
      <c r="S1" s="702"/>
      <c r="T1" s="702"/>
      <c r="U1" s="702"/>
      <c r="V1" s="702"/>
      <c r="W1" s="702"/>
      <c r="X1" s="702"/>
      <c r="Y1" s="702"/>
      <c r="Z1" s="703"/>
    </row>
    <row r="2" spans="1:26" s="11" customFormat="1" ht="24" customHeight="1" thickBot="1">
      <c r="A2" s="711"/>
      <c r="B2" s="713"/>
      <c r="C2" s="715"/>
      <c r="D2" s="60" t="s">
        <v>77</v>
      </c>
      <c r="E2" s="60" t="s">
        <v>78</v>
      </c>
      <c r="F2" s="60" t="s">
        <v>365</v>
      </c>
      <c r="G2" s="60" t="s">
        <v>366</v>
      </c>
      <c r="H2" s="60" t="s">
        <v>23</v>
      </c>
      <c r="I2" s="204" t="s">
        <v>354</v>
      </c>
      <c r="J2" s="204" t="s">
        <v>355</v>
      </c>
      <c r="K2" s="204" t="s">
        <v>378</v>
      </c>
      <c r="L2" s="205" t="s">
        <v>357</v>
      </c>
      <c r="M2" s="207" t="s">
        <v>379</v>
      </c>
      <c r="N2" s="206" t="s">
        <v>380</v>
      </c>
      <c r="O2" s="719"/>
      <c r="P2" s="704"/>
      <c r="Q2" s="705"/>
      <c r="R2" s="705"/>
      <c r="S2" s="705"/>
      <c r="T2" s="705"/>
      <c r="U2" s="705"/>
      <c r="V2" s="705"/>
      <c r="W2" s="705"/>
      <c r="X2" s="705"/>
      <c r="Y2" s="705"/>
      <c r="Z2" s="706"/>
    </row>
    <row r="3" spans="1:26" s="5" customFormat="1">
      <c r="A3" s="423" t="str">
        <f>'1-συμβολαια'!A3</f>
        <v>10ο</v>
      </c>
      <c r="B3" s="327" t="str">
        <f>'1-συμβολαια'!C3</f>
        <v>κληρονομιάς ΑΠΟΔΟΧΗ</v>
      </c>
      <c r="C3" s="322">
        <f>'1-συμβολαια'!D3</f>
        <v>0</v>
      </c>
      <c r="D3" s="317">
        <v>29.35</v>
      </c>
      <c r="E3" s="317"/>
      <c r="F3" s="317"/>
      <c r="G3" s="317"/>
      <c r="H3" s="317">
        <f t="shared" ref="H3:H7" si="0">D3+E3+F3+G3</f>
        <v>29.35</v>
      </c>
      <c r="I3" s="318">
        <f t="shared" ref="I3:I7" si="1">(F3+G3)*9%</f>
        <v>0</v>
      </c>
      <c r="J3" s="318">
        <f t="shared" ref="J3:J7" si="2">(D3+E3)*5%</f>
        <v>1.4675000000000002</v>
      </c>
      <c r="K3" s="318">
        <f t="shared" ref="K3:K7" si="3">H3*5%</f>
        <v>1.4675000000000002</v>
      </c>
      <c r="L3" s="322">
        <f t="shared" ref="L3:L7" si="4">H3*1%</f>
        <v>0.29350000000000004</v>
      </c>
      <c r="M3" s="322">
        <f t="shared" ref="M3:M7" si="5">H3-O3</f>
        <v>26.121500000000001</v>
      </c>
      <c r="N3" s="322">
        <f t="shared" ref="N3:N7" si="6">D3+E3</f>
        <v>29.35</v>
      </c>
      <c r="O3" s="322">
        <f t="shared" ref="O3:O7" si="7">I3+J3+K3+L3</f>
        <v>3.2285000000000004</v>
      </c>
      <c r="P3" s="328"/>
      <c r="Q3" s="328"/>
      <c r="R3" s="328"/>
      <c r="S3" s="328"/>
      <c r="T3" s="328"/>
      <c r="U3" s="328"/>
      <c r="V3" s="328"/>
      <c r="W3" s="263"/>
      <c r="X3" s="263"/>
      <c r="Y3" s="263"/>
      <c r="Z3" s="263"/>
    </row>
    <row r="4" spans="1:26" s="5" customFormat="1">
      <c r="A4" s="423">
        <f>'1-συμβολαια'!A4</f>
        <v>0</v>
      </c>
      <c r="B4" s="327" t="str">
        <f>'1-συμβολαια'!C4</f>
        <v>ΧΡΗΣΙΚΤΗΣΙΑ οικοπέδου &amp; οικοδομής = 1992 αδερφού ΚΛΗΡΟΝΟΜΙΑ άτυπη</v>
      </c>
      <c r="C4" s="322">
        <f>'1-συμβολαια'!D4</f>
        <v>1111.1099999999999</v>
      </c>
      <c r="D4" s="317"/>
      <c r="E4" s="317">
        <v>2.93</v>
      </c>
      <c r="F4" s="317">
        <v>10.56</v>
      </c>
      <c r="G4" s="317">
        <f t="shared" ref="G4:G33" si="8">(C4-323.67)*1.2%</f>
        <v>9.4492799999999981</v>
      </c>
      <c r="H4" s="317">
        <f t="shared" si="0"/>
        <v>22.939279999999997</v>
      </c>
      <c r="I4" s="318">
        <f t="shared" si="1"/>
        <v>1.8008351999999996</v>
      </c>
      <c r="J4" s="318">
        <f t="shared" si="2"/>
        <v>0.14650000000000002</v>
      </c>
      <c r="K4" s="318">
        <f t="shared" si="3"/>
        <v>1.1469639999999999</v>
      </c>
      <c r="L4" s="322">
        <f t="shared" si="4"/>
        <v>0.22939279999999998</v>
      </c>
      <c r="M4" s="322">
        <f t="shared" si="5"/>
        <v>19.615587999999995</v>
      </c>
      <c r="N4" s="322">
        <f t="shared" si="6"/>
        <v>2.93</v>
      </c>
      <c r="O4" s="322">
        <f t="shared" si="7"/>
        <v>3.3236919999999994</v>
      </c>
      <c r="P4" s="328"/>
      <c r="Q4" s="328" t="s">
        <v>391</v>
      </c>
      <c r="R4" s="328" t="s">
        <v>392</v>
      </c>
      <c r="S4" s="328" t="s">
        <v>393</v>
      </c>
      <c r="T4" s="328"/>
      <c r="U4" s="328"/>
      <c r="V4" s="328"/>
      <c r="W4" s="263"/>
      <c r="X4" s="263"/>
      <c r="Y4" s="263"/>
      <c r="Z4" s="263"/>
    </row>
    <row r="5" spans="1:26" s="5" customFormat="1">
      <c r="A5" s="423">
        <f>'1-συμβολαια'!A5</f>
        <v>0</v>
      </c>
      <c r="B5" s="327" t="str">
        <f>'1-συμβολαια'!C5</f>
        <v>ΧΡΗΣΙΚΤΗΣΙΑ οικοπέδων 2'-3' = 1992 αδερφού ΚΛΗΡΟΝΟΜΙΑ άτυπη</v>
      </c>
      <c r="C5" s="322">
        <f>'1-συμβολαια'!D5</f>
        <v>1111.1099999999999</v>
      </c>
      <c r="D5" s="317"/>
      <c r="E5" s="317">
        <v>2.93</v>
      </c>
      <c r="F5" s="317">
        <v>10.56</v>
      </c>
      <c r="G5" s="317">
        <f t="shared" si="8"/>
        <v>9.4492799999999981</v>
      </c>
      <c r="H5" s="317">
        <f t="shared" si="0"/>
        <v>22.939279999999997</v>
      </c>
      <c r="I5" s="318">
        <f t="shared" si="1"/>
        <v>1.8008351999999996</v>
      </c>
      <c r="J5" s="318">
        <f t="shared" si="2"/>
        <v>0.14650000000000002</v>
      </c>
      <c r="K5" s="318">
        <f t="shared" si="3"/>
        <v>1.1469639999999999</v>
      </c>
      <c r="L5" s="322">
        <f t="shared" si="4"/>
        <v>0.22939279999999998</v>
      </c>
      <c r="M5" s="322">
        <f t="shared" si="5"/>
        <v>19.615587999999995</v>
      </c>
      <c r="N5" s="322">
        <f t="shared" si="6"/>
        <v>2.93</v>
      </c>
      <c r="O5" s="322">
        <f t="shared" si="7"/>
        <v>3.3236919999999994</v>
      </c>
      <c r="P5" s="328"/>
      <c r="Q5" s="328" t="s">
        <v>391</v>
      </c>
      <c r="R5" s="328" t="s">
        <v>392</v>
      </c>
      <c r="S5" s="328" t="s">
        <v>393</v>
      </c>
      <c r="T5" s="328"/>
      <c r="U5" s="328"/>
      <c r="V5" s="328"/>
      <c r="W5" s="263"/>
      <c r="X5" s="263"/>
      <c r="Y5" s="263"/>
      <c r="Z5" s="263"/>
    </row>
    <row r="6" spans="1:26" s="5" customFormat="1">
      <c r="A6" s="423">
        <f>'1-συμβολαια'!A6</f>
        <v>0</v>
      </c>
      <c r="B6" s="327" t="str">
        <f>'1-συμβολαια'!C6</f>
        <v>ΧΡΗΣΙΚΤΗΣΙΑ αγροτεμαχίου 9' = 1968 μητρός ΚΛΗΡΟΝΟΜΙΑ άτυπη</v>
      </c>
      <c r="C6" s="322">
        <f>'1-συμβολαια'!D6</f>
        <v>111.11</v>
      </c>
      <c r="D6" s="317"/>
      <c r="E6" s="317">
        <v>2.93</v>
      </c>
      <c r="F6" s="317">
        <v>10.56</v>
      </c>
      <c r="G6" s="317"/>
      <c r="H6" s="317">
        <f t="shared" si="0"/>
        <v>13.49</v>
      </c>
      <c r="I6" s="317">
        <f t="shared" si="1"/>
        <v>0.95040000000000002</v>
      </c>
      <c r="J6" s="317">
        <f t="shared" si="2"/>
        <v>0.14650000000000002</v>
      </c>
      <c r="K6" s="317">
        <f t="shared" si="3"/>
        <v>0.6745000000000001</v>
      </c>
      <c r="L6" s="316">
        <f t="shared" si="4"/>
        <v>0.13489999999999999</v>
      </c>
      <c r="M6" s="316">
        <f t="shared" si="5"/>
        <v>11.5837</v>
      </c>
      <c r="N6" s="316">
        <f t="shared" si="6"/>
        <v>2.93</v>
      </c>
      <c r="O6" s="316">
        <f t="shared" si="7"/>
        <v>1.9063000000000001</v>
      </c>
      <c r="P6" s="328"/>
      <c r="Q6" s="328" t="s">
        <v>391</v>
      </c>
      <c r="R6" s="328" t="s">
        <v>392</v>
      </c>
      <c r="S6" s="328" t="s">
        <v>393</v>
      </c>
      <c r="T6" s="328"/>
      <c r="U6" s="328"/>
      <c r="V6" s="328"/>
      <c r="W6" s="263"/>
      <c r="X6" s="263"/>
      <c r="Y6" s="263"/>
      <c r="Z6" s="263"/>
    </row>
    <row r="7" spans="1:26" s="5" customFormat="1">
      <c r="A7" s="423">
        <f>'1-συμβολαια'!A7</f>
        <v>0</v>
      </c>
      <c r="B7" s="327" t="str">
        <f>'1-συμβολαια'!C7</f>
        <v>ΧΡΗΣΙΚΤΗΣΙΑ οικοπέδου 4' = 19?? ΑΓΟΡΑΠΩΛΗΣΙΑ άτυπη</v>
      </c>
      <c r="C7" s="322">
        <f>'1-συμβολαια'!D7</f>
        <v>111.11</v>
      </c>
      <c r="D7" s="317"/>
      <c r="E7" s="317">
        <v>2.93</v>
      </c>
      <c r="F7" s="317">
        <v>10.56</v>
      </c>
      <c r="G7" s="317"/>
      <c r="H7" s="317">
        <f t="shared" si="0"/>
        <v>13.49</v>
      </c>
      <c r="I7" s="317">
        <f t="shared" si="1"/>
        <v>0.95040000000000002</v>
      </c>
      <c r="J7" s="317">
        <f t="shared" si="2"/>
        <v>0.14650000000000002</v>
      </c>
      <c r="K7" s="317">
        <f t="shared" si="3"/>
        <v>0.6745000000000001</v>
      </c>
      <c r="L7" s="316">
        <f t="shared" si="4"/>
        <v>0.13489999999999999</v>
      </c>
      <c r="M7" s="316">
        <f t="shared" si="5"/>
        <v>11.5837</v>
      </c>
      <c r="N7" s="316">
        <f t="shared" si="6"/>
        <v>2.93</v>
      </c>
      <c r="O7" s="316">
        <f t="shared" si="7"/>
        <v>1.9063000000000001</v>
      </c>
      <c r="P7" s="328"/>
      <c r="Q7" s="328" t="s">
        <v>391</v>
      </c>
      <c r="R7" s="328" t="s">
        <v>392</v>
      </c>
      <c r="S7" s="328" t="s">
        <v>393</v>
      </c>
      <c r="T7" s="328"/>
      <c r="U7" s="328"/>
      <c r="V7" s="328"/>
      <c r="W7" s="263"/>
      <c r="X7" s="263"/>
      <c r="Y7" s="263"/>
      <c r="Z7" s="263"/>
    </row>
    <row r="8" spans="1:26" s="5" customFormat="1" ht="12" thickBot="1">
      <c r="A8" s="406">
        <f>'1-συμβολαια'!A8</f>
        <v>0</v>
      </c>
      <c r="B8" s="425" t="str">
        <f>'1-συμβολαια'!C8</f>
        <v>ΧΡΗΣΙΚΤΗΣΙΑ αγροτεμαχίου 8' = 19??? ΑΓΟΡΑΠΩΛΗΣΙΑ άτυπη</v>
      </c>
      <c r="C8" s="414">
        <f>'1-συμβολαια'!D8</f>
        <v>1111.1099999999999</v>
      </c>
      <c r="D8" s="438"/>
      <c r="E8" s="438">
        <v>2.93</v>
      </c>
      <c r="F8" s="438">
        <v>10.56</v>
      </c>
      <c r="G8" s="438">
        <f t="shared" si="8"/>
        <v>9.4492799999999981</v>
      </c>
      <c r="H8" s="438">
        <f t="shared" ref="H8:H29" si="9">D8+E8+F8+G8</f>
        <v>22.939279999999997</v>
      </c>
      <c r="I8" s="438">
        <f t="shared" ref="I8:I29" si="10">(F8+G8)*9%</f>
        <v>1.8008351999999996</v>
      </c>
      <c r="J8" s="438">
        <f t="shared" ref="J8:J29" si="11">(D8+E8)*5%</f>
        <v>0.14650000000000002</v>
      </c>
      <c r="K8" s="438">
        <f t="shared" ref="K8:K29" si="12">H8*5%</f>
        <v>1.1469639999999999</v>
      </c>
      <c r="L8" s="414">
        <f t="shared" ref="L8:L29" si="13">H8*1%</f>
        <v>0.22939279999999998</v>
      </c>
      <c r="M8" s="414">
        <f t="shared" ref="M8:M29" si="14">H8-O8</f>
        <v>19.615587999999995</v>
      </c>
      <c r="N8" s="414">
        <f t="shared" ref="N8:N29" si="15">D8+E8</f>
        <v>2.93</v>
      </c>
      <c r="O8" s="414">
        <f t="shared" ref="O8:O29" si="16">I8+J8+K8+L8</f>
        <v>3.3236919999999994</v>
      </c>
      <c r="P8" s="328"/>
      <c r="Q8" s="328" t="s">
        <v>391</v>
      </c>
      <c r="R8" s="328" t="s">
        <v>392</v>
      </c>
      <c r="S8" s="328" t="s">
        <v>393</v>
      </c>
      <c r="T8" s="328"/>
      <c r="U8" s="328"/>
      <c r="V8" s="328"/>
      <c r="W8" s="263"/>
      <c r="X8" s="263"/>
      <c r="Y8" s="263"/>
      <c r="Z8" s="263"/>
    </row>
    <row r="9" spans="1:26" s="5" customFormat="1">
      <c r="A9" s="449" t="str">
        <f>'1-συμβολαια'!A9</f>
        <v>11ο</v>
      </c>
      <c r="B9" s="424" t="str">
        <f>'1-συμβολαια'!C9</f>
        <v>κληρονομιάς ΑΠΟΔΟΧΗ</v>
      </c>
      <c r="C9" s="322">
        <f>'1-συμβολαια'!D9</f>
        <v>0</v>
      </c>
      <c r="D9" s="318">
        <v>29.35</v>
      </c>
      <c r="E9" s="318"/>
      <c r="F9" s="318"/>
      <c r="G9" s="318"/>
      <c r="H9" s="318">
        <f t="shared" si="9"/>
        <v>29.35</v>
      </c>
      <c r="I9" s="318">
        <f t="shared" si="10"/>
        <v>0</v>
      </c>
      <c r="J9" s="318">
        <f t="shared" si="11"/>
        <v>1.4675000000000002</v>
      </c>
      <c r="K9" s="318">
        <f t="shared" si="12"/>
        <v>1.4675000000000002</v>
      </c>
      <c r="L9" s="322">
        <f t="shared" si="13"/>
        <v>0.29350000000000004</v>
      </c>
      <c r="M9" s="322">
        <f t="shared" si="14"/>
        <v>26.121500000000001</v>
      </c>
      <c r="N9" s="322">
        <f t="shared" si="15"/>
        <v>29.35</v>
      </c>
      <c r="O9" s="322">
        <f t="shared" si="16"/>
        <v>3.2285000000000004</v>
      </c>
      <c r="P9" s="328"/>
      <c r="Q9" s="328"/>
      <c r="R9" s="328"/>
      <c r="S9" s="328"/>
      <c r="T9" s="328"/>
      <c r="U9" s="328"/>
      <c r="V9" s="328"/>
      <c r="W9" s="263"/>
      <c r="X9" s="263"/>
      <c r="Y9" s="263"/>
      <c r="Z9" s="263"/>
    </row>
    <row r="10" spans="1:26" s="5" customFormat="1">
      <c r="A10" s="470">
        <f>'1-συμβολαια'!A10</f>
        <v>0</v>
      </c>
      <c r="B10" s="327" t="str">
        <f>'1-συμβολαια'!C10</f>
        <v>ΧΡΗΣΙΚΤΗΣΙΑ οικοπέδου &amp; οικοδομής = 1992 αδερφού ΚΛΗΡΟΝΟΜΙΑ άτυπη</v>
      </c>
      <c r="C10" s="322">
        <f>'1-συμβολαια'!D10</f>
        <v>1111.1099999999999</v>
      </c>
      <c r="D10" s="317"/>
      <c r="E10" s="317">
        <v>2.93</v>
      </c>
      <c r="F10" s="317">
        <v>10.56</v>
      </c>
      <c r="G10" s="317">
        <f t="shared" si="8"/>
        <v>9.4492799999999981</v>
      </c>
      <c r="H10" s="317">
        <f t="shared" si="9"/>
        <v>22.939279999999997</v>
      </c>
      <c r="I10" s="317">
        <f t="shared" si="10"/>
        <v>1.8008351999999996</v>
      </c>
      <c r="J10" s="317">
        <f t="shared" si="11"/>
        <v>0.14650000000000002</v>
      </c>
      <c r="K10" s="317">
        <f t="shared" si="12"/>
        <v>1.1469639999999999</v>
      </c>
      <c r="L10" s="316">
        <f t="shared" si="13"/>
        <v>0.22939279999999998</v>
      </c>
      <c r="M10" s="316">
        <f t="shared" si="14"/>
        <v>19.615587999999995</v>
      </c>
      <c r="N10" s="316">
        <f t="shared" si="15"/>
        <v>2.93</v>
      </c>
      <c r="O10" s="316">
        <f t="shared" si="16"/>
        <v>3.3236919999999994</v>
      </c>
      <c r="P10" s="328"/>
      <c r="Q10" s="328" t="s">
        <v>391</v>
      </c>
      <c r="R10" s="328" t="s">
        <v>392</v>
      </c>
      <c r="S10" s="328" t="s">
        <v>393</v>
      </c>
      <c r="T10" s="328"/>
      <c r="U10" s="328"/>
      <c r="V10" s="328"/>
      <c r="W10" s="263"/>
      <c r="X10" s="263"/>
      <c r="Y10" s="263"/>
      <c r="Z10" s="263"/>
    </row>
    <row r="11" spans="1:26" s="5" customFormat="1">
      <c r="A11" s="470">
        <f>'1-συμβολαια'!A11</f>
        <v>0</v>
      </c>
      <c r="B11" s="327" t="str">
        <f>'1-συμβολαια'!C11</f>
        <v>ΧΡΗΣΙΚΤΗΣΙΑ οικοπέδων 2'-3' = 1992 αδερφού ΚΛΗΡΟΝΟΜΙΑ άτυπη</v>
      </c>
      <c r="C11" s="322">
        <f>'1-συμβολαια'!D11</f>
        <v>1111.1099999999999</v>
      </c>
      <c r="D11" s="317"/>
      <c r="E11" s="317">
        <v>2.93</v>
      </c>
      <c r="F11" s="317">
        <v>10.56</v>
      </c>
      <c r="G11" s="317">
        <f t="shared" si="8"/>
        <v>9.4492799999999981</v>
      </c>
      <c r="H11" s="317">
        <f t="shared" si="9"/>
        <v>22.939279999999997</v>
      </c>
      <c r="I11" s="317">
        <f t="shared" si="10"/>
        <v>1.8008351999999996</v>
      </c>
      <c r="J11" s="317">
        <f t="shared" si="11"/>
        <v>0.14650000000000002</v>
      </c>
      <c r="K11" s="317">
        <f t="shared" si="12"/>
        <v>1.1469639999999999</v>
      </c>
      <c r="L11" s="316">
        <f t="shared" si="13"/>
        <v>0.22939279999999998</v>
      </c>
      <c r="M11" s="316">
        <f t="shared" si="14"/>
        <v>19.615587999999995</v>
      </c>
      <c r="N11" s="316">
        <f t="shared" si="15"/>
        <v>2.93</v>
      </c>
      <c r="O11" s="316">
        <f t="shared" si="16"/>
        <v>3.3236919999999994</v>
      </c>
      <c r="P11" s="328"/>
      <c r="Q11" s="328" t="s">
        <v>391</v>
      </c>
      <c r="R11" s="328" t="s">
        <v>392</v>
      </c>
      <c r="S11" s="328" t="s">
        <v>393</v>
      </c>
      <c r="T11" s="328"/>
      <c r="U11" s="328"/>
      <c r="V11" s="328"/>
      <c r="W11" s="263"/>
      <c r="X11" s="263"/>
      <c r="Y11" s="263"/>
      <c r="Z11" s="263"/>
    </row>
    <row r="12" spans="1:26" s="5" customFormat="1">
      <c r="A12" s="470">
        <f>'1-συμβολαια'!A12</f>
        <v>0</v>
      </c>
      <c r="B12" s="327" t="str">
        <f>'1-συμβολαια'!C12</f>
        <v>ΧΡΗΣΙΚΤΗΣΙΑ αγροτεμαχίου 9' = 1968 μητρός ΚΛΗΡΟΝΟΜΙΑ άτυπη</v>
      </c>
      <c r="C12" s="322">
        <f>'1-συμβολαια'!D12</f>
        <v>111.11</v>
      </c>
      <c r="D12" s="317"/>
      <c r="E12" s="317">
        <v>2.93</v>
      </c>
      <c r="F12" s="317">
        <v>10.56</v>
      </c>
      <c r="G12" s="317"/>
      <c r="H12" s="317">
        <f t="shared" si="9"/>
        <v>13.49</v>
      </c>
      <c r="I12" s="317">
        <f t="shared" si="10"/>
        <v>0.95040000000000002</v>
      </c>
      <c r="J12" s="317">
        <f t="shared" si="11"/>
        <v>0.14650000000000002</v>
      </c>
      <c r="K12" s="317">
        <f t="shared" si="12"/>
        <v>0.6745000000000001</v>
      </c>
      <c r="L12" s="316">
        <f t="shared" si="13"/>
        <v>0.13489999999999999</v>
      </c>
      <c r="M12" s="316">
        <f t="shared" si="14"/>
        <v>11.5837</v>
      </c>
      <c r="N12" s="316">
        <f t="shared" si="15"/>
        <v>2.93</v>
      </c>
      <c r="O12" s="316">
        <f t="shared" si="16"/>
        <v>1.9063000000000001</v>
      </c>
      <c r="P12" s="328"/>
      <c r="Q12" s="328" t="s">
        <v>391</v>
      </c>
      <c r="R12" s="328" t="s">
        <v>392</v>
      </c>
      <c r="S12" s="328" t="s">
        <v>393</v>
      </c>
      <c r="T12" s="328"/>
      <c r="U12" s="328"/>
      <c r="V12" s="328"/>
      <c r="W12" s="263"/>
      <c r="X12" s="263"/>
      <c r="Y12" s="263"/>
      <c r="Z12" s="263"/>
    </row>
    <row r="13" spans="1:26" s="5" customFormat="1">
      <c r="A13" s="470">
        <f>'1-συμβολαια'!A13</f>
        <v>0</v>
      </c>
      <c r="B13" s="327" t="str">
        <f>'1-συμβολαια'!C13</f>
        <v>ΧΡΗΣΙΚΤΗΣΙΑ οικοπέδου 4' = 19?? ΑΓΟΡΑΠΩΛΗΣΙΑ άτυπη</v>
      </c>
      <c r="C13" s="322">
        <f>'1-συμβολαια'!D13</f>
        <v>111.11</v>
      </c>
      <c r="D13" s="317"/>
      <c r="E13" s="317">
        <v>2.93</v>
      </c>
      <c r="F13" s="317">
        <v>10.56</v>
      </c>
      <c r="G13" s="317"/>
      <c r="H13" s="317">
        <f t="shared" si="9"/>
        <v>13.49</v>
      </c>
      <c r="I13" s="317">
        <f t="shared" si="10"/>
        <v>0.95040000000000002</v>
      </c>
      <c r="J13" s="317">
        <f t="shared" si="11"/>
        <v>0.14650000000000002</v>
      </c>
      <c r="K13" s="317">
        <f t="shared" si="12"/>
        <v>0.6745000000000001</v>
      </c>
      <c r="L13" s="316">
        <f t="shared" si="13"/>
        <v>0.13489999999999999</v>
      </c>
      <c r="M13" s="316">
        <f t="shared" si="14"/>
        <v>11.5837</v>
      </c>
      <c r="N13" s="316">
        <f t="shared" si="15"/>
        <v>2.93</v>
      </c>
      <c r="O13" s="316">
        <f t="shared" si="16"/>
        <v>1.9063000000000001</v>
      </c>
      <c r="P13" s="328"/>
      <c r="Q13" s="328" t="s">
        <v>391</v>
      </c>
      <c r="R13" s="328" t="s">
        <v>392</v>
      </c>
      <c r="S13" s="328" t="s">
        <v>393</v>
      </c>
      <c r="T13" s="328"/>
      <c r="U13" s="328"/>
      <c r="V13" s="328"/>
      <c r="W13" s="263"/>
      <c r="X13" s="263"/>
      <c r="Y13" s="263"/>
      <c r="Z13" s="263"/>
    </row>
    <row r="14" spans="1:26" s="5" customFormat="1" ht="12" thickBot="1">
      <c r="A14" s="451">
        <f>'1-συμβολαια'!A14</f>
        <v>0</v>
      </c>
      <c r="B14" s="425" t="str">
        <f>'1-συμβολαια'!C14</f>
        <v>ΧΡΗΣΙΚΤΗΣΙΑ αγροτεμαχίου 8' = 19??? ΑΓΟΡΑΠΩΛΗΣΙΑ άτυπη</v>
      </c>
      <c r="C14" s="414">
        <f>'1-συμβολαια'!D14</f>
        <v>1111.1099999999999</v>
      </c>
      <c r="D14" s="438"/>
      <c r="E14" s="438">
        <v>2.93</v>
      </c>
      <c r="F14" s="438">
        <v>10.56</v>
      </c>
      <c r="G14" s="438">
        <f t="shared" si="8"/>
        <v>9.4492799999999981</v>
      </c>
      <c r="H14" s="438">
        <f t="shared" si="9"/>
        <v>22.939279999999997</v>
      </c>
      <c r="I14" s="438">
        <f t="shared" si="10"/>
        <v>1.8008351999999996</v>
      </c>
      <c r="J14" s="438">
        <f t="shared" si="11"/>
        <v>0.14650000000000002</v>
      </c>
      <c r="K14" s="438">
        <f t="shared" si="12"/>
        <v>1.1469639999999999</v>
      </c>
      <c r="L14" s="414">
        <f t="shared" si="13"/>
        <v>0.22939279999999998</v>
      </c>
      <c r="M14" s="414">
        <f t="shared" si="14"/>
        <v>19.615587999999995</v>
      </c>
      <c r="N14" s="414">
        <f t="shared" si="15"/>
        <v>2.93</v>
      </c>
      <c r="O14" s="414">
        <f t="shared" si="16"/>
        <v>3.3236919999999994</v>
      </c>
      <c r="P14" s="328"/>
      <c r="Q14" s="328" t="s">
        <v>391</v>
      </c>
      <c r="R14" s="328" t="s">
        <v>392</v>
      </c>
      <c r="S14" s="328" t="s">
        <v>393</v>
      </c>
      <c r="T14" s="328"/>
      <c r="U14" s="328"/>
      <c r="V14" s="328"/>
      <c r="W14" s="263"/>
      <c r="X14" s="263"/>
      <c r="Y14" s="263"/>
      <c r="Z14" s="263"/>
    </row>
    <row r="15" spans="1:26" s="5" customFormat="1">
      <c r="A15" s="403" t="str">
        <f>'1-συμβολαια'!A15</f>
        <v>12ο</v>
      </c>
      <c r="B15" s="424" t="str">
        <f>'1-συμβολαια'!C15</f>
        <v>κληρονομιάς ΑΠΟΔΟΧΗ</v>
      </c>
      <c r="C15" s="322">
        <f>'1-συμβολαια'!D15</f>
        <v>0</v>
      </c>
      <c r="D15" s="318">
        <v>29.35</v>
      </c>
      <c r="E15" s="318"/>
      <c r="F15" s="318"/>
      <c r="G15" s="318"/>
      <c r="H15" s="318">
        <f t="shared" si="9"/>
        <v>29.35</v>
      </c>
      <c r="I15" s="318">
        <f t="shared" si="10"/>
        <v>0</v>
      </c>
      <c r="J15" s="318">
        <f t="shared" si="11"/>
        <v>1.4675000000000002</v>
      </c>
      <c r="K15" s="318">
        <f t="shared" si="12"/>
        <v>1.4675000000000002</v>
      </c>
      <c r="L15" s="322">
        <f t="shared" si="13"/>
        <v>0.29350000000000004</v>
      </c>
      <c r="M15" s="322">
        <f t="shared" si="14"/>
        <v>26.121500000000001</v>
      </c>
      <c r="N15" s="322">
        <f t="shared" si="15"/>
        <v>29.35</v>
      </c>
      <c r="O15" s="322">
        <f t="shared" si="16"/>
        <v>3.2285000000000004</v>
      </c>
      <c r="P15" s="328"/>
      <c r="Q15" s="328"/>
      <c r="R15" s="328"/>
      <c r="S15" s="328"/>
      <c r="T15" s="328"/>
      <c r="U15" s="328"/>
      <c r="V15" s="328"/>
      <c r="W15" s="263"/>
      <c r="X15" s="263"/>
      <c r="Y15" s="263"/>
      <c r="Z15" s="263"/>
    </row>
    <row r="16" spans="1:26" s="5" customFormat="1">
      <c r="A16" s="423">
        <f>'1-συμβολαια'!A16</f>
        <v>0</v>
      </c>
      <c r="B16" s="327" t="str">
        <f>'1-συμβολαια'!C16</f>
        <v>ΧΡΗΣΙΚΤΗΣΙΑ οικοπέδου &amp; οικοδομής = 1992 αδερφού ΚΛΗΡΟΝΟΜΙΑ άτυπη</v>
      </c>
      <c r="C16" s="322">
        <f>'1-συμβολαια'!D16</f>
        <v>1111.1099999999999</v>
      </c>
      <c r="D16" s="317"/>
      <c r="E16" s="317">
        <v>2.93</v>
      </c>
      <c r="F16" s="317">
        <v>10.56</v>
      </c>
      <c r="G16" s="317">
        <f t="shared" si="8"/>
        <v>9.4492799999999981</v>
      </c>
      <c r="H16" s="317">
        <f t="shared" si="9"/>
        <v>22.939279999999997</v>
      </c>
      <c r="I16" s="317">
        <f t="shared" si="10"/>
        <v>1.8008351999999996</v>
      </c>
      <c r="J16" s="317">
        <f t="shared" si="11"/>
        <v>0.14650000000000002</v>
      </c>
      <c r="K16" s="317">
        <f t="shared" si="12"/>
        <v>1.1469639999999999</v>
      </c>
      <c r="L16" s="316">
        <f t="shared" si="13"/>
        <v>0.22939279999999998</v>
      </c>
      <c r="M16" s="316">
        <f t="shared" si="14"/>
        <v>19.615587999999995</v>
      </c>
      <c r="N16" s="316">
        <f t="shared" si="15"/>
        <v>2.93</v>
      </c>
      <c r="O16" s="316">
        <f t="shared" si="16"/>
        <v>3.3236919999999994</v>
      </c>
      <c r="P16" s="328"/>
      <c r="Q16" s="328" t="s">
        <v>391</v>
      </c>
      <c r="R16" s="328" t="s">
        <v>392</v>
      </c>
      <c r="S16" s="328" t="s">
        <v>393</v>
      </c>
      <c r="T16" s="328"/>
      <c r="U16" s="328"/>
      <c r="V16" s="328"/>
      <c r="W16" s="263"/>
      <c r="X16" s="263"/>
      <c r="Y16" s="263"/>
      <c r="Z16" s="263"/>
    </row>
    <row r="17" spans="1:26" s="5" customFormat="1">
      <c r="A17" s="423">
        <f>'1-συμβολαια'!A17</f>
        <v>0</v>
      </c>
      <c r="B17" s="327" t="str">
        <f>'1-συμβολαια'!C17</f>
        <v>ΧΡΗΣΙΚΤΗΣΙΑ οικοπέδων 2'-3' = 1992 αδερφού ΚΛΗΡΟΝΟΜΙΑ άτυπη</v>
      </c>
      <c r="C17" s="322">
        <f>'1-συμβολαια'!D17</f>
        <v>1111.1099999999999</v>
      </c>
      <c r="D17" s="317"/>
      <c r="E17" s="317">
        <v>2.93</v>
      </c>
      <c r="F17" s="317">
        <v>10.56</v>
      </c>
      <c r="G17" s="317">
        <f t="shared" si="8"/>
        <v>9.4492799999999981</v>
      </c>
      <c r="H17" s="317">
        <f t="shared" si="9"/>
        <v>22.939279999999997</v>
      </c>
      <c r="I17" s="317">
        <f t="shared" si="10"/>
        <v>1.8008351999999996</v>
      </c>
      <c r="J17" s="317">
        <f t="shared" si="11"/>
        <v>0.14650000000000002</v>
      </c>
      <c r="K17" s="317">
        <f t="shared" si="12"/>
        <v>1.1469639999999999</v>
      </c>
      <c r="L17" s="316">
        <f t="shared" si="13"/>
        <v>0.22939279999999998</v>
      </c>
      <c r="M17" s="316">
        <f t="shared" si="14"/>
        <v>19.615587999999995</v>
      </c>
      <c r="N17" s="316">
        <f t="shared" si="15"/>
        <v>2.93</v>
      </c>
      <c r="O17" s="316">
        <f t="shared" si="16"/>
        <v>3.3236919999999994</v>
      </c>
      <c r="P17" s="328"/>
      <c r="Q17" s="328" t="s">
        <v>391</v>
      </c>
      <c r="R17" s="328" t="s">
        <v>392</v>
      </c>
      <c r="S17" s="328" t="s">
        <v>393</v>
      </c>
      <c r="T17" s="328"/>
      <c r="U17" s="328"/>
      <c r="V17" s="328"/>
      <c r="W17" s="263"/>
      <c r="X17" s="263"/>
      <c r="Y17" s="263"/>
      <c r="Z17" s="263"/>
    </row>
    <row r="18" spans="1:26" s="5" customFormat="1">
      <c r="A18" s="423">
        <f>'1-συμβολαια'!A18</f>
        <v>0</v>
      </c>
      <c r="B18" s="327" t="str">
        <f>'1-συμβολαια'!C18</f>
        <v>ΧΡΗΣΙΚΤΗΣΙΑ αγροτεμαχίου 9' = 1968 μητρός ΚΛΗΡΟΝΟΜΙΑ άτυπη</v>
      </c>
      <c r="C18" s="322">
        <f>'1-συμβολαια'!D18</f>
        <v>111.11</v>
      </c>
      <c r="D18" s="317"/>
      <c r="E18" s="317">
        <v>2.93</v>
      </c>
      <c r="F18" s="317">
        <v>10.56</v>
      </c>
      <c r="G18" s="317"/>
      <c r="H18" s="317">
        <f t="shared" si="9"/>
        <v>13.49</v>
      </c>
      <c r="I18" s="317">
        <f t="shared" si="10"/>
        <v>0.95040000000000002</v>
      </c>
      <c r="J18" s="317">
        <f t="shared" si="11"/>
        <v>0.14650000000000002</v>
      </c>
      <c r="K18" s="317">
        <f t="shared" si="12"/>
        <v>0.6745000000000001</v>
      </c>
      <c r="L18" s="316">
        <f t="shared" si="13"/>
        <v>0.13489999999999999</v>
      </c>
      <c r="M18" s="316">
        <f t="shared" si="14"/>
        <v>11.5837</v>
      </c>
      <c r="N18" s="316">
        <f t="shared" si="15"/>
        <v>2.93</v>
      </c>
      <c r="O18" s="316">
        <f t="shared" si="16"/>
        <v>1.9063000000000001</v>
      </c>
      <c r="P18" s="328"/>
      <c r="Q18" s="328" t="s">
        <v>391</v>
      </c>
      <c r="R18" s="328" t="s">
        <v>392</v>
      </c>
      <c r="S18" s="328" t="s">
        <v>393</v>
      </c>
      <c r="T18" s="328"/>
      <c r="U18" s="328"/>
      <c r="V18" s="328"/>
      <c r="W18" s="263"/>
      <c r="X18" s="263"/>
      <c r="Y18" s="263"/>
      <c r="Z18" s="263"/>
    </row>
    <row r="19" spans="1:26" s="5" customFormat="1">
      <c r="A19" s="423">
        <f>'1-συμβολαια'!A19</f>
        <v>0</v>
      </c>
      <c r="B19" s="327" t="str">
        <f>'1-συμβολαια'!C19</f>
        <v>ΧΡΗΣΙΚΤΗΣΙΑ οικοπέδου 4' = 19?? ΑΓΟΡΑΠΩΛΗΣΙΑ άτυπη</v>
      </c>
      <c r="C19" s="322">
        <f>'1-συμβολαια'!D19</f>
        <v>111.11</v>
      </c>
      <c r="D19" s="317"/>
      <c r="E19" s="317">
        <v>2.93</v>
      </c>
      <c r="F19" s="317">
        <v>10.56</v>
      </c>
      <c r="G19" s="317"/>
      <c r="H19" s="317">
        <f t="shared" si="9"/>
        <v>13.49</v>
      </c>
      <c r="I19" s="317">
        <f t="shared" si="10"/>
        <v>0.95040000000000002</v>
      </c>
      <c r="J19" s="317">
        <f t="shared" si="11"/>
        <v>0.14650000000000002</v>
      </c>
      <c r="K19" s="317">
        <f t="shared" si="12"/>
        <v>0.6745000000000001</v>
      </c>
      <c r="L19" s="316">
        <f t="shared" si="13"/>
        <v>0.13489999999999999</v>
      </c>
      <c r="M19" s="316">
        <f t="shared" si="14"/>
        <v>11.5837</v>
      </c>
      <c r="N19" s="316">
        <f t="shared" si="15"/>
        <v>2.93</v>
      </c>
      <c r="O19" s="316">
        <f t="shared" si="16"/>
        <v>1.9063000000000001</v>
      </c>
      <c r="P19" s="328"/>
      <c r="Q19" s="328" t="s">
        <v>391</v>
      </c>
      <c r="R19" s="328" t="s">
        <v>392</v>
      </c>
      <c r="S19" s="328" t="s">
        <v>393</v>
      </c>
      <c r="T19" s="328"/>
      <c r="U19" s="328"/>
      <c r="V19" s="328"/>
      <c r="W19" s="263"/>
      <c r="X19" s="263"/>
      <c r="Y19" s="263"/>
      <c r="Z19" s="263"/>
    </row>
    <row r="20" spans="1:26" s="5" customFormat="1" ht="12" thickBot="1">
      <c r="A20" s="406">
        <f>'1-συμβολαια'!A20</f>
        <v>0</v>
      </c>
      <c r="B20" s="425" t="str">
        <f>'1-συμβολαια'!C20</f>
        <v>ΧΡΗΣΙΚΤΗΣΙΑ αγροτεμαχίου 8' = 19??? ΑΓΟΡΑΠΩΛΗΣΙΑ άτυπη</v>
      </c>
      <c r="C20" s="414">
        <f>'1-συμβολαια'!D20</f>
        <v>1111.1099999999999</v>
      </c>
      <c r="D20" s="438"/>
      <c r="E20" s="438">
        <v>2.93</v>
      </c>
      <c r="F20" s="438">
        <v>10.56</v>
      </c>
      <c r="G20" s="438">
        <f t="shared" si="8"/>
        <v>9.4492799999999981</v>
      </c>
      <c r="H20" s="438">
        <f t="shared" si="9"/>
        <v>22.939279999999997</v>
      </c>
      <c r="I20" s="438">
        <f t="shared" si="10"/>
        <v>1.8008351999999996</v>
      </c>
      <c r="J20" s="438">
        <f t="shared" si="11"/>
        <v>0.14650000000000002</v>
      </c>
      <c r="K20" s="438">
        <f t="shared" si="12"/>
        <v>1.1469639999999999</v>
      </c>
      <c r="L20" s="414">
        <f t="shared" si="13"/>
        <v>0.22939279999999998</v>
      </c>
      <c r="M20" s="414">
        <f t="shared" si="14"/>
        <v>19.615587999999995</v>
      </c>
      <c r="N20" s="414">
        <f t="shared" si="15"/>
        <v>2.93</v>
      </c>
      <c r="O20" s="414">
        <f t="shared" si="16"/>
        <v>3.3236919999999994</v>
      </c>
      <c r="P20" s="328"/>
      <c r="Q20" s="328" t="s">
        <v>391</v>
      </c>
      <c r="R20" s="328" t="s">
        <v>392</v>
      </c>
      <c r="S20" s="328" t="s">
        <v>393</v>
      </c>
      <c r="T20" s="328"/>
      <c r="U20" s="328"/>
      <c r="V20" s="328"/>
      <c r="W20" s="263"/>
      <c r="X20" s="263"/>
      <c r="Y20" s="263"/>
      <c r="Z20" s="263"/>
    </row>
    <row r="21" spans="1:26" s="5" customFormat="1">
      <c r="A21" s="449" t="str">
        <f>'1-συμβολαια'!A21</f>
        <v>13ο</v>
      </c>
      <c r="B21" s="424" t="str">
        <f>'1-συμβολαια'!C21</f>
        <v>κληρονομιάς ΑΠΟΔΟΧΗ</v>
      </c>
      <c r="C21" s="322">
        <f>'1-συμβολαια'!D21</f>
        <v>0</v>
      </c>
      <c r="D21" s="318">
        <v>29.35</v>
      </c>
      <c r="E21" s="318"/>
      <c r="F21" s="318"/>
      <c r="G21" s="318"/>
      <c r="H21" s="318">
        <f t="shared" si="9"/>
        <v>29.35</v>
      </c>
      <c r="I21" s="318">
        <f t="shared" si="10"/>
        <v>0</v>
      </c>
      <c r="J21" s="318">
        <f t="shared" si="11"/>
        <v>1.4675000000000002</v>
      </c>
      <c r="K21" s="318">
        <f t="shared" si="12"/>
        <v>1.4675000000000002</v>
      </c>
      <c r="L21" s="322">
        <f t="shared" si="13"/>
        <v>0.29350000000000004</v>
      </c>
      <c r="M21" s="322">
        <f t="shared" si="14"/>
        <v>26.121500000000001</v>
      </c>
      <c r="N21" s="322">
        <f t="shared" si="15"/>
        <v>29.35</v>
      </c>
      <c r="O21" s="322">
        <f t="shared" si="16"/>
        <v>3.2285000000000004</v>
      </c>
      <c r="P21" s="328"/>
      <c r="Q21" s="328"/>
      <c r="R21" s="328"/>
      <c r="S21" s="328"/>
      <c r="T21" s="328"/>
      <c r="U21" s="328"/>
      <c r="V21" s="328"/>
      <c r="W21" s="263"/>
      <c r="X21" s="263"/>
      <c r="Y21" s="263"/>
      <c r="Z21" s="263"/>
    </row>
    <row r="22" spans="1:26" s="5" customFormat="1">
      <c r="A22" s="470">
        <f>'1-συμβολαια'!A22</f>
        <v>0</v>
      </c>
      <c r="B22" s="327" t="str">
        <f>'1-συμβολαια'!C22</f>
        <v>ΧΡΗΣΙΚΤΗΣΙΑ οικοπέδου &amp; οικοδομής = 1992 αδερφού ΚΛΗΡΟΝΟΜΙΑ άτυπη</v>
      </c>
      <c r="C22" s="322">
        <f>'1-συμβολαια'!D22</f>
        <v>1111.1099999999999</v>
      </c>
      <c r="D22" s="317"/>
      <c r="E22" s="317">
        <v>2.93</v>
      </c>
      <c r="F22" s="317">
        <v>10.56</v>
      </c>
      <c r="G22" s="317">
        <f t="shared" si="8"/>
        <v>9.4492799999999981</v>
      </c>
      <c r="H22" s="317">
        <f t="shared" si="9"/>
        <v>22.939279999999997</v>
      </c>
      <c r="I22" s="317">
        <f t="shared" si="10"/>
        <v>1.8008351999999996</v>
      </c>
      <c r="J22" s="317">
        <f t="shared" si="11"/>
        <v>0.14650000000000002</v>
      </c>
      <c r="K22" s="317">
        <f t="shared" si="12"/>
        <v>1.1469639999999999</v>
      </c>
      <c r="L22" s="316">
        <f t="shared" si="13"/>
        <v>0.22939279999999998</v>
      </c>
      <c r="M22" s="316">
        <f t="shared" si="14"/>
        <v>19.615587999999995</v>
      </c>
      <c r="N22" s="316">
        <f t="shared" si="15"/>
        <v>2.93</v>
      </c>
      <c r="O22" s="316">
        <f t="shared" si="16"/>
        <v>3.3236919999999994</v>
      </c>
      <c r="P22" s="328"/>
      <c r="Q22" s="328" t="s">
        <v>391</v>
      </c>
      <c r="R22" s="328" t="s">
        <v>392</v>
      </c>
      <c r="S22" s="328" t="s">
        <v>393</v>
      </c>
      <c r="T22" s="328"/>
      <c r="U22" s="328"/>
      <c r="V22" s="328"/>
      <c r="W22" s="263"/>
      <c r="X22" s="263"/>
      <c r="Y22" s="263"/>
      <c r="Z22" s="263"/>
    </row>
    <row r="23" spans="1:26" s="5" customFormat="1">
      <c r="A23" s="470">
        <f>'1-συμβολαια'!A23</f>
        <v>0</v>
      </c>
      <c r="B23" s="327" t="str">
        <f>'1-συμβολαια'!C23</f>
        <v>ΧΡΗΣΙΚΤΗΣΙΑ οικοπέδων 2'-3' = 1992 αδερφού ΚΛΗΡΟΝΟΜΙΑ άτυπη</v>
      </c>
      <c r="C23" s="322">
        <f>'1-συμβολαια'!D23</f>
        <v>1111.1099999999999</v>
      </c>
      <c r="D23" s="317"/>
      <c r="E23" s="317">
        <v>2.93</v>
      </c>
      <c r="F23" s="317">
        <v>10.56</v>
      </c>
      <c r="G23" s="317">
        <f t="shared" si="8"/>
        <v>9.4492799999999981</v>
      </c>
      <c r="H23" s="317">
        <f t="shared" si="9"/>
        <v>22.939279999999997</v>
      </c>
      <c r="I23" s="317">
        <f t="shared" si="10"/>
        <v>1.8008351999999996</v>
      </c>
      <c r="J23" s="317">
        <f t="shared" si="11"/>
        <v>0.14650000000000002</v>
      </c>
      <c r="K23" s="317">
        <f t="shared" si="12"/>
        <v>1.1469639999999999</v>
      </c>
      <c r="L23" s="316">
        <f t="shared" si="13"/>
        <v>0.22939279999999998</v>
      </c>
      <c r="M23" s="316">
        <f t="shared" si="14"/>
        <v>19.615587999999995</v>
      </c>
      <c r="N23" s="316">
        <f t="shared" si="15"/>
        <v>2.93</v>
      </c>
      <c r="O23" s="316">
        <f t="shared" si="16"/>
        <v>3.3236919999999994</v>
      </c>
      <c r="P23" s="328"/>
      <c r="Q23" s="328" t="s">
        <v>391</v>
      </c>
      <c r="R23" s="328" t="s">
        <v>392</v>
      </c>
      <c r="S23" s="328" t="s">
        <v>393</v>
      </c>
      <c r="T23" s="328"/>
      <c r="U23" s="328"/>
      <c r="V23" s="328"/>
      <c r="W23" s="263"/>
      <c r="X23" s="263"/>
      <c r="Y23" s="263"/>
      <c r="Z23" s="263"/>
    </row>
    <row r="24" spans="1:26" s="5" customFormat="1">
      <c r="A24" s="470">
        <f>'1-συμβολαια'!A24</f>
        <v>0</v>
      </c>
      <c r="B24" s="327" t="str">
        <f>'1-συμβολαια'!C24</f>
        <v>ΧΡΗΣΙΚΤΗΣΙΑ αγροτεμαχίου 9' = 1968 μητρός ΚΛΗΡΟΝΟΜΙΑ άτυπη</v>
      </c>
      <c r="C24" s="322">
        <f>'1-συμβολαια'!D24</f>
        <v>111.11</v>
      </c>
      <c r="D24" s="317"/>
      <c r="E24" s="317">
        <v>2.93</v>
      </c>
      <c r="F24" s="317">
        <v>10.56</v>
      </c>
      <c r="G24" s="317"/>
      <c r="H24" s="317">
        <f t="shared" si="9"/>
        <v>13.49</v>
      </c>
      <c r="I24" s="317">
        <f t="shared" si="10"/>
        <v>0.95040000000000002</v>
      </c>
      <c r="J24" s="317">
        <f t="shared" si="11"/>
        <v>0.14650000000000002</v>
      </c>
      <c r="K24" s="317">
        <f t="shared" si="12"/>
        <v>0.6745000000000001</v>
      </c>
      <c r="L24" s="316">
        <f t="shared" si="13"/>
        <v>0.13489999999999999</v>
      </c>
      <c r="M24" s="316">
        <f t="shared" si="14"/>
        <v>11.5837</v>
      </c>
      <c r="N24" s="316">
        <f t="shared" si="15"/>
        <v>2.93</v>
      </c>
      <c r="O24" s="316">
        <f t="shared" si="16"/>
        <v>1.9063000000000001</v>
      </c>
      <c r="P24" s="328"/>
      <c r="Q24" s="328" t="s">
        <v>391</v>
      </c>
      <c r="R24" s="328" t="s">
        <v>392</v>
      </c>
      <c r="S24" s="328" t="s">
        <v>393</v>
      </c>
      <c r="T24" s="328"/>
      <c r="U24" s="328"/>
      <c r="V24" s="328"/>
      <c r="W24" s="263"/>
      <c r="X24" s="263"/>
      <c r="Y24" s="263"/>
      <c r="Z24" s="263"/>
    </row>
    <row r="25" spans="1:26" s="5" customFormat="1">
      <c r="A25" s="470">
        <f>'1-συμβολαια'!A25</f>
        <v>0</v>
      </c>
      <c r="B25" s="327" t="str">
        <f>'1-συμβολαια'!C25</f>
        <v>ΧΡΗΣΙΚΤΗΣΙΑ οικοπέδου 4' = 19?? ΑΓΟΡΑΠΩΛΗΣΙΑ άτυπη</v>
      </c>
      <c r="C25" s="322">
        <f>'1-συμβολαια'!D25</f>
        <v>111.11</v>
      </c>
      <c r="D25" s="317"/>
      <c r="E25" s="317">
        <v>2.93</v>
      </c>
      <c r="F25" s="317">
        <v>10.56</v>
      </c>
      <c r="G25" s="317"/>
      <c r="H25" s="317">
        <f t="shared" si="9"/>
        <v>13.49</v>
      </c>
      <c r="I25" s="317">
        <f t="shared" si="10"/>
        <v>0.95040000000000002</v>
      </c>
      <c r="J25" s="317">
        <f t="shared" si="11"/>
        <v>0.14650000000000002</v>
      </c>
      <c r="K25" s="317">
        <f t="shared" si="12"/>
        <v>0.6745000000000001</v>
      </c>
      <c r="L25" s="316">
        <f t="shared" si="13"/>
        <v>0.13489999999999999</v>
      </c>
      <c r="M25" s="316">
        <f t="shared" si="14"/>
        <v>11.5837</v>
      </c>
      <c r="N25" s="316">
        <f t="shared" si="15"/>
        <v>2.93</v>
      </c>
      <c r="O25" s="316">
        <f t="shared" si="16"/>
        <v>1.9063000000000001</v>
      </c>
      <c r="P25" s="328"/>
      <c r="Q25" s="328" t="s">
        <v>391</v>
      </c>
      <c r="R25" s="328" t="s">
        <v>392</v>
      </c>
      <c r="S25" s="328" t="s">
        <v>393</v>
      </c>
      <c r="T25" s="328"/>
      <c r="U25" s="328"/>
      <c r="V25" s="328"/>
      <c r="W25" s="263"/>
      <c r="X25" s="263"/>
      <c r="Y25" s="263"/>
      <c r="Z25" s="263"/>
    </row>
    <row r="26" spans="1:26" s="5" customFormat="1" ht="12" thickBot="1">
      <c r="A26" s="451">
        <f>'1-συμβολαια'!A26</f>
        <v>0</v>
      </c>
      <c r="B26" s="425" t="str">
        <f>'1-συμβολαια'!C26</f>
        <v>ΧΡΗΣΙΚΤΗΣΙΑ αγροτεμαχίου 8' = 19??? ΑΓΟΡΑΠΩΛΗΣΙΑ άτυπη</v>
      </c>
      <c r="C26" s="414">
        <f>'1-συμβολαια'!D26</f>
        <v>1111.1099999999999</v>
      </c>
      <c r="D26" s="438"/>
      <c r="E26" s="438">
        <v>2.93</v>
      </c>
      <c r="F26" s="438">
        <v>10.56</v>
      </c>
      <c r="G26" s="438">
        <f t="shared" si="8"/>
        <v>9.4492799999999981</v>
      </c>
      <c r="H26" s="438">
        <f t="shared" si="9"/>
        <v>22.939279999999997</v>
      </c>
      <c r="I26" s="438">
        <f t="shared" si="10"/>
        <v>1.8008351999999996</v>
      </c>
      <c r="J26" s="438">
        <f t="shared" si="11"/>
        <v>0.14650000000000002</v>
      </c>
      <c r="K26" s="438">
        <f t="shared" si="12"/>
        <v>1.1469639999999999</v>
      </c>
      <c r="L26" s="414">
        <f t="shared" si="13"/>
        <v>0.22939279999999998</v>
      </c>
      <c r="M26" s="414">
        <f t="shared" si="14"/>
        <v>19.615587999999995</v>
      </c>
      <c r="N26" s="414">
        <f t="shared" si="15"/>
        <v>2.93</v>
      </c>
      <c r="O26" s="414">
        <f t="shared" si="16"/>
        <v>3.3236919999999994</v>
      </c>
      <c r="P26" s="328"/>
      <c r="Q26" s="328" t="s">
        <v>391</v>
      </c>
      <c r="R26" s="328" t="s">
        <v>392</v>
      </c>
      <c r="S26" s="328" t="s">
        <v>393</v>
      </c>
      <c r="T26" s="328"/>
      <c r="U26" s="328"/>
      <c r="V26" s="328"/>
      <c r="W26" s="263"/>
      <c r="X26" s="263"/>
      <c r="Y26" s="263"/>
      <c r="Z26" s="263"/>
    </row>
    <row r="27" spans="1:26" s="5" customFormat="1">
      <c r="A27" s="403" t="str">
        <f>'1-συμβολαια'!A27</f>
        <v>14ο</v>
      </c>
      <c r="B27" s="424" t="str">
        <f>'1-συμβολαια'!C27</f>
        <v>κληρονομιάς ΑΠΟΔΟΧΗ</v>
      </c>
      <c r="C27" s="322">
        <f>'1-συμβολαια'!D27</f>
        <v>0</v>
      </c>
      <c r="D27" s="318">
        <v>29.35</v>
      </c>
      <c r="E27" s="318"/>
      <c r="F27" s="318"/>
      <c r="G27" s="318"/>
      <c r="H27" s="318">
        <f t="shared" si="9"/>
        <v>29.35</v>
      </c>
      <c r="I27" s="318">
        <f t="shared" si="10"/>
        <v>0</v>
      </c>
      <c r="J27" s="318">
        <f t="shared" si="11"/>
        <v>1.4675000000000002</v>
      </c>
      <c r="K27" s="318">
        <f t="shared" si="12"/>
        <v>1.4675000000000002</v>
      </c>
      <c r="L27" s="322">
        <f t="shared" si="13"/>
        <v>0.29350000000000004</v>
      </c>
      <c r="M27" s="322">
        <f t="shared" si="14"/>
        <v>26.121500000000001</v>
      </c>
      <c r="N27" s="322">
        <f t="shared" si="15"/>
        <v>29.35</v>
      </c>
      <c r="O27" s="322">
        <f t="shared" si="16"/>
        <v>3.2285000000000004</v>
      </c>
      <c r="P27" s="328"/>
      <c r="Q27" s="328"/>
      <c r="R27" s="328"/>
      <c r="S27" s="328"/>
      <c r="T27" s="328"/>
      <c r="U27" s="328"/>
      <c r="V27" s="328"/>
      <c r="W27" s="263"/>
      <c r="X27" s="263"/>
      <c r="Y27" s="263"/>
      <c r="Z27" s="263"/>
    </row>
    <row r="28" spans="1:26" s="5" customFormat="1">
      <c r="A28" s="423">
        <f>'1-συμβολαια'!A28</f>
        <v>0</v>
      </c>
      <c r="B28" s="327" t="str">
        <f>'1-συμβολαια'!C28</f>
        <v>ΧΡΗΣΙΚΤΗΣΙΑ οικοπέδου &amp; οικοδομής = 1935 πατρός ΚΛΗΡΟΝΟΜΙΑ άτυπη</v>
      </c>
      <c r="C28" s="322">
        <f>'1-συμβολαια'!D28</f>
        <v>1111.1099999999999</v>
      </c>
      <c r="D28" s="317"/>
      <c r="E28" s="317">
        <v>2.93</v>
      </c>
      <c r="F28" s="317">
        <v>10.56</v>
      </c>
      <c r="G28" s="318">
        <f t="shared" si="8"/>
        <v>9.4492799999999981</v>
      </c>
      <c r="H28" s="317">
        <f t="shared" si="9"/>
        <v>22.939279999999997</v>
      </c>
      <c r="I28" s="317">
        <f t="shared" si="10"/>
        <v>1.8008351999999996</v>
      </c>
      <c r="J28" s="317">
        <f t="shared" si="11"/>
        <v>0.14650000000000002</v>
      </c>
      <c r="K28" s="317">
        <f t="shared" si="12"/>
        <v>1.1469639999999999</v>
      </c>
      <c r="L28" s="316">
        <f t="shared" si="13"/>
        <v>0.22939279999999998</v>
      </c>
      <c r="M28" s="316">
        <f t="shared" si="14"/>
        <v>19.615587999999995</v>
      </c>
      <c r="N28" s="316">
        <f t="shared" si="15"/>
        <v>2.93</v>
      </c>
      <c r="O28" s="316">
        <f t="shared" si="16"/>
        <v>3.3236919999999994</v>
      </c>
      <c r="P28" s="328"/>
      <c r="Q28" s="328" t="s">
        <v>391</v>
      </c>
      <c r="R28" s="328" t="s">
        <v>392</v>
      </c>
      <c r="S28" s="328" t="s">
        <v>393</v>
      </c>
      <c r="T28" s="328"/>
      <c r="U28" s="328"/>
      <c r="V28" s="328"/>
      <c r="W28" s="263"/>
      <c r="X28" s="263"/>
      <c r="Y28" s="263"/>
      <c r="Z28" s="263"/>
    </row>
    <row r="29" spans="1:26" s="5" customFormat="1">
      <c r="A29" s="423">
        <f>'1-συμβολαια'!A29</f>
        <v>0</v>
      </c>
      <c r="B29" s="327" t="str">
        <f>'1-συμβολαια'!C29</f>
        <v>ΧΡΗΣΙΚΤΗΣΙΑ οικοπέδων 2'-3' = 1992 αδερφού ΚΛΗΡΟΝΟΜΙΑ άτυπη</v>
      </c>
      <c r="C29" s="322">
        <f>'1-συμβολαια'!D29</f>
        <v>1111.1099999999999</v>
      </c>
      <c r="D29" s="317"/>
      <c r="E29" s="317">
        <v>2.93</v>
      </c>
      <c r="F29" s="317">
        <v>10.56</v>
      </c>
      <c r="G29" s="318">
        <f t="shared" si="8"/>
        <v>9.4492799999999981</v>
      </c>
      <c r="H29" s="317">
        <f t="shared" si="9"/>
        <v>22.939279999999997</v>
      </c>
      <c r="I29" s="317">
        <f t="shared" si="10"/>
        <v>1.8008351999999996</v>
      </c>
      <c r="J29" s="317">
        <f t="shared" si="11"/>
        <v>0.14650000000000002</v>
      </c>
      <c r="K29" s="317">
        <f t="shared" si="12"/>
        <v>1.1469639999999999</v>
      </c>
      <c r="L29" s="316">
        <f t="shared" si="13"/>
        <v>0.22939279999999998</v>
      </c>
      <c r="M29" s="316">
        <f t="shared" si="14"/>
        <v>19.615587999999995</v>
      </c>
      <c r="N29" s="316">
        <f t="shared" si="15"/>
        <v>2.93</v>
      </c>
      <c r="O29" s="316">
        <f t="shared" si="16"/>
        <v>3.3236919999999994</v>
      </c>
      <c r="P29" s="328"/>
      <c r="Q29" s="328" t="s">
        <v>391</v>
      </c>
      <c r="R29" s="328" t="s">
        <v>392</v>
      </c>
      <c r="S29" s="328" t="s">
        <v>393</v>
      </c>
      <c r="T29" s="328"/>
      <c r="U29" s="328"/>
      <c r="V29" s="328"/>
      <c r="W29" s="263"/>
      <c r="X29" s="263"/>
      <c r="Y29" s="263"/>
      <c r="Z29" s="263"/>
    </row>
    <row r="30" spans="1:26" s="5" customFormat="1">
      <c r="A30" s="423">
        <f>'1-συμβολαια'!A30</f>
        <v>0</v>
      </c>
      <c r="B30" s="327" t="str">
        <f>'1-συμβολαια'!C30</f>
        <v>ΧΡΗΣΙΚΤΗΣΙΑ αγροτεμαχίου 9' = 1968 μητρός ΚΛΗΡΟΝΟΜΙΑ άτυπη</v>
      </c>
      <c r="C30" s="322">
        <f>'1-συμβολαια'!D30</f>
        <v>111.11</v>
      </c>
      <c r="D30" s="317"/>
      <c r="E30" s="317">
        <v>2.93</v>
      </c>
      <c r="F30" s="317">
        <v>10.56</v>
      </c>
      <c r="G30" s="318"/>
      <c r="H30" s="317">
        <f t="shared" ref="H30:H36" si="17">D30+E30+F30+G30</f>
        <v>13.49</v>
      </c>
      <c r="I30" s="317">
        <f t="shared" ref="I30:I36" si="18">(F30+G30)*9%</f>
        <v>0.95040000000000002</v>
      </c>
      <c r="J30" s="317">
        <f t="shared" ref="J30:J36" si="19">(D30+E30)*5%</f>
        <v>0.14650000000000002</v>
      </c>
      <c r="K30" s="317">
        <f t="shared" ref="K30:K36" si="20">H30*5%</f>
        <v>0.6745000000000001</v>
      </c>
      <c r="L30" s="316">
        <f t="shared" ref="L30:L36" si="21">H30*1%</f>
        <v>0.13489999999999999</v>
      </c>
      <c r="M30" s="316">
        <f t="shared" ref="M30:M36" si="22">H30-O30</f>
        <v>11.5837</v>
      </c>
      <c r="N30" s="316">
        <f t="shared" ref="N30:N36" si="23">D30+E30</f>
        <v>2.93</v>
      </c>
      <c r="O30" s="316">
        <f t="shared" ref="O30:O36" si="24">I30+J30+K30+L30</f>
        <v>1.9063000000000001</v>
      </c>
      <c r="P30" s="328"/>
      <c r="Q30" s="328" t="s">
        <v>391</v>
      </c>
      <c r="R30" s="328" t="s">
        <v>392</v>
      </c>
      <c r="S30" s="328" t="s">
        <v>393</v>
      </c>
      <c r="T30" s="328"/>
      <c r="U30" s="328"/>
      <c r="V30" s="328"/>
      <c r="W30" s="263"/>
      <c r="X30" s="263"/>
      <c r="Y30" s="263"/>
      <c r="Z30" s="263"/>
    </row>
    <row r="31" spans="1:26" s="5" customFormat="1">
      <c r="A31" s="423">
        <f>'1-συμβολαια'!A31</f>
        <v>0</v>
      </c>
      <c r="B31" s="327" t="str">
        <f>'1-συμβολαια'!C31</f>
        <v>ΧΡΗΣΙΚΤΗΣΙΑ οικοπέδου 4' = 19?? ΑΓΟΡΑΠΩΛΗΣΙΑ άτυπη</v>
      </c>
      <c r="C31" s="322">
        <f>'1-συμβολαια'!D31</f>
        <v>111.11</v>
      </c>
      <c r="D31" s="317"/>
      <c r="E31" s="317">
        <v>2.93</v>
      </c>
      <c r="F31" s="317">
        <v>10.56</v>
      </c>
      <c r="G31" s="318"/>
      <c r="H31" s="317">
        <f t="shared" si="17"/>
        <v>13.49</v>
      </c>
      <c r="I31" s="317">
        <f t="shared" si="18"/>
        <v>0.95040000000000002</v>
      </c>
      <c r="J31" s="317">
        <f t="shared" si="19"/>
        <v>0.14650000000000002</v>
      </c>
      <c r="K31" s="317">
        <f t="shared" si="20"/>
        <v>0.6745000000000001</v>
      </c>
      <c r="L31" s="316">
        <f t="shared" si="21"/>
        <v>0.13489999999999999</v>
      </c>
      <c r="M31" s="316">
        <f t="shared" si="22"/>
        <v>11.5837</v>
      </c>
      <c r="N31" s="316">
        <f t="shared" si="23"/>
        <v>2.93</v>
      </c>
      <c r="O31" s="316">
        <f t="shared" si="24"/>
        <v>1.9063000000000001</v>
      </c>
      <c r="P31" s="328"/>
      <c r="Q31" s="328" t="s">
        <v>391</v>
      </c>
      <c r="R31" s="328" t="s">
        <v>392</v>
      </c>
      <c r="S31" s="328" t="s">
        <v>393</v>
      </c>
      <c r="T31" s="328"/>
      <c r="U31" s="328"/>
      <c r="V31" s="328"/>
      <c r="W31" s="263"/>
      <c r="X31" s="263"/>
      <c r="Y31" s="263"/>
      <c r="Z31" s="263"/>
    </row>
    <row r="32" spans="1:26" s="5" customFormat="1" ht="12" thickBot="1">
      <c r="A32" s="406">
        <f>'1-συμβολαια'!A32</f>
        <v>0</v>
      </c>
      <c r="B32" s="425" t="str">
        <f>'1-συμβολαια'!C32</f>
        <v>ΧΡΗΣΙΚΤΗΣΙΑ αγροτεμαχίου 8' = 19??? ΑΓΟΡΑΠΩΛΗΣΙΑ άτυπη</v>
      </c>
      <c r="C32" s="414">
        <f>'1-συμβολαια'!D32</f>
        <v>1111.1099999999999</v>
      </c>
      <c r="D32" s="438"/>
      <c r="E32" s="438">
        <v>2.93</v>
      </c>
      <c r="F32" s="438">
        <v>10.56</v>
      </c>
      <c r="G32" s="438">
        <f t="shared" si="8"/>
        <v>9.4492799999999981</v>
      </c>
      <c r="H32" s="438">
        <f t="shared" si="17"/>
        <v>22.939279999999997</v>
      </c>
      <c r="I32" s="438">
        <f t="shared" si="18"/>
        <v>1.8008351999999996</v>
      </c>
      <c r="J32" s="438">
        <f t="shared" si="19"/>
        <v>0.14650000000000002</v>
      </c>
      <c r="K32" s="438">
        <f t="shared" si="20"/>
        <v>1.1469639999999999</v>
      </c>
      <c r="L32" s="414">
        <f t="shared" si="21"/>
        <v>0.22939279999999998</v>
      </c>
      <c r="M32" s="414">
        <f t="shared" si="22"/>
        <v>19.615587999999995</v>
      </c>
      <c r="N32" s="414">
        <f t="shared" si="23"/>
        <v>2.93</v>
      </c>
      <c r="O32" s="414">
        <f t="shared" si="24"/>
        <v>3.3236919999999994</v>
      </c>
      <c r="P32" s="328"/>
      <c r="Q32" s="328" t="s">
        <v>391</v>
      </c>
      <c r="R32" s="328" t="s">
        <v>392</v>
      </c>
      <c r="S32" s="328" t="s">
        <v>393</v>
      </c>
      <c r="T32" s="328"/>
      <c r="U32" s="328"/>
      <c r="V32" s="328"/>
      <c r="W32" s="263"/>
      <c r="X32" s="263"/>
      <c r="Y32" s="263"/>
      <c r="Z32" s="263"/>
    </row>
    <row r="33" spans="1:26" s="5" customFormat="1">
      <c r="A33" s="381" t="str">
        <f>'1-συμβολαια'!A33</f>
        <v>15ο</v>
      </c>
      <c r="B33" s="424" t="str">
        <f>'1-συμβολαια'!C33</f>
        <v>αγοραπωλησία τίμημα = Δ.Ο.Υ. =</v>
      </c>
      <c r="C33" s="322">
        <f>'1-συμβολαια'!D33</f>
        <v>8237.2199999999993</v>
      </c>
      <c r="D33" s="318"/>
      <c r="E33" s="318">
        <v>2.93</v>
      </c>
      <c r="F33" s="318">
        <v>10.56</v>
      </c>
      <c r="G33" s="318">
        <f t="shared" si="8"/>
        <v>94.962599999999995</v>
      </c>
      <c r="H33" s="318">
        <f t="shared" si="17"/>
        <v>108.45259999999999</v>
      </c>
      <c r="I33" s="318">
        <f t="shared" si="18"/>
        <v>9.4970339999999993</v>
      </c>
      <c r="J33" s="318">
        <f t="shared" si="19"/>
        <v>0.14650000000000002</v>
      </c>
      <c r="K33" s="318">
        <f t="shared" si="20"/>
        <v>5.4226299999999998</v>
      </c>
      <c r="L33" s="322">
        <f t="shared" si="21"/>
        <v>1.0845259999999999</v>
      </c>
      <c r="M33" s="322">
        <f t="shared" si="22"/>
        <v>92.301909999999992</v>
      </c>
      <c r="N33" s="322">
        <f t="shared" si="23"/>
        <v>2.93</v>
      </c>
      <c r="O33" s="322">
        <f t="shared" si="24"/>
        <v>16.150689999999997</v>
      </c>
      <c r="P33" s="328"/>
      <c r="Q33" s="328" t="s">
        <v>391</v>
      </c>
      <c r="R33" s="328"/>
      <c r="S33" s="328" t="s">
        <v>393</v>
      </c>
      <c r="T33" s="328"/>
      <c r="U33" s="328"/>
      <c r="V33" s="328"/>
      <c r="W33" s="263"/>
      <c r="X33" s="263"/>
      <c r="Y33" s="263"/>
      <c r="Z33" s="263"/>
    </row>
    <row r="34" spans="1:26" s="5" customFormat="1">
      <c r="A34" s="383" t="str">
        <f>'1-συμβολαια'!A34</f>
        <v>16ο</v>
      </c>
      <c r="B34" s="327" t="str">
        <f>'1-συμβολαια'!C34</f>
        <v>πληρεξούσιο</v>
      </c>
      <c r="C34" s="322">
        <f>'1-συμβολαια'!D34</f>
        <v>0</v>
      </c>
      <c r="D34" s="317">
        <v>8.8000000000000007</v>
      </c>
      <c r="E34" s="317"/>
      <c r="F34" s="317"/>
      <c r="G34" s="318"/>
      <c r="H34" s="317">
        <f t="shared" si="17"/>
        <v>8.8000000000000007</v>
      </c>
      <c r="I34" s="317">
        <f t="shared" si="18"/>
        <v>0</v>
      </c>
      <c r="J34" s="317">
        <f t="shared" si="19"/>
        <v>0.44000000000000006</v>
      </c>
      <c r="K34" s="317">
        <f t="shared" si="20"/>
        <v>0.44000000000000006</v>
      </c>
      <c r="L34" s="316">
        <f t="shared" si="21"/>
        <v>8.8000000000000009E-2</v>
      </c>
      <c r="M34" s="316">
        <f t="shared" si="22"/>
        <v>7.8320000000000007</v>
      </c>
      <c r="N34" s="316">
        <f t="shared" si="23"/>
        <v>8.8000000000000007</v>
      </c>
      <c r="O34" s="316">
        <f t="shared" si="24"/>
        <v>0.96800000000000008</v>
      </c>
      <c r="P34" s="328"/>
      <c r="Q34" s="328"/>
      <c r="R34" s="328"/>
      <c r="S34" s="328"/>
      <c r="T34" s="328"/>
      <c r="U34" s="328"/>
      <c r="V34" s="328"/>
      <c r="W34" s="263"/>
      <c r="X34" s="263"/>
      <c r="Y34" s="263"/>
      <c r="Z34" s="263"/>
    </row>
    <row r="35" spans="1:26" s="5" customFormat="1" ht="12" thickBot="1">
      <c r="A35" s="489" t="str">
        <f>'1-συμβολαια'!A35</f>
        <v>17ο</v>
      </c>
      <c r="B35" s="425" t="str">
        <f>'1-συμβολαια'!C35</f>
        <v>πληρεξούσιο</v>
      </c>
      <c r="C35" s="414">
        <f>'1-συμβολαια'!D35</f>
        <v>0</v>
      </c>
      <c r="D35" s="438">
        <v>8.8000000000000007</v>
      </c>
      <c r="E35" s="438"/>
      <c r="F35" s="438"/>
      <c r="G35" s="438"/>
      <c r="H35" s="438">
        <f t="shared" si="17"/>
        <v>8.8000000000000007</v>
      </c>
      <c r="I35" s="438">
        <f t="shared" si="18"/>
        <v>0</v>
      </c>
      <c r="J35" s="438">
        <f t="shared" si="19"/>
        <v>0.44000000000000006</v>
      </c>
      <c r="K35" s="438">
        <f t="shared" si="20"/>
        <v>0.44000000000000006</v>
      </c>
      <c r="L35" s="414">
        <f t="shared" si="21"/>
        <v>8.8000000000000009E-2</v>
      </c>
      <c r="M35" s="414">
        <f t="shared" si="22"/>
        <v>7.8320000000000007</v>
      </c>
      <c r="N35" s="414">
        <f t="shared" si="23"/>
        <v>8.8000000000000007</v>
      </c>
      <c r="O35" s="414">
        <f t="shared" si="24"/>
        <v>0.96800000000000008</v>
      </c>
      <c r="P35" s="328"/>
      <c r="Q35" s="328"/>
      <c r="R35" s="328"/>
      <c r="S35" s="328"/>
      <c r="T35" s="328"/>
      <c r="U35" s="328"/>
      <c r="V35" s="328"/>
      <c r="W35" s="263"/>
      <c r="X35" s="263"/>
      <c r="Y35" s="263"/>
      <c r="Z35" s="263"/>
    </row>
    <row r="36" spans="1:26" s="5" customFormat="1">
      <c r="A36" s="403" t="str">
        <f>'1-συμβολαια'!A36</f>
        <v>18ο</v>
      </c>
      <c r="B36" s="424" t="str">
        <f>'1-συμβολαια'!C36</f>
        <v>αποδοχή κληρονομιάς</v>
      </c>
      <c r="C36" s="322">
        <f>'1-συμβολαια'!D36</f>
        <v>0</v>
      </c>
      <c r="D36" s="318">
        <v>29.35</v>
      </c>
      <c r="E36" s="318"/>
      <c r="F36" s="318"/>
      <c r="G36" s="318"/>
      <c r="H36" s="318">
        <f t="shared" si="17"/>
        <v>29.35</v>
      </c>
      <c r="I36" s="318">
        <f t="shared" si="18"/>
        <v>0</v>
      </c>
      <c r="J36" s="318">
        <f t="shared" si="19"/>
        <v>1.4675000000000002</v>
      </c>
      <c r="K36" s="318">
        <f t="shared" si="20"/>
        <v>1.4675000000000002</v>
      </c>
      <c r="L36" s="322">
        <f t="shared" si="21"/>
        <v>0.29350000000000004</v>
      </c>
      <c r="M36" s="322">
        <f t="shared" si="22"/>
        <v>26.121500000000001</v>
      </c>
      <c r="N36" s="322">
        <f t="shared" si="23"/>
        <v>29.35</v>
      </c>
      <c r="O36" s="322">
        <f t="shared" si="24"/>
        <v>3.2285000000000004</v>
      </c>
      <c r="P36" s="328"/>
      <c r="Q36" s="328"/>
      <c r="R36" s="328"/>
      <c r="S36" s="328"/>
      <c r="T36" s="328"/>
      <c r="U36" s="328"/>
      <c r="V36" s="328"/>
      <c r="W36" s="263"/>
      <c r="X36" s="263"/>
      <c r="Y36" s="263"/>
      <c r="Z36" s="263"/>
    </row>
    <row r="37" spans="1:26" s="5" customFormat="1">
      <c r="A37" s="423">
        <f>'1-συμβολαια'!A37</f>
        <v>0</v>
      </c>
      <c r="B37" s="327" t="str">
        <f>'1-συμβολαια'!C37</f>
        <v>ΧΡΗΣΙΚΤΗΣΙΑ  αγροτεμαχίου -1 = αναδασμός ΑΛΛΑ πριν ΑΓΟΡΑΠΩΛΗΣΙΑ άτυπος από ;;;??? το 19???</v>
      </c>
      <c r="C37" s="322">
        <f>'1-συμβολαια'!D37</f>
        <v>3333.33</v>
      </c>
      <c r="D37" s="317"/>
      <c r="E37" s="317">
        <v>2.93</v>
      </c>
      <c r="F37" s="317">
        <v>10.56</v>
      </c>
      <c r="G37" s="318">
        <f t="shared" ref="G37:G42" si="25">(C37-323.67)*1.2%</f>
        <v>36.115919999999996</v>
      </c>
      <c r="H37" s="317">
        <f t="shared" ref="H37:H39" si="26">D37+E37+F37+G37</f>
        <v>49.605919999999998</v>
      </c>
      <c r="I37" s="317">
        <f t="shared" ref="I37:I39" si="27">(F37+G37)*9%</f>
        <v>4.2008327999999997</v>
      </c>
      <c r="J37" s="317">
        <f t="shared" ref="J37:J39" si="28">(D37+E37)*5%</f>
        <v>0.14650000000000002</v>
      </c>
      <c r="K37" s="317">
        <f t="shared" ref="K37:K39" si="29">H37*5%</f>
        <v>2.4802960000000001</v>
      </c>
      <c r="L37" s="316">
        <f t="shared" ref="L37:L39" si="30">H37*1%</f>
        <v>0.49605919999999998</v>
      </c>
      <c r="M37" s="316">
        <f t="shared" ref="M37:M39" si="31">H37-O37</f>
        <v>42.282232</v>
      </c>
      <c r="N37" s="316">
        <f t="shared" ref="N37:N39" si="32">D37+E37</f>
        <v>2.93</v>
      </c>
      <c r="O37" s="316">
        <f t="shared" ref="O37:O39" si="33">I37+J37+K37+L37</f>
        <v>7.3236879999999998</v>
      </c>
      <c r="P37" s="328"/>
      <c r="Q37" s="328" t="s">
        <v>391</v>
      </c>
      <c r="R37" s="328" t="s">
        <v>392</v>
      </c>
      <c r="S37" s="328" t="s">
        <v>393</v>
      </c>
      <c r="T37" s="328"/>
      <c r="U37" s="328"/>
      <c r="V37" s="328"/>
      <c r="W37" s="263"/>
      <c r="X37" s="263"/>
      <c r="Y37" s="263"/>
      <c r="Z37" s="263"/>
    </row>
    <row r="38" spans="1:26" s="5" customFormat="1">
      <c r="A38" s="423">
        <f>'1-συμβολαια'!A38</f>
        <v>0</v>
      </c>
      <c r="B38" s="327" t="str">
        <f>'1-συμβολαια'!C38</f>
        <v>ΧΡΗΣΙΚΤΗΣΙΑ  οικοπέδου -2 = 19?? ως αγροτεμάχιο με ΑΝΑΔΑΣΜΟ</v>
      </c>
      <c r="C38" s="316">
        <f>'1-συμβολαια'!D38</f>
        <v>33333.33</v>
      </c>
      <c r="D38" s="317"/>
      <c r="E38" s="317">
        <v>2.93</v>
      </c>
      <c r="F38" s="317">
        <v>10.56</v>
      </c>
      <c r="G38" s="318">
        <f t="shared" si="25"/>
        <v>396.11592000000007</v>
      </c>
      <c r="H38" s="317">
        <f t="shared" si="26"/>
        <v>409.60592000000008</v>
      </c>
      <c r="I38" s="317">
        <f t="shared" si="27"/>
        <v>36.600832800000006</v>
      </c>
      <c r="J38" s="317">
        <f t="shared" si="28"/>
        <v>0.14650000000000002</v>
      </c>
      <c r="K38" s="317">
        <f t="shared" si="29"/>
        <v>20.480296000000006</v>
      </c>
      <c r="L38" s="316">
        <f t="shared" si="30"/>
        <v>4.0960592000000009</v>
      </c>
      <c r="M38" s="316">
        <f t="shared" si="31"/>
        <v>348.28223200000008</v>
      </c>
      <c r="N38" s="316">
        <f t="shared" si="32"/>
        <v>2.93</v>
      </c>
      <c r="O38" s="316">
        <f t="shared" si="33"/>
        <v>61.323688000000018</v>
      </c>
      <c r="P38" s="328"/>
      <c r="Q38" s="328" t="s">
        <v>391</v>
      </c>
      <c r="R38" s="328" t="s">
        <v>392</v>
      </c>
      <c r="S38" s="328" t="s">
        <v>393</v>
      </c>
      <c r="T38" s="328"/>
      <c r="U38" s="328"/>
      <c r="V38" s="328"/>
      <c r="W38" s="263"/>
      <c r="X38" s="263"/>
      <c r="Y38" s="263"/>
      <c r="Z38" s="263"/>
    </row>
    <row r="39" spans="1:26" s="5" customFormat="1" ht="12" thickBot="1">
      <c r="A39" s="406">
        <f>'1-συμβολαια'!A39</f>
        <v>0</v>
      </c>
      <c r="B39" s="425" t="str">
        <f>'1-συμβολαια'!C39</f>
        <v>ΧΡΗΣΙΚΤΗΣΙΑ  οικοπέδου -4 = 19?? ;;;???</v>
      </c>
      <c r="C39" s="491">
        <f>'1-συμβολαια'!D39</f>
        <v>11111.11</v>
      </c>
      <c r="D39" s="438"/>
      <c r="E39" s="438">
        <v>2.93</v>
      </c>
      <c r="F39" s="438">
        <v>10.56</v>
      </c>
      <c r="G39" s="438">
        <f t="shared" si="25"/>
        <v>129.44928000000002</v>
      </c>
      <c r="H39" s="438">
        <f t="shared" si="26"/>
        <v>142.93928000000002</v>
      </c>
      <c r="I39" s="438">
        <f t="shared" si="27"/>
        <v>12.600835200000001</v>
      </c>
      <c r="J39" s="438">
        <f t="shared" si="28"/>
        <v>0.14650000000000002</v>
      </c>
      <c r="K39" s="438">
        <f t="shared" si="29"/>
        <v>7.1469640000000014</v>
      </c>
      <c r="L39" s="414">
        <f t="shared" si="30"/>
        <v>1.4293928000000002</v>
      </c>
      <c r="M39" s="414">
        <f t="shared" si="31"/>
        <v>121.61558800000003</v>
      </c>
      <c r="N39" s="414">
        <f t="shared" si="32"/>
        <v>2.93</v>
      </c>
      <c r="O39" s="414">
        <f t="shared" si="33"/>
        <v>21.323692000000001</v>
      </c>
      <c r="P39" s="328"/>
      <c r="Q39" s="328" t="s">
        <v>391</v>
      </c>
      <c r="R39" s="328" t="s">
        <v>392</v>
      </c>
      <c r="S39" s="328" t="s">
        <v>393</v>
      </c>
      <c r="T39" s="328"/>
      <c r="U39" s="328"/>
      <c r="V39" s="328"/>
      <c r="W39" s="263"/>
      <c r="X39" s="263"/>
      <c r="Y39" s="263"/>
      <c r="Z39" s="263"/>
    </row>
    <row r="40" spans="1:26" s="5" customFormat="1" ht="12" thickBot="1">
      <c r="A40" s="506" t="str">
        <f>'1-συμβολαια'!A40</f>
        <v>19ο</v>
      </c>
      <c r="B40" s="512" t="str">
        <f>'1-συμβολαια'!C40</f>
        <v>*γονική ΨΙΛΗΣ ΚΥΡΙΟΤΗΤΑΣ</v>
      </c>
      <c r="C40" s="509">
        <f>'1-συμβολαια'!D40</f>
        <v>18629.93</v>
      </c>
      <c r="D40" s="510"/>
      <c r="E40" s="510">
        <v>2.93</v>
      </c>
      <c r="F40" s="510">
        <v>10.56</v>
      </c>
      <c r="G40" s="510">
        <f t="shared" si="25"/>
        <v>219.67512000000002</v>
      </c>
      <c r="H40" s="510">
        <f t="shared" ref="H40:H42" si="34">D40+E40+F40+G40</f>
        <v>233.16512000000003</v>
      </c>
      <c r="I40" s="510">
        <f t="shared" ref="I40:I42" si="35">(F40+G40)*9%</f>
        <v>20.7211608</v>
      </c>
      <c r="J40" s="510">
        <f t="shared" ref="J40:J42" si="36">(D40+E40)*5%</f>
        <v>0.14650000000000002</v>
      </c>
      <c r="K40" s="510">
        <f t="shared" ref="K40:K42" si="37">H40*5%</f>
        <v>11.658256000000002</v>
      </c>
      <c r="L40" s="509">
        <f t="shared" ref="L40:L42" si="38">H40*1%</f>
        <v>2.3316512000000005</v>
      </c>
      <c r="M40" s="509">
        <f t="shared" ref="M40:M42" si="39">H40-O40</f>
        <v>198.30755200000002</v>
      </c>
      <c r="N40" s="509">
        <f t="shared" ref="N40:N42" si="40">D40+E40</f>
        <v>2.93</v>
      </c>
      <c r="O40" s="509">
        <f t="shared" ref="O40:O42" si="41">I40+J40+K40+L40</f>
        <v>34.857568000000008</v>
      </c>
      <c r="P40" s="328"/>
      <c r="Q40" s="328" t="s">
        <v>391</v>
      </c>
      <c r="R40" s="328"/>
      <c r="S40" s="328"/>
      <c r="T40" s="328"/>
      <c r="U40" s="328"/>
      <c r="V40" s="328"/>
      <c r="W40" s="263"/>
      <c r="X40" s="263"/>
      <c r="Y40" s="263"/>
      <c r="Z40" s="263"/>
    </row>
    <row r="41" spans="1:26" s="5" customFormat="1">
      <c r="A41" s="403" t="str">
        <f>'1-συμβολαια'!A41</f>
        <v>20ο</v>
      </c>
      <c r="B41" s="424" t="str">
        <f>'1-συμβολαια'!C41</f>
        <v>δωρεά</v>
      </c>
      <c r="C41" s="322">
        <f>'1-συμβολαια'!D41</f>
        <v>26827.1</v>
      </c>
      <c r="D41" s="318"/>
      <c r="E41" s="318">
        <v>2.93</v>
      </c>
      <c r="F41" s="318">
        <v>10.56</v>
      </c>
      <c r="G41" s="318">
        <f t="shared" ref="G41" si="42">(C41-323.67)*1.2%</f>
        <v>318.04115999999999</v>
      </c>
      <c r="H41" s="318">
        <f t="shared" ref="H41" si="43">D41+E41+F41+G41</f>
        <v>331.53116</v>
      </c>
      <c r="I41" s="318">
        <f t="shared" ref="I41" si="44">(F41+G41)*9%</f>
        <v>29.5741044</v>
      </c>
      <c r="J41" s="318">
        <f t="shared" ref="J41" si="45">(D41+E41)*5%</f>
        <v>0.14650000000000002</v>
      </c>
      <c r="K41" s="318">
        <f t="shared" ref="K41" si="46">H41*5%</f>
        <v>16.576558000000002</v>
      </c>
      <c r="L41" s="322">
        <f t="shared" ref="L41" si="47">H41*1%</f>
        <v>3.3153116000000002</v>
      </c>
      <c r="M41" s="322">
        <f t="shared" ref="M41" si="48">H41-O41</f>
        <v>281.91868599999998</v>
      </c>
      <c r="N41" s="322">
        <f t="shared" ref="N41" si="49">D41+E41</f>
        <v>2.93</v>
      </c>
      <c r="O41" s="322">
        <f t="shared" ref="O41" si="50">I41+J41+K41+L41</f>
        <v>49.612474000000006</v>
      </c>
      <c r="P41" s="328"/>
      <c r="Q41" s="328" t="s">
        <v>391</v>
      </c>
      <c r="R41" s="328"/>
      <c r="S41" s="328"/>
      <c r="T41" s="328"/>
      <c r="U41" s="328"/>
      <c r="V41" s="328"/>
      <c r="W41" s="263"/>
      <c r="X41" s="263"/>
      <c r="Y41" s="263"/>
      <c r="Z41" s="263"/>
    </row>
    <row r="42" spans="1:26" s="5" customFormat="1" ht="12" thickBot="1">
      <c r="A42" s="406">
        <f>'1-συμβολαια'!A42</f>
        <v>0</v>
      </c>
      <c r="B42" s="425" t="str">
        <f>'1-συμβολαια'!C42</f>
        <v>χρησικτησία 1/2 οικοπέδου &amp; οικίας = συζυγου 1972 ΔΩΡΕΑ άτυπος</v>
      </c>
      <c r="C42" s="414">
        <f>'1-συμβολαια'!D42</f>
        <v>11206.2</v>
      </c>
      <c r="D42" s="438"/>
      <c r="E42" s="438">
        <v>2.93</v>
      </c>
      <c r="F42" s="438">
        <v>10.56</v>
      </c>
      <c r="G42" s="438">
        <f t="shared" si="25"/>
        <v>130.59036</v>
      </c>
      <c r="H42" s="438">
        <f t="shared" si="34"/>
        <v>144.08036000000001</v>
      </c>
      <c r="I42" s="438">
        <f t="shared" si="35"/>
        <v>12.7035324</v>
      </c>
      <c r="J42" s="438">
        <f t="shared" si="36"/>
        <v>0.14650000000000002</v>
      </c>
      <c r="K42" s="438">
        <f t="shared" si="37"/>
        <v>7.2040180000000014</v>
      </c>
      <c r="L42" s="414">
        <f t="shared" si="38"/>
        <v>1.4408036000000002</v>
      </c>
      <c r="M42" s="414">
        <f t="shared" si="39"/>
        <v>122.58550600000001</v>
      </c>
      <c r="N42" s="414">
        <f t="shared" si="40"/>
        <v>2.93</v>
      </c>
      <c r="O42" s="414">
        <f t="shared" si="41"/>
        <v>21.494854</v>
      </c>
      <c r="P42" s="328"/>
      <c r="Q42" s="328" t="s">
        <v>391</v>
      </c>
      <c r="R42" s="328" t="s">
        <v>392</v>
      </c>
      <c r="S42" s="328" t="s">
        <v>393</v>
      </c>
      <c r="T42" s="328"/>
      <c r="U42" s="328"/>
      <c r="V42" s="328"/>
      <c r="W42" s="263"/>
      <c r="X42" s="263"/>
      <c r="Y42" s="263"/>
      <c r="Z42" s="263"/>
    </row>
    <row r="43" spans="1:26">
      <c r="A43" s="709" t="s">
        <v>56</v>
      </c>
      <c r="B43" s="685"/>
      <c r="C43" s="685"/>
      <c r="D43" s="367">
        <f t="shared" ref="D43:O43" si="51">SUM(D3:D42)</f>
        <v>193.70000000000002</v>
      </c>
      <c r="E43" s="367">
        <f t="shared" si="51"/>
        <v>93.760000000000076</v>
      </c>
      <c r="F43" s="367">
        <f t="shared" si="51"/>
        <v>337.92</v>
      </c>
      <c r="G43" s="367">
        <f t="shared" si="51"/>
        <v>1466.68956</v>
      </c>
      <c r="H43" s="367">
        <f t="shared" si="51"/>
        <v>2092.0695600000004</v>
      </c>
      <c r="I43" s="367">
        <f t="shared" si="51"/>
        <v>162.41486040000001</v>
      </c>
      <c r="J43" s="367">
        <f t="shared" si="51"/>
        <v>14.372999999999994</v>
      </c>
      <c r="K43" s="367">
        <f t="shared" si="51"/>
        <v>104.60347800000004</v>
      </c>
      <c r="L43" s="367">
        <f t="shared" si="51"/>
        <v>20.920695600000002</v>
      </c>
      <c r="M43" s="367">
        <f t="shared" si="51"/>
        <v>1789.7575260000003</v>
      </c>
      <c r="N43" s="367">
        <f t="shared" si="51"/>
        <v>287.46000000000021</v>
      </c>
      <c r="O43" s="367">
        <f t="shared" si="51"/>
        <v>302.31203400000004</v>
      </c>
    </row>
    <row r="44" spans="1:26">
      <c r="J44" s="281"/>
      <c r="K44" s="160"/>
      <c r="L44" s="8"/>
      <c r="P44" s="147" t="s">
        <v>381</v>
      </c>
      <c r="Q44" s="120"/>
      <c r="R44" s="120"/>
      <c r="S44" s="120"/>
      <c r="T44" s="120"/>
      <c r="U44" s="120"/>
      <c r="V44" s="120"/>
      <c r="W44" s="120"/>
      <c r="X44" s="120"/>
      <c r="Y44" s="120"/>
    </row>
    <row r="45" spans="1:26">
      <c r="I45" s="160"/>
      <c r="J45" s="160"/>
      <c r="K45" s="160"/>
      <c r="L45" s="8"/>
      <c r="P45" s="126"/>
      <c r="Q45" s="147" t="s">
        <v>382</v>
      </c>
      <c r="R45" s="120"/>
      <c r="S45" s="120"/>
      <c r="T45" s="120"/>
      <c r="U45" s="120"/>
      <c r="V45" s="120"/>
      <c r="W45" s="120"/>
      <c r="X45" s="120"/>
      <c r="Y45" s="126"/>
    </row>
    <row r="46" spans="1:26">
      <c r="P46" s="126"/>
      <c r="Q46" s="126"/>
      <c r="R46" s="120" t="s">
        <v>383</v>
      </c>
      <c r="S46" s="126"/>
      <c r="T46" s="126"/>
      <c r="U46" s="126"/>
      <c r="V46" s="126"/>
      <c r="W46" s="126"/>
      <c r="X46" s="126"/>
      <c r="Y46" s="126"/>
    </row>
    <row r="47" spans="1:26">
      <c r="P47" s="126"/>
      <c r="Q47" s="126"/>
      <c r="R47" s="126"/>
      <c r="S47" s="147" t="s">
        <v>384</v>
      </c>
      <c r="T47" s="126"/>
      <c r="U47" s="126"/>
      <c r="V47" s="126"/>
      <c r="W47" s="126"/>
      <c r="X47" s="126"/>
      <c r="Y47" s="126"/>
    </row>
    <row r="48" spans="1:26">
      <c r="P48" s="126"/>
      <c r="Q48" s="126"/>
      <c r="R48" s="126"/>
      <c r="S48" s="126"/>
      <c r="T48" s="120" t="s">
        <v>385</v>
      </c>
      <c r="U48" s="126"/>
      <c r="V48" s="126"/>
      <c r="W48" s="126"/>
      <c r="X48" s="126"/>
      <c r="Y48" s="126"/>
    </row>
    <row r="49" spans="2:26">
      <c r="P49" s="126"/>
      <c r="Q49" s="126"/>
      <c r="R49" s="120"/>
      <c r="S49" s="120"/>
      <c r="T49" s="126"/>
      <c r="U49" s="147" t="s">
        <v>386</v>
      </c>
      <c r="V49" s="126"/>
      <c r="W49" s="120"/>
      <c r="X49" s="120"/>
      <c r="Y49" s="120"/>
      <c r="Z49" s="120"/>
    </row>
    <row r="50" spans="2:26">
      <c r="P50" s="126"/>
      <c r="Q50" s="126"/>
      <c r="R50" s="120"/>
      <c r="S50" s="120"/>
      <c r="T50" s="126"/>
      <c r="U50" s="126"/>
      <c r="V50" s="120" t="s">
        <v>387</v>
      </c>
      <c r="W50" s="120"/>
      <c r="X50" s="120"/>
      <c r="Y50" s="120"/>
      <c r="Z50" s="126"/>
    </row>
    <row r="51" spans="2:26" ht="15.75">
      <c r="B51" s="282" t="s">
        <v>466</v>
      </c>
      <c r="C51" s="359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283"/>
      <c r="Q51" s="284"/>
      <c r="R51" s="5"/>
      <c r="S51" s="3"/>
      <c r="T51" s="285"/>
      <c r="U51" s="126"/>
      <c r="V51" s="126"/>
      <c r="W51" s="126"/>
      <c r="X51" s="126"/>
      <c r="Y51" s="126"/>
      <c r="Z51" s="126"/>
    </row>
    <row r="52" spans="2:26" ht="15.75">
      <c r="B52" s="128"/>
      <c r="C52" s="210" t="s">
        <v>467</v>
      </c>
      <c r="D52" s="286"/>
      <c r="E52" s="286"/>
      <c r="F52" s="286"/>
      <c r="G52" s="287"/>
      <c r="H52" s="287"/>
      <c r="I52" s="287"/>
      <c r="J52" s="287"/>
      <c r="K52" s="287"/>
      <c r="L52" s="287"/>
      <c r="M52" s="287"/>
      <c r="N52" s="287"/>
      <c r="P52" s="160"/>
      <c r="Q52" s="281"/>
      <c r="R52" s="3"/>
      <c r="S52" s="3"/>
      <c r="T52" s="285"/>
    </row>
    <row r="53" spans="2:26" ht="15.75">
      <c r="B53" s="288"/>
      <c r="C53" s="289"/>
      <c r="D53" s="290" t="s">
        <v>512</v>
      </c>
      <c r="E53" s="290"/>
      <c r="F53" s="290"/>
      <c r="G53" s="290"/>
      <c r="H53" s="291"/>
      <c r="I53" s="291"/>
      <c r="J53" s="291"/>
      <c r="K53" s="291"/>
      <c r="L53" s="291"/>
      <c r="M53" s="5" t="s">
        <v>561</v>
      </c>
      <c r="N53" s="5"/>
      <c r="O53" s="5" t="s">
        <v>562</v>
      </c>
      <c r="P53" s="8"/>
      <c r="Q53" s="4"/>
      <c r="R53" s="5"/>
      <c r="S53" s="3"/>
      <c r="T53" s="5"/>
    </row>
    <row r="54" spans="2:26" ht="15.75">
      <c r="B54" s="288"/>
      <c r="C54" s="289"/>
      <c r="D54" s="289"/>
      <c r="E54" s="289"/>
      <c r="F54" s="289"/>
      <c r="G54" s="289"/>
      <c r="H54" s="289"/>
      <c r="I54" s="293"/>
      <c r="J54" s="293"/>
      <c r="K54" s="293"/>
      <c r="L54" s="293"/>
      <c r="M54" s="5" t="s">
        <v>563</v>
      </c>
      <c r="N54" s="5"/>
      <c r="O54" s="5" t="s">
        <v>564</v>
      </c>
      <c r="P54" s="8"/>
      <c r="Q54" s="4"/>
      <c r="R54" s="3"/>
      <c r="S54" s="3"/>
      <c r="T54" s="3"/>
    </row>
    <row r="55" spans="2:26" ht="15.75">
      <c r="B55" s="288"/>
      <c r="C55" s="360" t="s">
        <v>61</v>
      </c>
      <c r="D55" s="216"/>
      <c r="E55" s="287"/>
      <c r="F55" s="287"/>
      <c r="G55" s="293"/>
      <c r="H55" s="293"/>
      <c r="I55" s="293"/>
      <c r="J55" s="294"/>
      <c r="K55" s="289"/>
      <c r="L55" s="289"/>
      <c r="M55" s="5" t="s">
        <v>565</v>
      </c>
      <c r="N55" s="5"/>
      <c r="O55" s="5" t="s">
        <v>566</v>
      </c>
      <c r="P55" s="8"/>
      <c r="Q55" s="4"/>
      <c r="R55" s="5"/>
      <c r="S55" s="5"/>
      <c r="T55" s="5"/>
    </row>
    <row r="56" spans="2:26" ht="15">
      <c r="B56" s="288"/>
      <c r="C56" s="289"/>
      <c r="D56" s="208" t="s">
        <v>468</v>
      </c>
      <c r="E56" s="208"/>
      <c r="F56" s="208"/>
      <c r="G56" s="295"/>
      <c r="H56" s="295"/>
      <c r="I56" s="295"/>
      <c r="J56" s="295"/>
      <c r="K56" s="295"/>
      <c r="L56" s="295"/>
      <c r="M56" s="4">
        <v>2.2000000000000002</v>
      </c>
      <c r="N56" s="468"/>
      <c r="O56" s="5" t="s">
        <v>567</v>
      </c>
      <c r="P56" s="8"/>
      <c r="Q56" s="4"/>
      <c r="R56" s="5"/>
      <c r="S56" s="5"/>
      <c r="T56" s="5"/>
    </row>
    <row r="57" spans="2:26" ht="15">
      <c r="B57" s="288"/>
      <c r="C57" s="289"/>
      <c r="D57" s="209" t="s">
        <v>469</v>
      </c>
      <c r="E57" s="209"/>
      <c r="F57" s="209"/>
      <c r="G57" s="209"/>
      <c r="H57" s="295"/>
      <c r="I57" s="295"/>
      <c r="J57" s="295"/>
      <c r="K57" s="295"/>
      <c r="L57" s="295"/>
      <c r="M57" s="2">
        <v>2.93</v>
      </c>
      <c r="N57" s="469"/>
      <c r="O57" s="3" t="s">
        <v>568</v>
      </c>
      <c r="P57" s="8"/>
      <c r="Q57" s="4"/>
      <c r="R57" s="5"/>
      <c r="S57" s="5"/>
      <c r="T57" s="5"/>
      <c r="U57" s="3"/>
      <c r="V57" s="3"/>
      <c r="W57" s="3"/>
      <c r="X57" s="3"/>
    </row>
    <row r="58" spans="2:26" ht="15.75">
      <c r="B58" s="288"/>
      <c r="C58" s="289"/>
      <c r="D58" s="210" t="s">
        <v>390</v>
      </c>
      <c r="E58" s="293"/>
      <c r="F58" s="293"/>
      <c r="G58" s="293"/>
      <c r="H58" s="293"/>
      <c r="I58" s="289"/>
      <c r="J58" s="293"/>
      <c r="K58" s="293"/>
      <c r="L58" s="293"/>
      <c r="M58" s="296"/>
      <c r="O58" s="292"/>
      <c r="P58" s="8"/>
      <c r="Q58" s="4"/>
      <c r="R58" s="5"/>
      <c r="S58" s="5"/>
      <c r="T58" s="5"/>
      <c r="U58" s="3"/>
      <c r="V58" s="3"/>
      <c r="W58" s="3"/>
      <c r="X58" s="3"/>
    </row>
    <row r="59" spans="2:26" ht="15">
      <c r="B59" s="288"/>
      <c r="C59" s="289"/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P59" s="5"/>
      <c r="Q59" s="5"/>
      <c r="R59" s="5"/>
      <c r="S59" s="5"/>
      <c r="T59" s="5"/>
      <c r="U59" s="3"/>
      <c r="V59" s="3"/>
      <c r="W59" s="3"/>
      <c r="X59" s="3"/>
    </row>
    <row r="60" spans="2:26">
      <c r="P60" s="5"/>
      <c r="Q60" s="5"/>
      <c r="R60" s="5"/>
      <c r="S60" s="5"/>
      <c r="T60" s="5"/>
    </row>
    <row r="61" spans="2:26">
      <c r="F61" s="2">
        <f>3000/340.75</f>
        <v>8.8041085840058688</v>
      </c>
      <c r="P61" s="5"/>
      <c r="Q61" s="5"/>
      <c r="R61" s="5"/>
      <c r="S61" s="5"/>
      <c r="T61" s="5"/>
    </row>
    <row r="62" spans="2:26" ht="15">
      <c r="P62" s="4"/>
      <c r="Q62" s="297"/>
      <c r="R62" s="5"/>
      <c r="S62" s="5"/>
      <c r="T62" s="5"/>
    </row>
    <row r="63" spans="2:26" ht="15">
      <c r="D63" s="2"/>
      <c r="P63" s="2"/>
      <c r="Q63" s="298"/>
      <c r="R63" s="3"/>
      <c r="S63" s="5"/>
      <c r="T63" s="5"/>
    </row>
    <row r="64" spans="2:26" ht="15">
      <c r="P64" s="8"/>
      <c r="Q64" s="212"/>
      <c r="R64" s="298"/>
      <c r="S64" s="3"/>
      <c r="T64" s="3"/>
    </row>
    <row r="65" spans="2:19">
      <c r="B65" s="91"/>
      <c r="C65" s="4"/>
      <c r="D65" s="58"/>
      <c r="E65" s="4"/>
      <c r="F65" s="4"/>
      <c r="G65" s="4"/>
      <c r="H65" s="58"/>
      <c r="I65" s="58"/>
      <c r="J65" s="58"/>
      <c r="K65" s="58"/>
      <c r="O65" s="8"/>
      <c r="P65" s="5"/>
      <c r="Q65" s="5"/>
      <c r="R65" s="5"/>
      <c r="S65" s="5"/>
    </row>
    <row r="66" spans="2:19">
      <c r="O66" s="8"/>
      <c r="P66" s="5"/>
      <c r="Q66" s="5"/>
      <c r="R66" s="5"/>
      <c r="S66" s="5"/>
    </row>
    <row r="67" spans="2:19">
      <c r="O67" s="8"/>
      <c r="P67" s="5"/>
      <c r="Q67" s="5"/>
      <c r="R67" s="5"/>
      <c r="S67" s="5"/>
    </row>
  </sheetData>
  <mergeCells count="8">
    <mergeCell ref="P1:Z2"/>
    <mergeCell ref="D1:L1"/>
    <mergeCell ref="A43:C43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47"/>
  <sheetViews>
    <sheetView workbookViewId="0">
      <pane ySplit="2" topLeftCell="A15" activePane="bottomLeft" state="frozen"/>
      <selection pane="bottomLeft" activeCell="F43" sqref="F43:G43"/>
    </sheetView>
  </sheetViews>
  <sheetFormatPr defaultRowHeight="11.25"/>
  <cols>
    <col min="1" max="1" width="11.5703125" style="3" bestFit="1" customWidth="1"/>
    <col min="2" max="2" width="80.5703125" style="88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729" t="s">
        <v>1</v>
      </c>
      <c r="B1" s="735" t="s">
        <v>0</v>
      </c>
      <c r="C1" s="737" t="s">
        <v>84</v>
      </c>
      <c r="D1" s="731" t="s">
        <v>3</v>
      </c>
      <c r="E1" s="732"/>
      <c r="F1" s="733" t="s">
        <v>509</v>
      </c>
      <c r="G1" s="734"/>
      <c r="H1" s="720" t="s">
        <v>29</v>
      </c>
      <c r="I1" s="721"/>
      <c r="J1" s="721"/>
      <c r="K1" s="721"/>
      <c r="L1" s="721"/>
      <c r="M1" s="721"/>
      <c r="N1" s="722"/>
    </row>
    <row r="2" spans="1:14" s="9" customFormat="1" ht="16.5" thickBot="1">
      <c r="A2" s="730"/>
      <c r="B2" s="736"/>
      <c r="C2" s="738"/>
      <c r="D2" s="48"/>
      <c r="E2" s="59" t="s">
        <v>9</v>
      </c>
      <c r="F2" s="299"/>
      <c r="G2" s="98" t="s">
        <v>9</v>
      </c>
      <c r="H2" s="723"/>
      <c r="I2" s="724"/>
      <c r="J2" s="724"/>
      <c r="K2" s="724"/>
      <c r="L2" s="724"/>
      <c r="M2" s="724"/>
      <c r="N2" s="725"/>
    </row>
    <row r="3" spans="1:14" s="125" customFormat="1" ht="15">
      <c r="A3" s="415" t="str">
        <f>'1-συμβολαια'!A3</f>
        <v>10ο</v>
      </c>
      <c r="B3" s="329" t="str">
        <f>'1-συμβολαια'!C3</f>
        <v>κληρονομιάς ΑΠΟΔΟΧΗ</v>
      </c>
      <c r="C3" s="330">
        <f>'1-συμβολαια'!D3</f>
        <v>0</v>
      </c>
      <c r="D3" s="387">
        <v>7</v>
      </c>
      <c r="E3" s="387">
        <v>7</v>
      </c>
      <c r="F3" s="332">
        <f>(D3-1)*2.35</f>
        <v>14.100000000000001</v>
      </c>
      <c r="G3" s="332">
        <f>(E3-1)*2.35</f>
        <v>14.100000000000001</v>
      </c>
      <c r="H3" s="328"/>
      <c r="I3" s="328" t="s">
        <v>132</v>
      </c>
      <c r="J3" s="328"/>
      <c r="K3" s="333"/>
      <c r="L3" s="333"/>
      <c r="M3" s="333"/>
      <c r="N3" s="333"/>
    </row>
    <row r="4" spans="1:14" s="125" customFormat="1" ht="15">
      <c r="A4" s="415">
        <f>'1-συμβολαια'!A4</f>
        <v>0</v>
      </c>
      <c r="B4" s="329" t="str">
        <f>'1-συμβολαια'!C4</f>
        <v>ΧΡΗΣΙΚΤΗΣΙΑ οικοπέδου &amp; οικοδομής = 1992 αδερφού ΚΛΗΡΟΝΟΜΙΑ άτυπη</v>
      </c>
      <c r="C4" s="330">
        <f>'1-συμβολαια'!D4</f>
        <v>1111.1099999999999</v>
      </c>
      <c r="D4" s="387">
        <v>7</v>
      </c>
      <c r="E4" s="387"/>
      <c r="F4" s="332">
        <f t="shared" ref="F4:F29" si="0">(D4-1)*2.93</f>
        <v>17.580000000000002</v>
      </c>
      <c r="G4" s="332"/>
      <c r="H4" s="328"/>
      <c r="I4" s="328" t="s">
        <v>132</v>
      </c>
      <c r="J4" s="328"/>
      <c r="K4" s="333"/>
      <c r="L4" s="333"/>
      <c r="M4" s="333"/>
      <c r="N4" s="333"/>
    </row>
    <row r="5" spans="1:14" s="125" customFormat="1" ht="15">
      <c r="A5" s="415">
        <f>'1-συμβολαια'!A5</f>
        <v>0</v>
      </c>
      <c r="B5" s="329" t="str">
        <f>'1-συμβολαια'!C5</f>
        <v>ΧΡΗΣΙΚΤΗΣΙΑ οικοπέδων 2'-3' = 1992 αδερφού ΚΛΗΡΟΝΟΜΙΑ άτυπη</v>
      </c>
      <c r="C5" s="330">
        <f>'1-συμβολαια'!D5</f>
        <v>1111.1099999999999</v>
      </c>
      <c r="D5" s="387">
        <v>7</v>
      </c>
      <c r="E5" s="387"/>
      <c r="F5" s="332">
        <f t="shared" si="0"/>
        <v>17.580000000000002</v>
      </c>
      <c r="G5" s="332"/>
      <c r="H5" s="328"/>
      <c r="I5" s="328" t="s">
        <v>132</v>
      </c>
      <c r="J5" s="328"/>
      <c r="K5" s="333"/>
      <c r="L5" s="333"/>
      <c r="M5" s="333"/>
      <c r="N5" s="333"/>
    </row>
    <row r="6" spans="1:14" s="125" customFormat="1" ht="15">
      <c r="A6" s="415">
        <f>'1-συμβολαια'!A6</f>
        <v>0</v>
      </c>
      <c r="B6" s="329" t="str">
        <f>'1-συμβολαια'!C6</f>
        <v>ΧΡΗΣΙΚΤΗΣΙΑ αγροτεμαχίου 9' = 1968 μητρός ΚΛΗΡΟΝΟΜΙΑ άτυπη</v>
      </c>
      <c r="C6" s="330">
        <f>'1-συμβολαια'!D6</f>
        <v>111.11</v>
      </c>
      <c r="D6" s="331">
        <v>7</v>
      </c>
      <c r="E6" s="331"/>
      <c r="F6" s="332">
        <f t="shared" si="0"/>
        <v>17.580000000000002</v>
      </c>
      <c r="G6" s="332"/>
      <c r="H6" s="328"/>
      <c r="I6" s="328" t="s">
        <v>132</v>
      </c>
      <c r="J6" s="328"/>
      <c r="K6" s="333"/>
      <c r="L6" s="333"/>
      <c r="M6" s="333"/>
      <c r="N6" s="333"/>
    </row>
    <row r="7" spans="1:14" s="125" customFormat="1" ht="15">
      <c r="A7" s="415">
        <f>'1-συμβολαια'!A7</f>
        <v>0</v>
      </c>
      <c r="B7" s="329" t="str">
        <f>'1-συμβολαια'!C7</f>
        <v>ΧΡΗΣΙΚΤΗΣΙΑ οικοπέδου 4' = 19?? ΑΓΟΡΑΠΩΛΗΣΙΑ άτυπη</v>
      </c>
      <c r="C7" s="330">
        <f>'1-συμβολαια'!D7</f>
        <v>111.11</v>
      </c>
      <c r="D7" s="331">
        <v>7</v>
      </c>
      <c r="E7" s="331"/>
      <c r="F7" s="332">
        <f t="shared" si="0"/>
        <v>17.580000000000002</v>
      </c>
      <c r="G7" s="332"/>
      <c r="H7" s="328"/>
      <c r="I7" s="328" t="s">
        <v>132</v>
      </c>
      <c r="J7" s="328"/>
      <c r="K7" s="333"/>
      <c r="L7" s="333"/>
      <c r="M7" s="333"/>
      <c r="N7" s="333"/>
    </row>
    <row r="8" spans="1:14" s="125" customFormat="1" ht="15.75" thickBot="1">
      <c r="A8" s="419">
        <f>'1-συμβολαια'!A8</f>
        <v>0</v>
      </c>
      <c r="B8" s="420" t="str">
        <f>'1-συμβολαια'!C8</f>
        <v>ΧΡΗΣΙΚΤΗΣΙΑ αγροτεμαχίου 8' = 19??? ΑΓΟΡΑΠΩΛΗΣΙΑ άτυπη</v>
      </c>
      <c r="C8" s="421">
        <f>'1-συμβολαια'!D8</f>
        <v>1111.1099999999999</v>
      </c>
      <c r="D8" s="481">
        <v>7</v>
      </c>
      <c r="E8" s="481"/>
      <c r="F8" s="464">
        <f t="shared" si="0"/>
        <v>17.580000000000002</v>
      </c>
      <c r="G8" s="464"/>
      <c r="H8" s="504"/>
      <c r="I8" s="504" t="s">
        <v>132</v>
      </c>
      <c r="J8" s="504"/>
      <c r="K8" s="505"/>
      <c r="L8" s="505"/>
      <c r="M8" s="505"/>
      <c r="N8" s="505"/>
    </row>
    <row r="9" spans="1:14" s="125" customFormat="1" ht="15">
      <c r="A9" s="445" t="str">
        <f>'1-συμβολαια'!A9</f>
        <v>11ο</v>
      </c>
      <c r="B9" s="417" t="str">
        <f>'1-συμβολαια'!C9</f>
        <v>κληρονομιάς ΑΠΟΔΟΧΗ</v>
      </c>
      <c r="C9" s="418">
        <f>'1-συμβολαια'!D9</f>
        <v>0</v>
      </c>
      <c r="D9" s="482">
        <v>7</v>
      </c>
      <c r="E9" s="482">
        <v>7</v>
      </c>
      <c r="F9" s="457">
        <f>(D9-1)*2.35</f>
        <v>14.100000000000001</v>
      </c>
      <c r="G9" s="457">
        <f>(E9-1)*2.35</f>
        <v>14.100000000000001</v>
      </c>
      <c r="H9" s="502"/>
      <c r="I9" s="502"/>
      <c r="J9" s="502"/>
      <c r="K9" s="503"/>
      <c r="L9" s="503"/>
      <c r="M9" s="503"/>
      <c r="N9" s="503"/>
    </row>
    <row r="10" spans="1:14" s="125" customFormat="1" ht="15">
      <c r="A10" s="446">
        <f>'1-συμβολαια'!A10</f>
        <v>0</v>
      </c>
      <c r="B10" s="329" t="str">
        <f>'1-συμβολαια'!C10</f>
        <v>ΧΡΗΣΙΚΤΗΣΙΑ οικοπέδου &amp; οικοδομής = 1992 αδερφού ΚΛΗΡΟΝΟΜΙΑ άτυπη</v>
      </c>
      <c r="C10" s="330">
        <f>'1-συμβολαια'!D10</f>
        <v>1111.1099999999999</v>
      </c>
      <c r="D10" s="387">
        <v>7</v>
      </c>
      <c r="E10" s="387"/>
      <c r="F10" s="332">
        <f t="shared" ref="F10:F14" si="1">(D10-1)*2.93</f>
        <v>17.580000000000002</v>
      </c>
      <c r="G10" s="332"/>
      <c r="H10" s="328"/>
      <c r="I10" s="328" t="s">
        <v>132</v>
      </c>
      <c r="J10" s="328"/>
      <c r="K10" s="333"/>
      <c r="L10" s="333"/>
      <c r="M10" s="333"/>
      <c r="N10" s="333"/>
    </row>
    <row r="11" spans="1:14" s="125" customFormat="1" ht="15">
      <c r="A11" s="446">
        <f>'1-συμβολαια'!A11</f>
        <v>0</v>
      </c>
      <c r="B11" s="329" t="str">
        <f>'1-συμβολαια'!C11</f>
        <v>ΧΡΗΣΙΚΤΗΣΙΑ οικοπέδων 2'-3' = 1992 αδερφού ΚΛΗΡΟΝΟΜΙΑ άτυπη</v>
      </c>
      <c r="C11" s="330">
        <f>'1-συμβολαια'!D11</f>
        <v>1111.1099999999999</v>
      </c>
      <c r="D11" s="387">
        <v>7</v>
      </c>
      <c r="E11" s="387"/>
      <c r="F11" s="332">
        <f t="shared" si="1"/>
        <v>17.580000000000002</v>
      </c>
      <c r="G11" s="332"/>
      <c r="H11" s="328"/>
      <c r="I11" s="328" t="s">
        <v>132</v>
      </c>
      <c r="J11" s="328"/>
      <c r="K11" s="333"/>
      <c r="L11" s="333"/>
      <c r="M11" s="333"/>
      <c r="N11" s="333"/>
    </row>
    <row r="12" spans="1:14" s="125" customFormat="1" ht="15">
      <c r="A12" s="446">
        <f>'1-συμβολαια'!A12</f>
        <v>0</v>
      </c>
      <c r="B12" s="329" t="str">
        <f>'1-συμβολαια'!C12</f>
        <v>ΧΡΗΣΙΚΤΗΣΙΑ αγροτεμαχίου 9' = 1968 μητρός ΚΛΗΡΟΝΟΜΙΑ άτυπη</v>
      </c>
      <c r="C12" s="330">
        <f>'1-συμβολαια'!D12</f>
        <v>111.11</v>
      </c>
      <c r="D12" s="331">
        <v>7</v>
      </c>
      <c r="E12" s="331"/>
      <c r="F12" s="332">
        <f t="shared" si="1"/>
        <v>17.580000000000002</v>
      </c>
      <c r="G12" s="332"/>
      <c r="H12" s="328"/>
      <c r="I12" s="328" t="s">
        <v>132</v>
      </c>
      <c r="J12" s="328"/>
      <c r="K12" s="333"/>
      <c r="L12" s="333"/>
      <c r="M12" s="333"/>
      <c r="N12" s="333"/>
    </row>
    <row r="13" spans="1:14" s="125" customFormat="1" ht="15">
      <c r="A13" s="446">
        <f>'1-συμβολαια'!A13</f>
        <v>0</v>
      </c>
      <c r="B13" s="329" t="str">
        <f>'1-συμβολαια'!C13</f>
        <v>ΧΡΗΣΙΚΤΗΣΙΑ οικοπέδου 4' = 19?? ΑΓΟΡΑΠΩΛΗΣΙΑ άτυπη</v>
      </c>
      <c r="C13" s="330">
        <f>'1-συμβολαια'!D13</f>
        <v>111.11</v>
      </c>
      <c r="D13" s="331">
        <v>7</v>
      </c>
      <c r="E13" s="331"/>
      <c r="F13" s="332">
        <f t="shared" si="1"/>
        <v>17.580000000000002</v>
      </c>
      <c r="G13" s="332"/>
      <c r="H13" s="328"/>
      <c r="I13" s="328" t="s">
        <v>132</v>
      </c>
      <c r="J13" s="328"/>
      <c r="K13" s="333"/>
      <c r="L13" s="333"/>
      <c r="M13" s="333"/>
      <c r="N13" s="333"/>
    </row>
    <row r="14" spans="1:14" s="125" customFormat="1" ht="15.75" thickBot="1">
      <c r="A14" s="447">
        <f>'1-συμβολαια'!A14</f>
        <v>0</v>
      </c>
      <c r="B14" s="420" t="str">
        <f>'1-συμβολαια'!C14</f>
        <v>ΧΡΗΣΙΚΤΗΣΙΑ αγροτεμαχίου 8' = 19??? ΑΓΟΡΑΠΩΛΗΣΙΑ άτυπη</v>
      </c>
      <c r="C14" s="421">
        <f>'1-συμβολαια'!D14</f>
        <v>1111.1099999999999</v>
      </c>
      <c r="D14" s="481">
        <v>7</v>
      </c>
      <c r="E14" s="481"/>
      <c r="F14" s="464">
        <f t="shared" si="1"/>
        <v>17.580000000000002</v>
      </c>
      <c r="G14" s="464"/>
      <c r="H14" s="504"/>
      <c r="I14" s="504" t="s">
        <v>132</v>
      </c>
      <c r="J14" s="504"/>
      <c r="K14" s="505"/>
      <c r="L14" s="505"/>
      <c r="M14" s="505"/>
      <c r="N14" s="505"/>
    </row>
    <row r="15" spans="1:14" s="125" customFormat="1" ht="15">
      <c r="A15" s="471" t="str">
        <f>'1-συμβολαια'!A15</f>
        <v>12ο</v>
      </c>
      <c r="B15" s="417" t="str">
        <f>'1-συμβολαια'!C15</f>
        <v>κληρονομιάς ΑΠΟΔΟΧΗ</v>
      </c>
      <c r="C15" s="418">
        <f>'1-συμβολαια'!D15</f>
        <v>0</v>
      </c>
      <c r="D15" s="482">
        <v>7</v>
      </c>
      <c r="E15" s="482">
        <v>7</v>
      </c>
      <c r="F15" s="457">
        <f>(D15-1)*2.35</f>
        <v>14.100000000000001</v>
      </c>
      <c r="G15" s="457">
        <f>(E15-1)*2.35</f>
        <v>14.100000000000001</v>
      </c>
      <c r="H15" s="502"/>
      <c r="I15" s="502"/>
      <c r="J15" s="502"/>
      <c r="K15" s="503"/>
      <c r="L15" s="503"/>
      <c r="M15" s="503"/>
      <c r="N15" s="503"/>
    </row>
    <row r="16" spans="1:14" s="125" customFormat="1" ht="15">
      <c r="A16" s="415">
        <f>'1-συμβολαια'!A16</f>
        <v>0</v>
      </c>
      <c r="B16" s="329" t="str">
        <f>'1-συμβολαια'!C16</f>
        <v>ΧΡΗΣΙΚΤΗΣΙΑ οικοπέδου &amp; οικοδομής = 1992 αδερφού ΚΛΗΡΟΝΟΜΙΑ άτυπη</v>
      </c>
      <c r="C16" s="330">
        <f>'1-συμβολαια'!D16</f>
        <v>1111.1099999999999</v>
      </c>
      <c r="D16" s="387">
        <v>7</v>
      </c>
      <c r="E16" s="387"/>
      <c r="F16" s="332">
        <f t="shared" si="0"/>
        <v>17.580000000000002</v>
      </c>
      <c r="G16" s="332"/>
      <c r="H16" s="328"/>
      <c r="I16" s="328" t="s">
        <v>132</v>
      </c>
      <c r="J16" s="328"/>
      <c r="K16" s="333"/>
      <c r="L16" s="333"/>
      <c r="M16" s="333"/>
      <c r="N16" s="333"/>
    </row>
    <row r="17" spans="1:14" s="125" customFormat="1" ht="15">
      <c r="A17" s="415">
        <f>'1-συμβολαια'!A17</f>
        <v>0</v>
      </c>
      <c r="B17" s="329" t="str">
        <f>'1-συμβολαια'!C17</f>
        <v>ΧΡΗΣΙΚΤΗΣΙΑ οικοπέδων 2'-3' = 1992 αδερφού ΚΛΗΡΟΝΟΜΙΑ άτυπη</v>
      </c>
      <c r="C17" s="330">
        <f>'1-συμβολαια'!D17</f>
        <v>1111.1099999999999</v>
      </c>
      <c r="D17" s="387">
        <v>7</v>
      </c>
      <c r="E17" s="387"/>
      <c r="F17" s="332">
        <f t="shared" si="0"/>
        <v>17.580000000000002</v>
      </c>
      <c r="G17" s="332"/>
      <c r="H17" s="328"/>
      <c r="I17" s="328" t="s">
        <v>132</v>
      </c>
      <c r="J17" s="328"/>
      <c r="K17" s="333"/>
      <c r="L17" s="333"/>
      <c r="M17" s="333"/>
      <c r="N17" s="333"/>
    </row>
    <row r="18" spans="1:14" s="125" customFormat="1" ht="15">
      <c r="A18" s="415">
        <f>'1-συμβολαια'!A18</f>
        <v>0</v>
      </c>
      <c r="B18" s="329" t="str">
        <f>'1-συμβολαια'!C18</f>
        <v>ΧΡΗΣΙΚΤΗΣΙΑ αγροτεμαχίου 9' = 1968 μητρός ΚΛΗΡΟΝΟΜΙΑ άτυπη</v>
      </c>
      <c r="C18" s="330">
        <f>'1-συμβολαια'!D18</f>
        <v>111.11</v>
      </c>
      <c r="D18" s="331">
        <v>7</v>
      </c>
      <c r="E18" s="331"/>
      <c r="F18" s="332">
        <f t="shared" si="0"/>
        <v>17.580000000000002</v>
      </c>
      <c r="G18" s="332"/>
      <c r="H18" s="328"/>
      <c r="I18" s="328" t="s">
        <v>132</v>
      </c>
      <c r="J18" s="328"/>
      <c r="K18" s="333"/>
      <c r="L18" s="333"/>
      <c r="M18" s="333"/>
      <c r="N18" s="333"/>
    </row>
    <row r="19" spans="1:14" s="125" customFormat="1" ht="15">
      <c r="A19" s="415">
        <f>'1-συμβολαια'!A19</f>
        <v>0</v>
      </c>
      <c r="B19" s="329" t="str">
        <f>'1-συμβολαια'!C19</f>
        <v>ΧΡΗΣΙΚΤΗΣΙΑ οικοπέδου 4' = 19?? ΑΓΟΡΑΠΩΛΗΣΙΑ άτυπη</v>
      </c>
      <c r="C19" s="330">
        <f>'1-συμβολαια'!D19</f>
        <v>111.11</v>
      </c>
      <c r="D19" s="331">
        <v>7</v>
      </c>
      <c r="E19" s="331"/>
      <c r="F19" s="332">
        <f t="shared" si="0"/>
        <v>17.580000000000002</v>
      </c>
      <c r="G19" s="332"/>
      <c r="H19" s="328"/>
      <c r="I19" s="328" t="s">
        <v>132</v>
      </c>
      <c r="J19" s="328"/>
      <c r="K19" s="333"/>
      <c r="L19" s="333"/>
      <c r="M19" s="333"/>
      <c r="N19" s="333"/>
    </row>
    <row r="20" spans="1:14" s="125" customFormat="1" ht="15.75" thickBot="1">
      <c r="A20" s="419">
        <f>'1-συμβολαια'!A20</f>
        <v>0</v>
      </c>
      <c r="B20" s="420" t="str">
        <f>'1-συμβολαια'!C20</f>
        <v>ΧΡΗΣΙΚΤΗΣΙΑ αγροτεμαχίου 8' = 19??? ΑΓΟΡΑΠΩΛΗΣΙΑ άτυπη</v>
      </c>
      <c r="C20" s="421">
        <f>'1-συμβολαια'!D20</f>
        <v>1111.1099999999999</v>
      </c>
      <c r="D20" s="481">
        <v>7</v>
      </c>
      <c r="E20" s="481"/>
      <c r="F20" s="464">
        <f t="shared" si="0"/>
        <v>17.580000000000002</v>
      </c>
      <c r="G20" s="464"/>
      <c r="H20" s="504"/>
      <c r="I20" s="504" t="s">
        <v>132</v>
      </c>
      <c r="J20" s="504"/>
      <c r="K20" s="505"/>
      <c r="L20" s="505"/>
      <c r="M20" s="505"/>
      <c r="N20" s="505"/>
    </row>
    <row r="21" spans="1:14" s="125" customFormat="1" ht="15">
      <c r="A21" s="445" t="str">
        <f>'1-συμβολαια'!A21</f>
        <v>13ο</v>
      </c>
      <c r="B21" s="417" t="str">
        <f>'1-συμβολαια'!C21</f>
        <v>κληρονομιάς ΑΠΟΔΟΧΗ</v>
      </c>
      <c r="C21" s="418">
        <f>'1-συμβολαια'!D21</f>
        <v>0</v>
      </c>
      <c r="D21" s="482">
        <v>7</v>
      </c>
      <c r="E21" s="482">
        <v>7</v>
      </c>
      <c r="F21" s="457">
        <f>(D21-1)*2.35</f>
        <v>14.100000000000001</v>
      </c>
      <c r="G21" s="457">
        <f>(E21-1)*2.35</f>
        <v>14.100000000000001</v>
      </c>
      <c r="H21" s="502"/>
      <c r="I21" s="502"/>
      <c r="J21" s="502"/>
      <c r="K21" s="503"/>
      <c r="L21" s="503"/>
      <c r="M21" s="503"/>
      <c r="N21" s="503"/>
    </row>
    <row r="22" spans="1:14" s="125" customFormat="1" ht="15">
      <c r="A22" s="446">
        <f>'1-συμβολαια'!A22</f>
        <v>0</v>
      </c>
      <c r="B22" s="329" t="str">
        <f>'1-συμβολαια'!C22</f>
        <v>ΧΡΗΣΙΚΤΗΣΙΑ οικοπέδου &amp; οικοδομής = 1992 αδερφού ΚΛΗΡΟΝΟΜΙΑ άτυπη</v>
      </c>
      <c r="C22" s="330">
        <f>'1-συμβολαια'!D22</f>
        <v>1111.1099999999999</v>
      </c>
      <c r="D22" s="387">
        <v>7</v>
      </c>
      <c r="E22" s="387"/>
      <c r="F22" s="332">
        <f t="shared" si="0"/>
        <v>17.580000000000002</v>
      </c>
      <c r="G22" s="332"/>
      <c r="H22" s="328"/>
      <c r="I22" s="328" t="s">
        <v>132</v>
      </c>
      <c r="J22" s="328"/>
      <c r="K22" s="333"/>
      <c r="L22" s="333"/>
      <c r="M22" s="333"/>
      <c r="N22" s="333"/>
    </row>
    <row r="23" spans="1:14" s="125" customFormat="1" ht="15">
      <c r="A23" s="446">
        <f>'1-συμβολαια'!A23</f>
        <v>0</v>
      </c>
      <c r="B23" s="329" t="str">
        <f>'1-συμβολαια'!C23</f>
        <v>ΧΡΗΣΙΚΤΗΣΙΑ οικοπέδων 2'-3' = 1992 αδερφού ΚΛΗΡΟΝΟΜΙΑ άτυπη</v>
      </c>
      <c r="C23" s="330">
        <f>'1-συμβολαια'!D23</f>
        <v>1111.1099999999999</v>
      </c>
      <c r="D23" s="387">
        <v>7</v>
      </c>
      <c r="E23" s="387"/>
      <c r="F23" s="332">
        <f t="shared" si="0"/>
        <v>17.580000000000002</v>
      </c>
      <c r="G23" s="332"/>
      <c r="H23" s="328"/>
      <c r="I23" s="328" t="s">
        <v>132</v>
      </c>
      <c r="J23" s="328"/>
      <c r="K23" s="333"/>
      <c r="L23" s="333"/>
      <c r="M23" s="333"/>
      <c r="N23" s="333"/>
    </row>
    <row r="24" spans="1:14" s="125" customFormat="1" ht="15">
      <c r="A24" s="446">
        <f>'1-συμβολαια'!A24</f>
        <v>0</v>
      </c>
      <c r="B24" s="329" t="str">
        <f>'1-συμβολαια'!C24</f>
        <v>ΧΡΗΣΙΚΤΗΣΙΑ αγροτεμαχίου 9' = 1968 μητρός ΚΛΗΡΟΝΟΜΙΑ άτυπη</v>
      </c>
      <c r="C24" s="330">
        <f>'1-συμβολαια'!D24</f>
        <v>111.11</v>
      </c>
      <c r="D24" s="331">
        <v>7</v>
      </c>
      <c r="E24" s="331"/>
      <c r="F24" s="332">
        <f t="shared" si="0"/>
        <v>17.580000000000002</v>
      </c>
      <c r="G24" s="332"/>
      <c r="H24" s="328"/>
      <c r="I24" s="328" t="s">
        <v>132</v>
      </c>
      <c r="J24" s="328"/>
      <c r="K24" s="333"/>
      <c r="L24" s="333"/>
      <c r="M24" s="333"/>
      <c r="N24" s="333"/>
    </row>
    <row r="25" spans="1:14" s="125" customFormat="1" ht="15">
      <c r="A25" s="446">
        <f>'1-συμβολαια'!A25</f>
        <v>0</v>
      </c>
      <c r="B25" s="329" t="str">
        <f>'1-συμβολαια'!C25</f>
        <v>ΧΡΗΣΙΚΤΗΣΙΑ οικοπέδου 4' = 19?? ΑΓΟΡΑΠΩΛΗΣΙΑ άτυπη</v>
      </c>
      <c r="C25" s="330">
        <f>'1-συμβολαια'!D25</f>
        <v>111.11</v>
      </c>
      <c r="D25" s="331">
        <v>7</v>
      </c>
      <c r="E25" s="331"/>
      <c r="F25" s="332">
        <f t="shared" si="0"/>
        <v>17.580000000000002</v>
      </c>
      <c r="G25" s="332"/>
      <c r="H25" s="328"/>
      <c r="I25" s="328" t="s">
        <v>132</v>
      </c>
      <c r="J25" s="328"/>
      <c r="K25" s="333"/>
      <c r="L25" s="333"/>
      <c r="M25" s="333"/>
      <c r="N25" s="333"/>
    </row>
    <row r="26" spans="1:14" s="125" customFormat="1" ht="15.75" thickBot="1">
      <c r="A26" s="447">
        <f>'1-συμβολαια'!A26</f>
        <v>0</v>
      </c>
      <c r="B26" s="420" t="str">
        <f>'1-συμβολαια'!C26</f>
        <v>ΧΡΗΣΙΚΤΗΣΙΑ αγροτεμαχίου 8' = 19??? ΑΓΟΡΑΠΩΛΗΣΙΑ άτυπη</v>
      </c>
      <c r="C26" s="421">
        <f>'1-συμβολαια'!D26</f>
        <v>1111.1099999999999</v>
      </c>
      <c r="D26" s="481">
        <v>7</v>
      </c>
      <c r="E26" s="481"/>
      <c r="F26" s="464">
        <f t="shared" si="0"/>
        <v>17.580000000000002</v>
      </c>
      <c r="G26" s="464"/>
      <c r="H26" s="504"/>
      <c r="I26" s="504" t="s">
        <v>132</v>
      </c>
      <c r="J26" s="504"/>
      <c r="K26" s="505"/>
      <c r="L26" s="505"/>
      <c r="M26" s="505"/>
      <c r="N26" s="505"/>
    </row>
    <row r="27" spans="1:14" s="125" customFormat="1" ht="15">
      <c r="A27" s="471" t="str">
        <f>'1-συμβολαια'!A27</f>
        <v>14ο</v>
      </c>
      <c r="B27" s="417" t="str">
        <f>'1-συμβολαια'!C27</f>
        <v>κληρονομιάς ΑΠΟΔΟΧΗ</v>
      </c>
      <c r="C27" s="418">
        <f>'1-συμβολαια'!D27</f>
        <v>0</v>
      </c>
      <c r="D27" s="482">
        <v>7</v>
      </c>
      <c r="E27" s="482">
        <v>7</v>
      </c>
      <c r="F27" s="457">
        <f t="shared" si="0"/>
        <v>17.580000000000002</v>
      </c>
      <c r="G27" s="457">
        <f t="shared" ref="G27" si="2">(E27-1)*2.93</f>
        <v>17.580000000000002</v>
      </c>
      <c r="H27" s="502"/>
      <c r="I27" s="502"/>
      <c r="J27" s="502"/>
      <c r="K27" s="503"/>
      <c r="L27" s="503"/>
      <c r="M27" s="503"/>
      <c r="N27" s="503"/>
    </row>
    <row r="28" spans="1:14" s="125" customFormat="1" ht="15">
      <c r="A28" s="415">
        <f>'1-συμβολαια'!A28</f>
        <v>0</v>
      </c>
      <c r="B28" s="329" t="str">
        <f>'1-συμβολαια'!C28</f>
        <v>ΧΡΗΣΙΚΤΗΣΙΑ οικοπέδου &amp; οικοδομής = 1935 πατρός ΚΛΗΡΟΝΟΜΙΑ άτυπη</v>
      </c>
      <c r="C28" s="330">
        <f>'1-συμβολαια'!D28</f>
        <v>1111.1099999999999</v>
      </c>
      <c r="D28" s="387">
        <v>7</v>
      </c>
      <c r="E28" s="387"/>
      <c r="F28" s="332">
        <f t="shared" si="0"/>
        <v>17.580000000000002</v>
      </c>
      <c r="G28" s="332"/>
      <c r="H28" s="328"/>
      <c r="I28" s="328" t="s">
        <v>132</v>
      </c>
      <c r="J28" s="328"/>
      <c r="K28" s="333"/>
      <c r="L28" s="333"/>
      <c r="M28" s="333"/>
      <c r="N28" s="333"/>
    </row>
    <row r="29" spans="1:14" s="125" customFormat="1" ht="15">
      <c r="A29" s="415">
        <f>'1-συμβολαια'!A29</f>
        <v>0</v>
      </c>
      <c r="B29" s="329" t="str">
        <f>'1-συμβολαια'!C29</f>
        <v>ΧΡΗΣΙΚΤΗΣΙΑ οικοπέδων 2'-3' = 1992 αδερφού ΚΛΗΡΟΝΟΜΙΑ άτυπη</v>
      </c>
      <c r="C29" s="330">
        <f>'1-συμβολαια'!D29</f>
        <v>1111.1099999999999</v>
      </c>
      <c r="D29" s="387">
        <v>7</v>
      </c>
      <c r="E29" s="387"/>
      <c r="F29" s="332">
        <f t="shared" si="0"/>
        <v>17.580000000000002</v>
      </c>
      <c r="G29" s="332"/>
      <c r="H29" s="328"/>
      <c r="I29" s="328" t="s">
        <v>132</v>
      </c>
      <c r="J29" s="328"/>
      <c r="K29" s="333"/>
      <c r="L29" s="333"/>
      <c r="M29" s="333"/>
      <c r="N29" s="333"/>
    </row>
    <row r="30" spans="1:14" s="125" customFormat="1" ht="15">
      <c r="A30" s="415">
        <f>'1-συμβολαια'!A30</f>
        <v>0</v>
      </c>
      <c r="B30" s="329" t="str">
        <f>'1-συμβολαια'!C30</f>
        <v>ΧΡΗΣΙΚΤΗΣΙΑ αγροτεμαχίου 9' = 1968 μητρός ΚΛΗΡΟΝΟΜΙΑ άτυπη</v>
      </c>
      <c r="C30" s="330">
        <f>'1-συμβολαια'!D30</f>
        <v>111.11</v>
      </c>
      <c r="D30" s="331">
        <v>7</v>
      </c>
      <c r="E30" s="331"/>
      <c r="F30" s="332">
        <f t="shared" ref="F30:F33" si="3">(D30-1)*2.93</f>
        <v>17.580000000000002</v>
      </c>
      <c r="G30" s="332"/>
      <c r="H30" s="328"/>
      <c r="I30" s="328" t="s">
        <v>132</v>
      </c>
      <c r="J30" s="328"/>
      <c r="K30" s="333"/>
      <c r="L30" s="333"/>
      <c r="M30" s="333"/>
      <c r="N30" s="333"/>
    </row>
    <row r="31" spans="1:14" s="125" customFormat="1" ht="15">
      <c r="A31" s="415">
        <f>'1-συμβολαια'!A31</f>
        <v>0</v>
      </c>
      <c r="B31" s="329" t="str">
        <f>'1-συμβολαια'!C31</f>
        <v>ΧΡΗΣΙΚΤΗΣΙΑ οικοπέδου 4' = 19?? ΑΓΟΡΑΠΩΛΗΣΙΑ άτυπη</v>
      </c>
      <c r="C31" s="330">
        <f>'1-συμβολαια'!D31</f>
        <v>111.11</v>
      </c>
      <c r="D31" s="331">
        <v>7</v>
      </c>
      <c r="E31" s="331"/>
      <c r="F31" s="332">
        <f t="shared" si="3"/>
        <v>17.580000000000002</v>
      </c>
      <c r="G31" s="332"/>
      <c r="H31" s="328"/>
      <c r="I31" s="328" t="s">
        <v>132</v>
      </c>
      <c r="J31" s="328"/>
      <c r="K31" s="333"/>
      <c r="L31" s="333"/>
      <c r="M31" s="333"/>
      <c r="N31" s="333"/>
    </row>
    <row r="32" spans="1:14" s="125" customFormat="1" ht="15.75" thickBot="1">
      <c r="A32" s="419">
        <f>'1-συμβολαια'!A32</f>
        <v>0</v>
      </c>
      <c r="B32" s="420" t="str">
        <f>'1-συμβολαια'!C32</f>
        <v>ΧΡΗΣΙΚΤΗΣΙΑ αγροτεμαχίου 8' = 19??? ΑΓΟΡΑΠΩΛΗΣΙΑ άτυπη</v>
      </c>
      <c r="C32" s="421">
        <f>'1-συμβολαια'!D32</f>
        <v>1111.1099999999999</v>
      </c>
      <c r="D32" s="481">
        <v>7</v>
      </c>
      <c r="E32" s="481"/>
      <c r="F32" s="464">
        <f t="shared" si="3"/>
        <v>17.580000000000002</v>
      </c>
      <c r="G32" s="464"/>
      <c r="H32" s="504"/>
      <c r="I32" s="504" t="s">
        <v>132</v>
      </c>
      <c r="J32" s="504"/>
      <c r="K32" s="505"/>
      <c r="L32" s="505"/>
      <c r="M32" s="505"/>
      <c r="N32" s="505"/>
    </row>
    <row r="33" spans="1:14" s="125" customFormat="1" ht="15">
      <c r="A33" s="416" t="str">
        <f>'1-συμβολαια'!A33</f>
        <v>15ο</v>
      </c>
      <c r="B33" s="417" t="str">
        <f>'1-συμβολαια'!C33</f>
        <v>αγοραπωλησία τίμημα = Δ.Ο.Υ. =</v>
      </c>
      <c r="C33" s="418">
        <f>'1-συμβολαια'!D33</f>
        <v>8237.2199999999993</v>
      </c>
      <c r="D33" s="331">
        <v>6</v>
      </c>
      <c r="E33" s="331">
        <v>6</v>
      </c>
      <c r="F33" s="457">
        <f t="shared" si="3"/>
        <v>14.65</v>
      </c>
      <c r="G33" s="457">
        <f t="shared" ref="G33" si="4">(E33-1)*2.93</f>
        <v>14.65</v>
      </c>
      <c r="H33" s="502"/>
      <c r="I33" s="502"/>
      <c r="J33" s="502"/>
      <c r="K33" s="503"/>
      <c r="L33" s="503"/>
      <c r="M33" s="503"/>
      <c r="N33" s="503"/>
    </row>
    <row r="34" spans="1:14" s="125" customFormat="1" ht="15">
      <c r="A34" s="386" t="str">
        <f>'1-συμβολαια'!A34</f>
        <v>16ο</v>
      </c>
      <c r="B34" s="329" t="str">
        <f>'1-συμβολαια'!C34</f>
        <v>πληρεξούσιο</v>
      </c>
      <c r="C34" s="330">
        <f>'1-συμβολαια'!D34</f>
        <v>0</v>
      </c>
      <c r="D34" s="331">
        <v>3</v>
      </c>
      <c r="E34" s="331">
        <v>3</v>
      </c>
      <c r="F34" s="332">
        <f t="shared" ref="F34:G36" si="5">(D34-1)*2.35</f>
        <v>4.7</v>
      </c>
      <c r="G34" s="332">
        <f t="shared" si="5"/>
        <v>4.7</v>
      </c>
      <c r="H34" s="328"/>
      <c r="I34" s="328" t="s">
        <v>132</v>
      </c>
      <c r="J34" s="328"/>
      <c r="K34" s="333"/>
      <c r="L34" s="333"/>
      <c r="M34" s="333"/>
      <c r="N34" s="333"/>
    </row>
    <row r="35" spans="1:14" s="125" customFormat="1" ht="15.75" thickBot="1">
      <c r="A35" s="488" t="str">
        <f>'1-συμβολαια'!A35</f>
        <v>17ο</v>
      </c>
      <c r="B35" s="420" t="str">
        <f>'1-συμβολαια'!C35</f>
        <v>πληρεξούσιο</v>
      </c>
      <c r="C35" s="421">
        <f>'1-συμβολαια'!D35</f>
        <v>0</v>
      </c>
      <c r="D35" s="481">
        <v>3</v>
      </c>
      <c r="E35" s="481">
        <v>3</v>
      </c>
      <c r="F35" s="464">
        <f t="shared" si="5"/>
        <v>4.7</v>
      </c>
      <c r="G35" s="464">
        <f t="shared" si="5"/>
        <v>4.7</v>
      </c>
      <c r="H35" s="504"/>
      <c r="I35" s="504" t="s">
        <v>132</v>
      </c>
      <c r="J35" s="504"/>
      <c r="K35" s="505"/>
      <c r="L35" s="505"/>
      <c r="M35" s="505"/>
      <c r="N35" s="505"/>
    </row>
    <row r="36" spans="1:14" s="125" customFormat="1" ht="15">
      <c r="A36" s="471" t="str">
        <f>'1-συμβολαια'!A36</f>
        <v>18ο</v>
      </c>
      <c r="B36" s="417" t="str">
        <f>'1-συμβολαια'!C36</f>
        <v>αποδοχή κληρονομιάς</v>
      </c>
      <c r="C36" s="418">
        <f>'1-συμβολαια'!D36</f>
        <v>0</v>
      </c>
      <c r="D36" s="496">
        <v>5</v>
      </c>
      <c r="E36" s="496">
        <v>5</v>
      </c>
      <c r="F36" s="457">
        <f t="shared" si="5"/>
        <v>9.4</v>
      </c>
      <c r="G36" s="457">
        <f t="shared" si="5"/>
        <v>9.4</v>
      </c>
      <c r="H36" s="502"/>
      <c r="I36" s="502"/>
      <c r="J36" s="502"/>
      <c r="K36" s="503"/>
      <c r="L36" s="503"/>
      <c r="M36" s="503"/>
      <c r="N36" s="503"/>
    </row>
    <row r="37" spans="1:14" s="125" customFormat="1" ht="15">
      <c r="A37" s="415">
        <f>'1-συμβολαια'!A37</f>
        <v>0</v>
      </c>
      <c r="B37" s="329" t="str">
        <f>'1-συμβολαια'!C37</f>
        <v>ΧΡΗΣΙΚΤΗΣΙΑ  αγροτεμαχίου -1 = αναδασμός ΑΛΛΑ πριν ΑΓΟΡΑΠΩΛΗΣΙΑ άτυπος από ;;;??? το 19???</v>
      </c>
      <c r="C37" s="330">
        <f>'1-συμβολαια'!D37</f>
        <v>3333.33</v>
      </c>
      <c r="D37" s="331">
        <v>5</v>
      </c>
      <c r="E37" s="331"/>
      <c r="F37" s="332">
        <f t="shared" ref="F37:G42" si="6">(D37-1)*2.93</f>
        <v>11.72</v>
      </c>
      <c r="G37" s="332"/>
      <c r="H37" s="328"/>
      <c r="I37" s="328" t="s">
        <v>132</v>
      </c>
      <c r="J37" s="328"/>
      <c r="K37" s="333"/>
      <c r="L37" s="333"/>
      <c r="M37" s="333"/>
      <c r="N37" s="333"/>
    </row>
    <row r="38" spans="1:14" s="125" customFormat="1" ht="15">
      <c r="A38" s="415">
        <f>'1-συμβολαια'!A38</f>
        <v>0</v>
      </c>
      <c r="B38" s="329" t="str">
        <f>'1-συμβολαια'!C38</f>
        <v>ΧΡΗΣΙΚΤΗΣΙΑ  οικοπέδου -2 = 19?? ως αγροτεμάχιο με ΑΝΑΔΑΣΜΟ</v>
      </c>
      <c r="C38" s="330">
        <f>'1-συμβολαια'!D38</f>
        <v>33333.33</v>
      </c>
      <c r="D38" s="331">
        <v>5</v>
      </c>
      <c r="E38" s="331"/>
      <c r="F38" s="332">
        <f t="shared" si="6"/>
        <v>11.72</v>
      </c>
      <c r="G38" s="332"/>
      <c r="H38" s="328"/>
      <c r="I38" s="328" t="s">
        <v>132</v>
      </c>
      <c r="J38" s="328"/>
      <c r="K38" s="333"/>
      <c r="L38" s="333"/>
      <c r="M38" s="333"/>
      <c r="N38" s="333"/>
    </row>
    <row r="39" spans="1:14" s="125" customFormat="1" ht="15.75" thickBot="1">
      <c r="A39" s="419">
        <f>'1-συμβολαια'!A39</f>
        <v>0</v>
      </c>
      <c r="B39" s="420" t="str">
        <f>'1-συμβολαια'!C39</f>
        <v>ΧΡΗΣΙΚΤΗΣΙΑ  οικοπέδου -4 = 19?? ;;;???</v>
      </c>
      <c r="C39" s="421">
        <f>'1-συμβολαια'!D39</f>
        <v>11111.11</v>
      </c>
      <c r="D39" s="481">
        <v>5</v>
      </c>
      <c r="E39" s="481"/>
      <c r="F39" s="464">
        <f t="shared" si="6"/>
        <v>11.72</v>
      </c>
      <c r="G39" s="464"/>
      <c r="H39" s="504"/>
      <c r="I39" s="504" t="s">
        <v>132</v>
      </c>
      <c r="J39" s="504"/>
      <c r="K39" s="505"/>
      <c r="L39" s="505"/>
      <c r="M39" s="505"/>
      <c r="N39" s="505"/>
    </row>
    <row r="40" spans="1:14" s="125" customFormat="1" ht="15.75" thickBot="1">
      <c r="A40" s="519" t="str">
        <f>'1-συμβολαια'!A40</f>
        <v>19ο</v>
      </c>
      <c r="B40" s="520" t="str">
        <f>'1-συμβολαια'!C40</f>
        <v>*γονική ΨΙΛΗΣ ΚΥΡΙΟΤΗΤΑΣ</v>
      </c>
      <c r="C40" s="521">
        <f>'1-συμβολαια'!D40</f>
        <v>18629.93</v>
      </c>
      <c r="D40" s="522">
        <v>5</v>
      </c>
      <c r="E40" s="522">
        <v>5</v>
      </c>
      <c r="F40" s="523">
        <f t="shared" si="6"/>
        <v>11.72</v>
      </c>
      <c r="G40" s="523">
        <f t="shared" ref="G40" si="7">(E40-1)*2.93</f>
        <v>11.72</v>
      </c>
      <c r="H40" s="524"/>
      <c r="I40" s="524"/>
      <c r="J40" s="524"/>
      <c r="K40" s="525"/>
      <c r="L40" s="525"/>
      <c r="M40" s="525"/>
      <c r="N40" s="525"/>
    </row>
    <row r="41" spans="1:14" s="125" customFormat="1" ht="15">
      <c r="A41" s="471" t="str">
        <f>'1-συμβολαια'!A41</f>
        <v>20ο</v>
      </c>
      <c r="B41" s="417" t="str">
        <f>'1-συμβολαια'!C41</f>
        <v>δωρεά</v>
      </c>
      <c r="C41" s="418">
        <f>'1-συμβολαια'!D41</f>
        <v>26827.1</v>
      </c>
      <c r="D41" s="496">
        <v>5</v>
      </c>
      <c r="E41" s="496">
        <v>5</v>
      </c>
      <c r="F41" s="457">
        <f t="shared" si="6"/>
        <v>11.72</v>
      </c>
      <c r="G41" s="457">
        <f t="shared" si="6"/>
        <v>11.72</v>
      </c>
      <c r="H41" s="502"/>
      <c r="I41" s="502"/>
      <c r="J41" s="502"/>
      <c r="K41" s="503"/>
      <c r="L41" s="503"/>
      <c r="M41" s="503"/>
      <c r="N41" s="503"/>
    </row>
    <row r="42" spans="1:14" s="125" customFormat="1" ht="15.75" thickBot="1">
      <c r="A42" s="419">
        <f>'1-συμβολαια'!A42</f>
        <v>0</v>
      </c>
      <c r="B42" s="420" t="str">
        <f>'1-συμβολαια'!C42</f>
        <v>χρησικτησία 1/2 οικοπέδου &amp; οικίας = συζυγου 1972 ΔΩΡΕΑ άτυπος</v>
      </c>
      <c r="C42" s="421">
        <f>'1-συμβολαια'!D42</f>
        <v>11206.2</v>
      </c>
      <c r="D42" s="481">
        <v>5</v>
      </c>
      <c r="E42" s="481"/>
      <c r="F42" s="464">
        <f t="shared" si="6"/>
        <v>11.72</v>
      </c>
      <c r="G42" s="464"/>
      <c r="H42" s="504"/>
      <c r="I42" s="504"/>
      <c r="J42" s="504"/>
      <c r="K42" s="505"/>
      <c r="L42" s="505"/>
      <c r="M42" s="505"/>
      <c r="N42" s="505"/>
    </row>
    <row r="43" spans="1:14" ht="15.75">
      <c r="A43" s="726" t="s">
        <v>60</v>
      </c>
      <c r="B43" s="727"/>
      <c r="C43" s="727"/>
      <c r="D43" s="727"/>
      <c r="E43" s="728"/>
      <c r="F43" s="388">
        <f>SUM(F3:F42)</f>
        <v>617.25000000000011</v>
      </c>
      <c r="G43" s="388">
        <f>SUM(G3:G42)</f>
        <v>130.87000000000003</v>
      </c>
    </row>
    <row r="44" spans="1:14" ht="15.75">
      <c r="H44" s="127" t="s">
        <v>141</v>
      </c>
      <c r="I44" s="128"/>
      <c r="J44" s="128"/>
      <c r="K44" s="128"/>
      <c r="L44" s="128"/>
      <c r="M44" s="128"/>
    </row>
    <row r="45" spans="1:14" ht="15.75">
      <c r="B45" s="364" t="s">
        <v>510</v>
      </c>
      <c r="C45" s="303"/>
      <c r="D45" s="303"/>
      <c r="E45" s="303"/>
      <c r="F45" s="303"/>
      <c r="I45" s="128" t="s">
        <v>142</v>
      </c>
      <c r="J45" s="128"/>
      <c r="K45" s="128"/>
      <c r="L45" s="128"/>
      <c r="M45" s="85"/>
    </row>
    <row r="46" spans="1:14" ht="15.75">
      <c r="B46" s="364" t="s">
        <v>511</v>
      </c>
      <c r="C46" s="303"/>
      <c r="D46" s="3"/>
      <c r="J46" s="127" t="s">
        <v>143</v>
      </c>
    </row>
    <row r="47" spans="1:14" ht="15.75">
      <c r="C47" s="216" t="s">
        <v>61</v>
      </c>
      <c r="D47" s="3"/>
    </row>
  </sheetData>
  <mergeCells count="7">
    <mergeCell ref="H1:N2"/>
    <mergeCell ref="A43:E43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64"/>
  <sheetViews>
    <sheetView workbookViewId="0">
      <pane ySplit="2" topLeftCell="A3" activePane="bottomLeft" state="frozen"/>
      <selection pane="bottomLeft" activeCell="B62" sqref="B62"/>
    </sheetView>
  </sheetViews>
  <sheetFormatPr defaultRowHeight="11.25"/>
  <cols>
    <col min="1" max="1" width="11.5703125" style="8" bestFit="1" customWidth="1"/>
    <col min="2" max="2" width="78.85546875" style="90" customWidth="1"/>
    <col min="3" max="3" width="7.28515625" style="8" bestFit="1" customWidth="1"/>
    <col min="4" max="4" width="14.140625" style="8" bestFit="1" customWidth="1"/>
    <col min="5" max="5" width="11.5703125" style="8" bestFit="1" customWidth="1"/>
    <col min="6" max="6" width="11.7109375" style="8" bestFit="1" customWidth="1"/>
    <col min="7" max="7" width="12.5703125" style="8" bestFit="1" customWidth="1"/>
    <col min="8" max="8" width="7.28515625" style="8" bestFit="1" customWidth="1"/>
    <col min="9" max="9" width="17.28515625" style="8" bestFit="1" customWidth="1"/>
    <col min="10" max="10" width="11.7109375" style="8" bestFit="1" customWidth="1"/>
    <col min="11" max="11" width="10.85546875" style="8" bestFit="1" customWidth="1"/>
    <col min="12" max="12" width="7" style="8" bestFit="1" customWidth="1"/>
    <col min="13" max="14" width="4.140625" style="8" bestFit="1" customWidth="1"/>
    <col min="15" max="15" width="6.85546875" style="8" bestFit="1" customWidth="1"/>
    <col min="16" max="16" width="16.42578125" style="8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710" t="s">
        <v>1</v>
      </c>
      <c r="B1" s="712" t="s">
        <v>0</v>
      </c>
      <c r="C1" s="739" t="s">
        <v>11</v>
      </c>
      <c r="D1" s="739"/>
      <c r="E1" s="739"/>
      <c r="F1" s="739"/>
      <c r="G1" s="739"/>
      <c r="H1" s="740" t="s">
        <v>12</v>
      </c>
      <c r="I1" s="740"/>
      <c r="J1" s="740"/>
      <c r="K1" s="740"/>
      <c r="L1" s="740"/>
      <c r="M1" s="740"/>
      <c r="N1" s="740"/>
      <c r="O1" s="743" t="s">
        <v>85</v>
      </c>
      <c r="P1" s="741" t="s">
        <v>224</v>
      </c>
      <c r="Q1" s="701" t="s">
        <v>29</v>
      </c>
      <c r="R1" s="702"/>
      <c r="S1" s="702"/>
      <c r="T1" s="702"/>
      <c r="U1" s="703"/>
    </row>
    <row r="2" spans="1:21" ht="24" customHeight="1" thickBot="1">
      <c r="A2" s="711"/>
      <c r="B2" s="713"/>
      <c r="C2" s="7" t="s">
        <v>47</v>
      </c>
      <c r="D2" s="358" t="s">
        <v>48</v>
      </c>
      <c r="E2" s="358" t="s">
        <v>49</v>
      </c>
      <c r="F2" s="358" t="s">
        <v>50</v>
      </c>
      <c r="G2" s="39" t="s">
        <v>51</v>
      </c>
      <c r="H2" s="358" t="s">
        <v>47</v>
      </c>
      <c r="I2" s="358" t="s">
        <v>48</v>
      </c>
      <c r="J2" s="358" t="s">
        <v>49</v>
      </c>
      <c r="K2" s="358" t="s">
        <v>50</v>
      </c>
      <c r="L2" s="358" t="s">
        <v>51</v>
      </c>
      <c r="M2" s="358" t="s">
        <v>52</v>
      </c>
      <c r="N2" s="40" t="s">
        <v>53</v>
      </c>
      <c r="O2" s="744"/>
      <c r="P2" s="742"/>
      <c r="Q2" s="704"/>
      <c r="R2" s="705"/>
      <c r="S2" s="705"/>
      <c r="T2" s="705"/>
      <c r="U2" s="706"/>
    </row>
    <row r="3" spans="1:21" s="264" customFormat="1" ht="15">
      <c r="A3" s="415" t="str">
        <f>'1-συμβολαια'!A3</f>
        <v>10ο</v>
      </c>
      <c r="B3" s="327" t="str">
        <f>'1-συμβολαια'!C3</f>
        <v>κληρονομιάς ΑΠΟΔΟΧΗ</v>
      </c>
      <c r="C3" s="341">
        <v>1</v>
      </c>
      <c r="D3" s="261" t="s">
        <v>629</v>
      </c>
      <c r="E3" s="261"/>
      <c r="F3" s="261"/>
      <c r="G3" s="261"/>
      <c r="H3" s="334">
        <v>4</v>
      </c>
      <c r="I3" s="261" t="s">
        <v>629</v>
      </c>
      <c r="J3" s="261" t="s">
        <v>629</v>
      </c>
      <c r="K3" s="261" t="s">
        <v>629</v>
      </c>
      <c r="L3" s="261" t="s">
        <v>629</v>
      </c>
      <c r="M3" s="265"/>
      <c r="N3" s="265"/>
      <c r="O3" s="334">
        <v>3</v>
      </c>
      <c r="P3" s="332">
        <f>O3*('2-δικαιώμ'!N3+'3-φύλλα2α'!F3)</f>
        <v>130.35000000000002</v>
      </c>
      <c r="Q3" s="336"/>
      <c r="R3" s="336"/>
      <c r="S3" s="336"/>
      <c r="T3" s="336"/>
      <c r="U3" s="337"/>
    </row>
    <row r="4" spans="1:21" s="264" customFormat="1" ht="15">
      <c r="A4" s="415">
        <f>'1-συμβολαια'!A4</f>
        <v>0</v>
      </c>
      <c r="B4" s="327" t="str">
        <f>'1-συμβολαια'!C4</f>
        <v>ΧΡΗΣΙΚΤΗΣΙΑ οικοπέδου &amp; οικοδομής = 1992 αδερφού ΚΛΗΡΟΝΟΜΙΑ άτυπη</v>
      </c>
      <c r="C4" s="341"/>
      <c r="D4" s="261"/>
      <c r="E4" s="261"/>
      <c r="F4" s="261"/>
      <c r="G4" s="261"/>
      <c r="H4" s="334"/>
      <c r="I4" s="261" t="s">
        <v>629</v>
      </c>
      <c r="J4" s="265"/>
      <c r="K4" s="265"/>
      <c r="L4" s="265"/>
      <c r="M4" s="265"/>
      <c r="N4" s="265"/>
      <c r="O4" s="334"/>
      <c r="P4" s="332">
        <f>O4*('2-δικαιώμ'!N4+'3-φύλλα2α'!F4)</f>
        <v>0</v>
      </c>
      <c r="Q4" s="336"/>
      <c r="R4" s="336"/>
      <c r="S4" s="336"/>
      <c r="T4" s="336"/>
      <c r="U4" s="337"/>
    </row>
    <row r="5" spans="1:21" s="264" customFormat="1" ht="15">
      <c r="A5" s="415">
        <f>'1-συμβολαια'!A5</f>
        <v>0</v>
      </c>
      <c r="B5" s="327" t="str">
        <f>'1-συμβολαια'!C5</f>
        <v>ΧΡΗΣΙΚΤΗΣΙΑ οικοπέδων 2'-3' = 1992 αδερφού ΚΛΗΡΟΝΟΜΙΑ άτυπη</v>
      </c>
      <c r="C5" s="341"/>
      <c r="D5" s="261"/>
      <c r="E5" s="261"/>
      <c r="F5" s="261"/>
      <c r="G5" s="261"/>
      <c r="H5" s="334"/>
      <c r="I5" s="261" t="s">
        <v>629</v>
      </c>
      <c r="J5" s="265"/>
      <c r="K5" s="265"/>
      <c r="L5" s="265"/>
      <c r="M5" s="265"/>
      <c r="N5" s="265"/>
      <c r="O5" s="334"/>
      <c r="P5" s="332">
        <f>O5*('2-δικαιώμ'!N5+'3-φύλλα2α'!F5)</f>
        <v>0</v>
      </c>
      <c r="Q5" s="336"/>
      <c r="R5" s="336"/>
      <c r="S5" s="336"/>
      <c r="T5" s="336"/>
      <c r="U5" s="337"/>
    </row>
    <row r="6" spans="1:21" s="264" customFormat="1" ht="15">
      <c r="A6" s="415">
        <f>'1-συμβολαια'!A6</f>
        <v>0</v>
      </c>
      <c r="B6" s="327" t="str">
        <f>'1-συμβολαια'!C6</f>
        <v>ΧΡΗΣΙΚΤΗΣΙΑ αγροτεμαχίου 9' = 1968 μητρός ΚΛΗΡΟΝΟΜΙΑ άτυπη</v>
      </c>
      <c r="C6" s="341"/>
      <c r="D6" s="261"/>
      <c r="E6" s="261"/>
      <c r="F6" s="261"/>
      <c r="G6" s="261"/>
      <c r="H6" s="334"/>
      <c r="I6" s="261" t="s">
        <v>629</v>
      </c>
      <c r="J6" s="265"/>
      <c r="K6" s="265"/>
      <c r="L6" s="265"/>
      <c r="M6" s="265"/>
      <c r="N6" s="265"/>
      <c r="O6" s="334"/>
      <c r="P6" s="332">
        <f>O6*('2-δικαιώμ'!N6+'3-φύλλα2α'!F6)</f>
        <v>0</v>
      </c>
      <c r="Q6" s="336"/>
      <c r="R6" s="336"/>
      <c r="S6" s="336"/>
      <c r="T6" s="336"/>
      <c r="U6" s="337"/>
    </row>
    <row r="7" spans="1:21" s="264" customFormat="1" ht="15">
      <c r="A7" s="415">
        <f>'1-συμβολαια'!A7</f>
        <v>0</v>
      </c>
      <c r="B7" s="327" t="str">
        <f>'1-συμβολαια'!C7</f>
        <v>ΧΡΗΣΙΚΤΗΣΙΑ οικοπέδου 4' = 19?? ΑΓΟΡΑΠΩΛΗΣΙΑ άτυπη</v>
      </c>
      <c r="C7" s="341"/>
      <c r="D7" s="261"/>
      <c r="E7" s="261"/>
      <c r="F7" s="261"/>
      <c r="G7" s="261"/>
      <c r="H7" s="334"/>
      <c r="I7" s="261" t="s">
        <v>629</v>
      </c>
      <c r="J7" s="265"/>
      <c r="K7" s="265"/>
      <c r="L7" s="265"/>
      <c r="M7" s="265"/>
      <c r="N7" s="265"/>
      <c r="O7" s="334"/>
      <c r="P7" s="332">
        <f>O7*('2-δικαιώμ'!N7+'3-φύλλα2α'!F7)</f>
        <v>0</v>
      </c>
      <c r="Q7" s="336"/>
      <c r="R7" s="336"/>
      <c r="S7" s="336"/>
      <c r="T7" s="336"/>
      <c r="U7" s="337"/>
    </row>
    <row r="8" spans="1:21" s="264" customFormat="1" ht="15.75" thickBot="1">
      <c r="A8" s="419">
        <f>'1-συμβολαια'!A8</f>
        <v>0</v>
      </c>
      <c r="B8" s="425" t="str">
        <f>'1-συμβολαια'!C8</f>
        <v>ΧΡΗΣΙΚΤΗΣΙΑ αγροτεμαχίου 8' = 19??? ΑΓΟΡΑΠΩΛΗΣΙΑ άτυπη</v>
      </c>
      <c r="C8" s="460"/>
      <c r="D8" s="461"/>
      <c r="E8" s="461"/>
      <c r="F8" s="461"/>
      <c r="G8" s="461"/>
      <c r="H8" s="462"/>
      <c r="I8" s="461" t="s">
        <v>629</v>
      </c>
      <c r="J8" s="463"/>
      <c r="K8" s="463"/>
      <c r="L8" s="463"/>
      <c r="M8" s="463"/>
      <c r="N8" s="463"/>
      <c r="O8" s="462"/>
      <c r="P8" s="464">
        <f>O8*('2-δικαιώμ'!N8+'3-φύλλα2α'!F8)</f>
        <v>0</v>
      </c>
      <c r="Q8" s="465"/>
      <c r="R8" s="465"/>
      <c r="S8" s="465"/>
      <c r="T8" s="465"/>
      <c r="U8" s="466"/>
    </row>
    <row r="9" spans="1:21" s="264" customFormat="1" ht="15">
      <c r="A9" s="445" t="str">
        <f>'1-συμβολαια'!A9</f>
        <v>11ο</v>
      </c>
      <c r="B9" s="424" t="str">
        <f>'1-συμβολαια'!C9</f>
        <v>κληρονομιάς ΑΠΟΔΟΧΗ</v>
      </c>
      <c r="C9" s="341">
        <v>1</v>
      </c>
      <c r="D9" s="261" t="s">
        <v>629</v>
      </c>
      <c r="E9" s="440"/>
      <c r="F9" s="440"/>
      <c r="G9" s="440"/>
      <c r="H9" s="456">
        <v>3</v>
      </c>
      <c r="I9" s="261" t="s">
        <v>629</v>
      </c>
      <c r="J9" s="261" t="s">
        <v>629</v>
      </c>
      <c r="K9" s="261" t="s">
        <v>629</v>
      </c>
      <c r="L9" s="456"/>
      <c r="M9" s="427"/>
      <c r="N9" s="427"/>
      <c r="O9" s="456">
        <v>2</v>
      </c>
      <c r="P9" s="457">
        <f>O9*('2-δικαιώμ'!N9+'3-φύλλα2α'!F9)</f>
        <v>86.9</v>
      </c>
      <c r="Q9" s="458"/>
      <c r="R9" s="458"/>
      <c r="S9" s="458"/>
      <c r="T9" s="458"/>
      <c r="U9" s="459"/>
    </row>
    <row r="10" spans="1:21" s="264" customFormat="1" ht="15">
      <c r="A10" s="448">
        <f>'1-συμβολαια'!A10</f>
        <v>0</v>
      </c>
      <c r="B10" s="327" t="str">
        <f>'1-συμβολαια'!C10</f>
        <v>ΧΡΗΣΙΚΤΗΣΙΑ οικοπέδου &amp; οικοδομής = 1992 αδερφού ΚΛΗΡΟΝΟΜΙΑ άτυπη</v>
      </c>
      <c r="C10" s="341"/>
      <c r="D10" s="261"/>
      <c r="E10" s="261"/>
      <c r="F10" s="261"/>
      <c r="G10" s="261"/>
      <c r="H10" s="334"/>
      <c r="I10" s="261" t="s">
        <v>629</v>
      </c>
      <c r="J10" s="265"/>
      <c r="K10" s="265"/>
      <c r="L10" s="265"/>
      <c r="M10" s="265"/>
      <c r="N10" s="265"/>
      <c r="O10" s="334"/>
      <c r="P10" s="332">
        <f>O10*('2-δικαιώμ'!N10+'3-φύλλα2α'!F10)</f>
        <v>0</v>
      </c>
      <c r="Q10" s="336"/>
      <c r="R10" s="336"/>
      <c r="S10" s="336"/>
      <c r="T10" s="336"/>
      <c r="U10" s="337"/>
    </row>
    <row r="11" spans="1:21" s="264" customFormat="1" ht="15">
      <c r="A11" s="448">
        <f>'1-συμβολαια'!A11</f>
        <v>0</v>
      </c>
      <c r="B11" s="327" t="str">
        <f>'1-συμβολαια'!C11</f>
        <v>ΧΡΗΣΙΚΤΗΣΙΑ οικοπέδων 2'-3' = 1992 αδερφού ΚΛΗΡΟΝΟΜΙΑ άτυπη</v>
      </c>
      <c r="C11" s="341"/>
      <c r="D11" s="261"/>
      <c r="E11" s="261"/>
      <c r="F11" s="261"/>
      <c r="G11" s="261"/>
      <c r="H11" s="334"/>
      <c r="I11" s="261" t="s">
        <v>629</v>
      </c>
      <c r="J11" s="265"/>
      <c r="K11" s="265"/>
      <c r="L11" s="265"/>
      <c r="M11" s="265"/>
      <c r="N11" s="265"/>
      <c r="O11" s="334"/>
      <c r="P11" s="332">
        <f>O11*('2-δικαιώμ'!N11+'3-φύλλα2α'!F11)</f>
        <v>0</v>
      </c>
      <c r="Q11" s="336"/>
      <c r="R11" s="336"/>
      <c r="S11" s="336"/>
      <c r="T11" s="336"/>
      <c r="U11" s="337"/>
    </row>
    <row r="12" spans="1:21" s="264" customFormat="1" ht="15">
      <c r="A12" s="448">
        <f>'1-συμβολαια'!A12</f>
        <v>0</v>
      </c>
      <c r="B12" s="327" t="str">
        <f>'1-συμβολαια'!C12</f>
        <v>ΧΡΗΣΙΚΤΗΣΙΑ αγροτεμαχίου 9' = 1968 μητρός ΚΛΗΡΟΝΟΜΙΑ άτυπη</v>
      </c>
      <c r="C12" s="341"/>
      <c r="D12" s="261"/>
      <c r="E12" s="261"/>
      <c r="F12" s="261"/>
      <c r="G12" s="261"/>
      <c r="H12" s="334"/>
      <c r="I12" s="261" t="s">
        <v>629</v>
      </c>
      <c r="J12" s="265"/>
      <c r="K12" s="265"/>
      <c r="L12" s="265"/>
      <c r="M12" s="265"/>
      <c r="N12" s="265"/>
      <c r="O12" s="334"/>
      <c r="P12" s="332">
        <f>O12*('2-δικαιώμ'!N12+'3-φύλλα2α'!F12)</f>
        <v>0</v>
      </c>
      <c r="Q12" s="336"/>
      <c r="R12" s="336"/>
      <c r="S12" s="336"/>
      <c r="T12" s="336"/>
      <c r="U12" s="337"/>
    </row>
    <row r="13" spans="1:21" s="264" customFormat="1" ht="15">
      <c r="A13" s="446">
        <f>'1-συμβολαια'!A13</f>
        <v>0</v>
      </c>
      <c r="B13" s="327" t="str">
        <f>'1-συμβολαια'!C13</f>
        <v>ΧΡΗΣΙΚΤΗΣΙΑ οικοπέδου 4' = 19?? ΑΓΟΡΑΠΩΛΗΣΙΑ άτυπη</v>
      </c>
      <c r="C13" s="341"/>
      <c r="D13" s="261"/>
      <c r="E13" s="261"/>
      <c r="F13" s="261"/>
      <c r="G13" s="261"/>
      <c r="H13" s="334"/>
      <c r="I13" s="261" t="s">
        <v>629</v>
      </c>
      <c r="J13" s="265"/>
      <c r="K13" s="265"/>
      <c r="L13" s="265"/>
      <c r="M13" s="265"/>
      <c r="N13" s="265"/>
      <c r="O13" s="334"/>
      <c r="P13" s="332">
        <f>O13*('2-δικαιώμ'!N13+'3-φύλλα2α'!F13)</f>
        <v>0</v>
      </c>
      <c r="Q13" s="336"/>
      <c r="R13" s="336"/>
      <c r="S13" s="336"/>
      <c r="T13" s="336"/>
      <c r="U13" s="337"/>
    </row>
    <row r="14" spans="1:21" s="264" customFormat="1" ht="15.75" thickBot="1">
      <c r="A14" s="447">
        <f>'1-συμβολαια'!A14</f>
        <v>0</v>
      </c>
      <c r="B14" s="425" t="str">
        <f>'1-συμβολαια'!C14</f>
        <v>ΧΡΗΣΙΚΤΗΣΙΑ αγροτεμαχίου 8' = 19??? ΑΓΟΡΑΠΩΛΗΣΙΑ άτυπη</v>
      </c>
      <c r="C14" s="460"/>
      <c r="D14" s="461"/>
      <c r="E14" s="461"/>
      <c r="F14" s="461"/>
      <c r="G14" s="461"/>
      <c r="H14" s="462"/>
      <c r="I14" s="461" t="s">
        <v>629</v>
      </c>
      <c r="J14" s="463"/>
      <c r="K14" s="463"/>
      <c r="L14" s="463"/>
      <c r="M14" s="463"/>
      <c r="N14" s="463"/>
      <c r="O14" s="462"/>
      <c r="P14" s="464">
        <f>O14*('2-δικαιώμ'!N14+'3-φύλλα2α'!F14)</f>
        <v>0</v>
      </c>
      <c r="Q14" s="465"/>
      <c r="R14" s="465"/>
      <c r="S14" s="465"/>
      <c r="T14" s="465"/>
      <c r="U14" s="466"/>
    </row>
    <row r="15" spans="1:21" s="264" customFormat="1" ht="15">
      <c r="A15" s="471" t="str">
        <f>'1-συμβολαια'!A15</f>
        <v>12ο</v>
      </c>
      <c r="B15" s="424" t="str">
        <f>'1-συμβολαια'!C15</f>
        <v>κληρονομιάς ΑΠΟΔΟΧΗ</v>
      </c>
      <c r="C15" s="341">
        <v>1</v>
      </c>
      <c r="D15" s="261" t="s">
        <v>629</v>
      </c>
      <c r="E15" s="323"/>
      <c r="F15" s="323"/>
      <c r="G15" s="323"/>
      <c r="H15" s="456">
        <v>2</v>
      </c>
      <c r="I15" s="261" t="s">
        <v>629</v>
      </c>
      <c r="J15" s="261" t="s">
        <v>629</v>
      </c>
      <c r="K15" s="427"/>
      <c r="L15" s="427"/>
      <c r="M15" s="427"/>
      <c r="N15" s="427"/>
      <c r="O15" s="456">
        <v>1</v>
      </c>
      <c r="P15" s="457">
        <f>O15*('2-δικαιώμ'!N15+'3-φύλλα2α'!F15)</f>
        <v>43.45</v>
      </c>
      <c r="Q15" s="458"/>
      <c r="R15" s="458"/>
      <c r="S15" s="458"/>
      <c r="T15" s="458"/>
      <c r="U15" s="459"/>
    </row>
    <row r="16" spans="1:21" s="264" customFormat="1" ht="15">
      <c r="A16" s="415">
        <f>'1-συμβολαια'!A16</f>
        <v>0</v>
      </c>
      <c r="B16" s="327" t="str">
        <f>'1-συμβολαια'!C16</f>
        <v>ΧΡΗΣΙΚΤΗΣΙΑ οικοπέδου &amp; οικοδομής = 1992 αδερφού ΚΛΗΡΟΝΟΜΙΑ άτυπη</v>
      </c>
      <c r="C16" s="341"/>
      <c r="D16" s="261"/>
      <c r="E16" s="261"/>
      <c r="F16" s="261"/>
      <c r="G16" s="261"/>
      <c r="H16" s="334"/>
      <c r="I16" s="261" t="s">
        <v>629</v>
      </c>
      <c r="J16" s="265"/>
      <c r="K16" s="265"/>
      <c r="L16" s="265"/>
      <c r="M16" s="265"/>
      <c r="N16" s="265"/>
      <c r="O16" s="334"/>
      <c r="P16" s="332">
        <f>O16*('2-δικαιώμ'!N16+'3-φύλλα2α'!F16)</f>
        <v>0</v>
      </c>
      <c r="Q16" s="336"/>
      <c r="R16" s="336"/>
      <c r="S16" s="336"/>
      <c r="T16" s="336"/>
      <c r="U16" s="337"/>
    </row>
    <row r="17" spans="1:21" s="264" customFormat="1" ht="15">
      <c r="A17" s="415">
        <f>'1-συμβολαια'!A17</f>
        <v>0</v>
      </c>
      <c r="B17" s="327" t="str">
        <f>'1-συμβολαια'!C17</f>
        <v>ΧΡΗΣΙΚΤΗΣΙΑ οικοπέδων 2'-3' = 1992 αδερφού ΚΛΗΡΟΝΟΜΙΑ άτυπη</v>
      </c>
      <c r="C17" s="341"/>
      <c r="D17" s="261"/>
      <c r="E17" s="261"/>
      <c r="F17" s="261"/>
      <c r="G17" s="261"/>
      <c r="H17" s="334"/>
      <c r="I17" s="261" t="s">
        <v>629</v>
      </c>
      <c r="J17" s="265"/>
      <c r="K17" s="265"/>
      <c r="L17" s="265"/>
      <c r="M17" s="265"/>
      <c r="N17" s="265"/>
      <c r="O17" s="334"/>
      <c r="P17" s="332">
        <f>O17*('2-δικαιώμ'!N17+'3-φύλλα2α'!F17)</f>
        <v>0</v>
      </c>
      <c r="Q17" s="336"/>
      <c r="R17" s="336"/>
      <c r="S17" s="336"/>
      <c r="T17" s="336"/>
      <c r="U17" s="337"/>
    </row>
    <row r="18" spans="1:21" s="264" customFormat="1" ht="15">
      <c r="A18" s="415">
        <f>'1-συμβολαια'!A18</f>
        <v>0</v>
      </c>
      <c r="B18" s="327" t="str">
        <f>'1-συμβολαια'!C18</f>
        <v>ΧΡΗΣΙΚΤΗΣΙΑ αγροτεμαχίου 9' = 1968 μητρός ΚΛΗΡΟΝΟΜΙΑ άτυπη</v>
      </c>
      <c r="C18" s="341"/>
      <c r="D18" s="261"/>
      <c r="E18" s="261"/>
      <c r="F18" s="261"/>
      <c r="G18" s="261"/>
      <c r="H18" s="334"/>
      <c r="I18" s="261" t="s">
        <v>629</v>
      </c>
      <c r="J18" s="265"/>
      <c r="K18" s="265"/>
      <c r="L18" s="265"/>
      <c r="M18" s="265"/>
      <c r="N18" s="265"/>
      <c r="O18" s="334"/>
      <c r="P18" s="332">
        <f>O18*('2-δικαιώμ'!N18+'3-φύλλα2α'!F18)</f>
        <v>0</v>
      </c>
      <c r="Q18" s="336"/>
      <c r="R18" s="336"/>
      <c r="S18" s="336"/>
      <c r="T18" s="336"/>
      <c r="U18" s="337"/>
    </row>
    <row r="19" spans="1:21" s="264" customFormat="1" ht="15">
      <c r="A19" s="415">
        <f>'1-συμβολαια'!A19</f>
        <v>0</v>
      </c>
      <c r="B19" s="327" t="str">
        <f>'1-συμβολαια'!C19</f>
        <v>ΧΡΗΣΙΚΤΗΣΙΑ οικοπέδου 4' = 19?? ΑΓΟΡΑΠΩΛΗΣΙΑ άτυπη</v>
      </c>
      <c r="C19" s="341"/>
      <c r="D19" s="261"/>
      <c r="E19" s="261"/>
      <c r="F19" s="261"/>
      <c r="G19" s="261"/>
      <c r="H19" s="334"/>
      <c r="I19" s="261" t="s">
        <v>629</v>
      </c>
      <c r="J19" s="265"/>
      <c r="K19" s="265"/>
      <c r="L19" s="265"/>
      <c r="M19" s="265"/>
      <c r="N19" s="265"/>
      <c r="O19" s="334"/>
      <c r="P19" s="332">
        <f>O19*('2-δικαιώμ'!N19+'3-φύλλα2α'!F19)</f>
        <v>0</v>
      </c>
      <c r="Q19" s="336"/>
      <c r="R19" s="336"/>
      <c r="S19" s="336"/>
      <c r="T19" s="336"/>
      <c r="U19" s="337"/>
    </row>
    <row r="20" spans="1:21" s="264" customFormat="1" ht="15.75" thickBot="1">
      <c r="A20" s="419">
        <f>'1-συμβολαια'!A20</f>
        <v>0</v>
      </c>
      <c r="B20" s="425" t="str">
        <f>'1-συμβολαια'!C20</f>
        <v>ΧΡΗΣΙΚΤΗΣΙΑ αγροτεμαχίου 8' = 19??? ΑΓΟΡΑΠΩΛΗΣΙΑ άτυπη</v>
      </c>
      <c r="C20" s="460"/>
      <c r="D20" s="461"/>
      <c r="E20" s="461"/>
      <c r="F20" s="461"/>
      <c r="G20" s="461"/>
      <c r="H20" s="462"/>
      <c r="I20" s="461" t="s">
        <v>629</v>
      </c>
      <c r="J20" s="463"/>
      <c r="K20" s="463"/>
      <c r="L20" s="463"/>
      <c r="M20" s="463"/>
      <c r="N20" s="463"/>
      <c r="O20" s="462"/>
      <c r="P20" s="464">
        <f>O20*('2-δικαιώμ'!N20+'3-φύλλα2α'!F20)</f>
        <v>0</v>
      </c>
      <c r="Q20" s="465"/>
      <c r="R20" s="465"/>
      <c r="S20" s="465"/>
      <c r="T20" s="465"/>
      <c r="U20" s="466"/>
    </row>
    <row r="21" spans="1:21" s="264" customFormat="1" ht="15">
      <c r="A21" s="445" t="str">
        <f>'1-συμβολαια'!A21</f>
        <v>13ο</v>
      </c>
      <c r="B21" s="424" t="str">
        <f>'1-συμβολαια'!C21</f>
        <v>κληρονομιάς ΑΠΟΔΟΧΗ</v>
      </c>
      <c r="C21" s="341">
        <v>1</v>
      </c>
      <c r="D21" s="261" t="s">
        <v>629</v>
      </c>
      <c r="E21" s="3"/>
      <c r="F21" s="323"/>
      <c r="G21" s="323"/>
      <c r="H21" s="456"/>
      <c r="I21" s="261" t="s">
        <v>629</v>
      </c>
      <c r="J21" s="427"/>
      <c r="K21" s="427"/>
      <c r="L21" s="427"/>
      <c r="M21" s="427"/>
      <c r="N21" s="427"/>
      <c r="O21" s="456"/>
      <c r="P21" s="457">
        <f>O21*('2-δικαιώμ'!N21+'3-φύλλα2α'!F21)</f>
        <v>0</v>
      </c>
      <c r="Q21" s="458"/>
      <c r="R21" s="458"/>
      <c r="S21" s="458"/>
      <c r="T21" s="458"/>
      <c r="U21" s="459"/>
    </row>
    <row r="22" spans="1:21" s="264" customFormat="1" ht="15">
      <c r="A22" s="446">
        <f>'1-συμβολαια'!A22</f>
        <v>0</v>
      </c>
      <c r="B22" s="327" t="str">
        <f>'1-συμβολαια'!C22</f>
        <v>ΧΡΗΣΙΚΤΗΣΙΑ οικοπέδου &amp; οικοδομής = 1992 αδερφού ΚΛΗΡΟΝΟΜΙΑ άτυπη</v>
      </c>
      <c r="C22" s="341"/>
      <c r="D22" s="261"/>
      <c r="E22" s="261"/>
      <c r="F22" s="261"/>
      <c r="G22" s="261"/>
      <c r="H22" s="334"/>
      <c r="I22" s="261" t="s">
        <v>629</v>
      </c>
      <c r="J22" s="265"/>
      <c r="K22" s="265"/>
      <c r="L22" s="265"/>
      <c r="M22" s="265"/>
      <c r="N22" s="265"/>
      <c r="O22" s="334"/>
      <c r="P22" s="332">
        <f>O22*('2-δικαιώμ'!N22+'3-φύλλα2α'!F22)</f>
        <v>0</v>
      </c>
      <c r="Q22" s="336"/>
      <c r="R22" s="336"/>
      <c r="S22" s="336"/>
      <c r="T22" s="336"/>
      <c r="U22" s="337"/>
    </row>
    <row r="23" spans="1:21" s="264" customFormat="1" ht="15">
      <c r="A23" s="446">
        <f>'1-συμβολαια'!A23</f>
        <v>0</v>
      </c>
      <c r="B23" s="327" t="str">
        <f>'1-συμβολαια'!C23</f>
        <v>ΧΡΗΣΙΚΤΗΣΙΑ οικοπέδων 2'-3' = 1992 αδερφού ΚΛΗΡΟΝΟΜΙΑ άτυπη</v>
      </c>
      <c r="C23" s="341"/>
      <c r="D23" s="261"/>
      <c r="E23" s="261"/>
      <c r="F23" s="261"/>
      <c r="G23" s="261"/>
      <c r="H23" s="334"/>
      <c r="I23" s="261" t="s">
        <v>629</v>
      </c>
      <c r="J23" s="265"/>
      <c r="K23" s="265"/>
      <c r="L23" s="265"/>
      <c r="M23" s="265"/>
      <c r="N23" s="265"/>
      <c r="O23" s="334"/>
      <c r="P23" s="332">
        <f>O23*('2-δικαιώμ'!N23+'3-φύλλα2α'!F23)</f>
        <v>0</v>
      </c>
      <c r="Q23" s="336"/>
      <c r="R23" s="336"/>
      <c r="S23" s="336"/>
      <c r="T23" s="336"/>
      <c r="U23" s="337"/>
    </row>
    <row r="24" spans="1:21" s="264" customFormat="1" ht="15">
      <c r="A24" s="446">
        <f>'1-συμβολαια'!A24</f>
        <v>0</v>
      </c>
      <c r="B24" s="327" t="str">
        <f>'1-συμβολαια'!C24</f>
        <v>ΧΡΗΣΙΚΤΗΣΙΑ αγροτεμαχίου 9' = 1968 μητρός ΚΛΗΡΟΝΟΜΙΑ άτυπη</v>
      </c>
      <c r="C24" s="341"/>
      <c r="D24" s="261"/>
      <c r="E24" s="261"/>
      <c r="F24" s="261"/>
      <c r="G24" s="261"/>
      <c r="H24" s="334"/>
      <c r="I24" s="261" t="s">
        <v>629</v>
      </c>
      <c r="J24" s="265"/>
      <c r="K24" s="265"/>
      <c r="L24" s="265"/>
      <c r="M24" s="265"/>
      <c r="N24" s="265"/>
      <c r="O24" s="334"/>
      <c r="P24" s="332">
        <f>O24*('2-δικαιώμ'!N24+'3-φύλλα2α'!F24)</f>
        <v>0</v>
      </c>
      <c r="Q24" s="336"/>
      <c r="R24" s="336"/>
      <c r="S24" s="336"/>
      <c r="T24" s="336"/>
      <c r="U24" s="337"/>
    </row>
    <row r="25" spans="1:21" s="264" customFormat="1" ht="15">
      <c r="A25" s="446">
        <f>'1-συμβολαια'!A25</f>
        <v>0</v>
      </c>
      <c r="B25" s="327" t="str">
        <f>'1-συμβολαια'!C25</f>
        <v>ΧΡΗΣΙΚΤΗΣΙΑ οικοπέδου 4' = 19?? ΑΓΟΡΑΠΩΛΗΣΙΑ άτυπη</v>
      </c>
      <c r="C25" s="341"/>
      <c r="D25" s="261"/>
      <c r="E25" s="261"/>
      <c r="F25" s="261"/>
      <c r="G25" s="261"/>
      <c r="H25" s="334"/>
      <c r="I25" s="261" t="s">
        <v>629</v>
      </c>
      <c r="J25" s="265"/>
      <c r="K25" s="265"/>
      <c r="L25" s="265"/>
      <c r="M25" s="265"/>
      <c r="N25" s="265"/>
      <c r="O25" s="334"/>
      <c r="P25" s="332">
        <f>O25*('2-δικαιώμ'!N25+'3-φύλλα2α'!F25)</f>
        <v>0</v>
      </c>
      <c r="Q25" s="336"/>
      <c r="R25" s="336"/>
      <c r="S25" s="336"/>
      <c r="T25" s="336"/>
      <c r="U25" s="337"/>
    </row>
    <row r="26" spans="1:21" s="264" customFormat="1" ht="15.75" thickBot="1">
      <c r="A26" s="447">
        <f>'1-συμβολαια'!A26</f>
        <v>0</v>
      </c>
      <c r="B26" s="425" t="str">
        <f>'1-συμβολαια'!C26</f>
        <v>ΧΡΗΣΙΚΤΗΣΙΑ αγροτεμαχίου 8' = 19??? ΑΓΟΡΑΠΩΛΗΣΙΑ άτυπη</v>
      </c>
      <c r="C26" s="460"/>
      <c r="D26" s="461"/>
      <c r="E26" s="461"/>
      <c r="F26" s="461"/>
      <c r="G26" s="461"/>
      <c r="H26" s="462"/>
      <c r="I26" s="461" t="s">
        <v>629</v>
      </c>
      <c r="J26" s="463"/>
      <c r="K26" s="463"/>
      <c r="L26" s="463"/>
      <c r="M26" s="463"/>
      <c r="N26" s="463"/>
      <c r="O26" s="462"/>
      <c r="P26" s="464">
        <f>O26*('2-δικαιώμ'!N26+'3-φύλλα2α'!F26)</f>
        <v>0</v>
      </c>
      <c r="Q26" s="465"/>
      <c r="R26" s="465"/>
      <c r="S26" s="465"/>
      <c r="T26" s="465"/>
      <c r="U26" s="466"/>
    </row>
    <row r="27" spans="1:21" s="264" customFormat="1" ht="15">
      <c r="A27" s="471" t="str">
        <f>'1-συμβολαια'!A27</f>
        <v>14ο</v>
      </c>
      <c r="B27" s="424" t="str">
        <f>'1-συμβολαια'!C27</f>
        <v>κληρονομιάς ΑΠΟΔΟΧΗ</v>
      </c>
      <c r="C27" s="341">
        <v>1</v>
      </c>
      <c r="D27" s="261" t="s">
        <v>629</v>
      </c>
      <c r="E27" s="323"/>
      <c r="F27" s="323"/>
      <c r="G27" s="323"/>
      <c r="H27" s="456"/>
      <c r="I27" s="261" t="s">
        <v>629</v>
      </c>
      <c r="J27" s="261" t="s">
        <v>629</v>
      </c>
      <c r="K27" s="323"/>
      <c r="L27" s="456"/>
      <c r="M27" s="427"/>
      <c r="N27" s="427"/>
      <c r="O27" s="456">
        <v>2</v>
      </c>
      <c r="P27" s="457">
        <f>O27*('2-δικαιώμ'!N27+'3-φύλλα2α'!F27)</f>
        <v>93.860000000000014</v>
      </c>
      <c r="Q27" s="458"/>
      <c r="R27" s="458"/>
      <c r="S27" s="458"/>
      <c r="T27" s="458"/>
      <c r="U27" s="459"/>
    </row>
    <row r="28" spans="1:21" s="264" customFormat="1" ht="15">
      <c r="A28" s="415">
        <f>'1-συμβολαια'!A28</f>
        <v>0</v>
      </c>
      <c r="B28" s="327" t="str">
        <f>'1-συμβολαια'!C28</f>
        <v>ΧΡΗΣΙΚΤΗΣΙΑ οικοπέδου &amp; οικοδομής = 1935 πατρός ΚΛΗΡΟΝΟΜΙΑ άτυπη</v>
      </c>
      <c r="C28" s="341"/>
      <c r="D28" s="261"/>
      <c r="E28" s="261"/>
      <c r="F28" s="261"/>
      <c r="G28" s="261"/>
      <c r="H28" s="334"/>
      <c r="I28" s="261" t="s">
        <v>629</v>
      </c>
      <c r="J28" s="265"/>
      <c r="K28" s="265"/>
      <c r="L28" s="265"/>
      <c r="M28" s="265"/>
      <c r="N28" s="265"/>
      <c r="O28" s="334"/>
      <c r="P28" s="457">
        <f>O28*('2-δικαιώμ'!N28+'3-φύλλα2α'!F28)</f>
        <v>0</v>
      </c>
      <c r="Q28" s="336"/>
      <c r="R28" s="336"/>
      <c r="S28" s="336"/>
      <c r="T28" s="336"/>
      <c r="U28" s="337"/>
    </row>
    <row r="29" spans="1:21" s="264" customFormat="1" ht="15">
      <c r="A29" s="415">
        <f>'1-συμβολαια'!A29</f>
        <v>0</v>
      </c>
      <c r="B29" s="327" t="str">
        <f>'1-συμβολαια'!C29</f>
        <v>ΧΡΗΣΙΚΤΗΣΙΑ οικοπέδων 2'-3' = 1992 αδερφού ΚΛΗΡΟΝΟΜΙΑ άτυπη</v>
      </c>
      <c r="C29" s="341"/>
      <c r="D29" s="261"/>
      <c r="E29" s="261"/>
      <c r="F29" s="261"/>
      <c r="G29" s="261"/>
      <c r="H29" s="334"/>
      <c r="I29" s="261" t="s">
        <v>629</v>
      </c>
      <c r="J29" s="265"/>
      <c r="K29" s="265"/>
      <c r="L29" s="265"/>
      <c r="M29" s="265"/>
      <c r="N29" s="265"/>
      <c r="O29" s="334"/>
      <c r="P29" s="457">
        <f>O29*('2-δικαιώμ'!N29+'3-φύλλα2α'!F29)</f>
        <v>0</v>
      </c>
      <c r="Q29" s="336"/>
      <c r="R29" s="336"/>
      <c r="S29" s="336"/>
      <c r="T29" s="336"/>
      <c r="U29" s="337"/>
    </row>
    <row r="30" spans="1:21" s="264" customFormat="1" ht="15">
      <c r="A30" s="415">
        <f>'1-συμβολαια'!A30</f>
        <v>0</v>
      </c>
      <c r="B30" s="327" t="str">
        <f>'1-συμβολαια'!C30</f>
        <v>ΧΡΗΣΙΚΤΗΣΙΑ αγροτεμαχίου 9' = 1968 μητρός ΚΛΗΡΟΝΟΜΙΑ άτυπη</v>
      </c>
      <c r="C30" s="341"/>
      <c r="D30" s="261"/>
      <c r="E30" s="261"/>
      <c r="F30" s="261"/>
      <c r="G30" s="261"/>
      <c r="H30" s="334"/>
      <c r="I30" s="261" t="s">
        <v>629</v>
      </c>
      <c r="J30" s="265"/>
      <c r="K30" s="265"/>
      <c r="L30" s="265"/>
      <c r="M30" s="265"/>
      <c r="N30" s="265"/>
      <c r="O30" s="334"/>
      <c r="P30" s="457">
        <f>O30*('2-δικαιώμ'!N30+'3-φύλλα2α'!F30)</f>
        <v>0</v>
      </c>
      <c r="Q30" s="336"/>
      <c r="R30" s="336"/>
      <c r="S30" s="336"/>
      <c r="T30" s="336"/>
      <c r="U30" s="337"/>
    </row>
    <row r="31" spans="1:21" s="264" customFormat="1" ht="15">
      <c r="A31" s="415">
        <f>'1-συμβολαια'!A31</f>
        <v>0</v>
      </c>
      <c r="B31" s="327" t="str">
        <f>'1-συμβολαια'!C31</f>
        <v>ΧΡΗΣΙΚΤΗΣΙΑ οικοπέδου 4' = 19?? ΑΓΟΡΑΠΩΛΗΣΙΑ άτυπη</v>
      </c>
      <c r="C31" s="341"/>
      <c r="D31" s="261"/>
      <c r="E31" s="261"/>
      <c r="F31" s="261"/>
      <c r="G31" s="261"/>
      <c r="H31" s="334"/>
      <c r="I31" s="261" t="s">
        <v>629</v>
      </c>
      <c r="J31" s="265"/>
      <c r="K31" s="265"/>
      <c r="L31" s="265"/>
      <c r="M31" s="265"/>
      <c r="N31" s="265"/>
      <c r="O31" s="334"/>
      <c r="P31" s="457">
        <f>O31*('2-δικαιώμ'!N31+'3-φύλλα2α'!F31)</f>
        <v>0</v>
      </c>
      <c r="Q31" s="336"/>
      <c r="R31" s="336"/>
      <c r="S31" s="336"/>
      <c r="T31" s="336"/>
      <c r="U31" s="337"/>
    </row>
    <row r="32" spans="1:21" s="264" customFormat="1" ht="15.75" thickBot="1">
      <c r="A32" s="419">
        <f>'1-συμβολαια'!A32</f>
        <v>0</v>
      </c>
      <c r="B32" s="425" t="str">
        <f>'1-συμβολαια'!C32</f>
        <v>ΧΡΗΣΙΚΤΗΣΙΑ αγροτεμαχίου 8' = 19??? ΑΓΟΡΑΠΩΛΗΣΙΑ άτυπη</v>
      </c>
      <c r="C32" s="460"/>
      <c r="D32" s="461"/>
      <c r="E32" s="461"/>
      <c r="F32" s="461"/>
      <c r="G32" s="461"/>
      <c r="H32" s="462"/>
      <c r="I32" s="461" t="s">
        <v>629</v>
      </c>
      <c r="J32" s="463"/>
      <c r="K32" s="463"/>
      <c r="L32" s="463"/>
      <c r="M32" s="463"/>
      <c r="N32" s="463"/>
      <c r="O32" s="462"/>
      <c r="P32" s="464">
        <f>O32*('2-δικαιώμ'!N32+'3-φύλλα2α'!F32)</f>
        <v>0</v>
      </c>
      <c r="Q32" s="465"/>
      <c r="R32" s="465"/>
      <c r="S32" s="465"/>
      <c r="T32" s="465"/>
      <c r="U32" s="466"/>
    </row>
    <row r="33" spans="1:25" s="264" customFormat="1" ht="15">
      <c r="A33" s="416" t="str">
        <f>'1-συμβολαια'!A33</f>
        <v>15ο</v>
      </c>
      <c r="B33" s="424" t="str">
        <f>'1-συμβολαια'!C33</f>
        <v>αγοραπωλησία τίμημα = Δ.Ο.Υ. =</v>
      </c>
      <c r="C33" s="455">
        <v>10</v>
      </c>
      <c r="D33" s="261" t="s">
        <v>629</v>
      </c>
      <c r="E33" s="261" t="s">
        <v>629</v>
      </c>
      <c r="F33" s="261" t="s">
        <v>629</v>
      </c>
      <c r="G33" s="323" t="s">
        <v>574</v>
      </c>
      <c r="H33" s="456">
        <v>1</v>
      </c>
      <c r="I33" s="261" t="s">
        <v>629</v>
      </c>
      <c r="J33" s="427"/>
      <c r="K33" s="427"/>
      <c r="L33" s="427"/>
      <c r="M33" s="427"/>
      <c r="N33" s="427"/>
      <c r="O33" s="456">
        <v>9</v>
      </c>
      <c r="P33" s="457">
        <f>O33*('2-δικαιώμ'!N33+'3-φύλλα2α'!F33)</f>
        <v>158.22000000000003</v>
      </c>
      <c r="Q33" s="458"/>
      <c r="R33" s="458"/>
      <c r="S33" s="458"/>
      <c r="T33" s="458"/>
      <c r="U33" s="459"/>
    </row>
    <row r="34" spans="1:25" s="264" customFormat="1" ht="15">
      <c r="A34" s="386" t="str">
        <f>'1-συμβολαια'!A34</f>
        <v>16ο</v>
      </c>
      <c r="B34" s="327" t="str">
        <f>'1-συμβολαια'!C34</f>
        <v>πληρεξούσιο</v>
      </c>
      <c r="C34" s="341">
        <v>1</v>
      </c>
      <c r="D34" s="261" t="s">
        <v>629</v>
      </c>
      <c r="E34" s="261"/>
      <c r="F34" s="261"/>
      <c r="G34" s="261"/>
      <c r="H34" s="334">
        <v>1</v>
      </c>
      <c r="I34" s="261" t="s">
        <v>629</v>
      </c>
      <c r="J34" s="265"/>
      <c r="K34" s="265"/>
      <c r="L34" s="265"/>
      <c r="M34" s="265"/>
      <c r="N34" s="265"/>
      <c r="O34" s="334"/>
      <c r="P34" s="457">
        <f>O34*('2-δικαιώμ'!N34+'3-φύλλα2α'!F34)</f>
        <v>0</v>
      </c>
      <c r="Q34" s="336"/>
      <c r="R34" s="336"/>
      <c r="S34" s="336"/>
      <c r="T34" s="336"/>
      <c r="U34" s="337"/>
    </row>
    <row r="35" spans="1:25" s="264" customFormat="1" ht="15.75" thickBot="1">
      <c r="A35" s="488" t="str">
        <f>'1-συμβολαια'!A35</f>
        <v>17ο</v>
      </c>
      <c r="B35" s="425" t="str">
        <f>'1-συμβολαια'!C35</f>
        <v>πληρεξούσιο</v>
      </c>
      <c r="C35" s="460">
        <v>1</v>
      </c>
      <c r="D35" s="461" t="s">
        <v>629</v>
      </c>
      <c r="E35" s="461"/>
      <c r="F35" s="461"/>
      <c r="G35" s="461"/>
      <c r="H35" s="462">
        <v>1</v>
      </c>
      <c r="I35" s="461" t="s">
        <v>629</v>
      </c>
      <c r="J35" s="463"/>
      <c r="K35" s="463"/>
      <c r="L35" s="463"/>
      <c r="M35" s="463"/>
      <c r="N35" s="463"/>
      <c r="O35" s="462"/>
      <c r="P35" s="464">
        <f>O35*('2-δικαιώμ'!N35+'3-φύλλα2α'!F35)</f>
        <v>0</v>
      </c>
      <c r="Q35" s="465"/>
      <c r="R35" s="465"/>
      <c r="S35" s="465"/>
      <c r="T35" s="465"/>
      <c r="U35" s="466"/>
    </row>
    <row r="36" spans="1:25" s="264" customFormat="1" ht="15">
      <c r="A36" s="471" t="str">
        <f>'1-συμβολαια'!A36</f>
        <v>18ο</v>
      </c>
      <c r="B36" s="424" t="str">
        <f>'1-συμβολαια'!C36</f>
        <v>αποδοχή κληρονομιάς</v>
      </c>
      <c r="C36" s="455">
        <v>1</v>
      </c>
      <c r="D36" s="323" t="s">
        <v>629</v>
      </c>
      <c r="E36" s="323"/>
      <c r="F36" s="323"/>
      <c r="G36" s="323"/>
      <c r="H36" s="456">
        <v>4</v>
      </c>
      <c r="I36" s="261" t="s">
        <v>629</v>
      </c>
      <c r="J36" s="261" t="s">
        <v>629</v>
      </c>
      <c r="K36" s="261" t="s">
        <v>629</v>
      </c>
      <c r="L36" s="261" t="s">
        <v>629</v>
      </c>
      <c r="M36" s="427"/>
      <c r="N36" s="427"/>
      <c r="O36" s="456">
        <v>3</v>
      </c>
      <c r="P36" s="457">
        <f>O36*('2-δικαιώμ'!N36+'3-φύλλα2α'!F36)</f>
        <v>116.25</v>
      </c>
      <c r="Q36" s="458"/>
      <c r="R36" s="458"/>
      <c r="S36" s="458"/>
      <c r="T36" s="458"/>
      <c r="U36" s="459"/>
    </row>
    <row r="37" spans="1:25" s="264" customFormat="1" ht="15">
      <c r="A37" s="471">
        <f>'1-συμβολαια'!A37</f>
        <v>0</v>
      </c>
      <c r="B37" s="424" t="str">
        <f>'1-συμβολαια'!C37</f>
        <v>ΧΡΗΣΙΚΤΗΣΙΑ  αγροτεμαχίου -1 = αναδασμός ΑΛΛΑ πριν ΑΓΟΡΑΠΩΛΗΣΙΑ άτυπος από ;;;??? το 19???</v>
      </c>
      <c r="C37" s="341"/>
      <c r="D37" s="261" t="s">
        <v>589</v>
      </c>
      <c r="E37" s="261"/>
      <c r="F37" s="261"/>
      <c r="G37" s="261"/>
      <c r="H37" s="334"/>
      <c r="I37" s="261" t="s">
        <v>629</v>
      </c>
      <c r="J37" s="265"/>
      <c r="K37" s="265"/>
      <c r="L37" s="265"/>
      <c r="M37" s="265"/>
      <c r="N37" s="265"/>
      <c r="O37" s="334"/>
      <c r="P37" s="457">
        <f>O37*('2-δικαιώμ'!N37+'3-φύλλα2α'!F37)</f>
        <v>0</v>
      </c>
      <c r="Q37" s="336"/>
      <c r="R37" s="336"/>
      <c r="S37" s="336"/>
      <c r="T37" s="336"/>
      <c r="U37" s="337"/>
    </row>
    <row r="38" spans="1:25" s="264" customFormat="1" ht="15">
      <c r="A38" s="471">
        <f>'1-συμβολαια'!A38</f>
        <v>0</v>
      </c>
      <c r="B38" s="424" t="str">
        <f>'1-συμβολαια'!C38</f>
        <v>ΧΡΗΣΙΚΤΗΣΙΑ  οικοπέδου -2 = 19?? ως αγροτεμάχιο με ΑΝΑΔΑΣΜΟ</v>
      </c>
      <c r="C38" s="341"/>
      <c r="D38" s="261"/>
      <c r="E38" s="261"/>
      <c r="F38" s="261"/>
      <c r="G38" s="261"/>
      <c r="H38" s="334"/>
      <c r="I38" s="261" t="s">
        <v>629</v>
      </c>
      <c r="J38" s="265"/>
      <c r="K38" s="265"/>
      <c r="L38" s="265"/>
      <c r="M38" s="265"/>
      <c r="N38" s="265"/>
      <c r="O38" s="334"/>
      <c r="P38" s="457">
        <f>O38*('2-δικαιώμ'!N38+'3-φύλλα2α'!F38)</f>
        <v>0</v>
      </c>
      <c r="Q38" s="336"/>
      <c r="R38" s="336"/>
      <c r="S38" s="336"/>
      <c r="T38" s="336"/>
      <c r="U38" s="337"/>
    </row>
    <row r="39" spans="1:25" s="264" customFormat="1" ht="15.75" thickBot="1">
      <c r="A39" s="419">
        <f>'1-συμβολαια'!A39</f>
        <v>0</v>
      </c>
      <c r="B39" s="425" t="str">
        <f>'1-συμβολαια'!C39</f>
        <v>ΧΡΗΣΙΚΤΗΣΙΑ  οικοπέδου -4 = 19?? ;;;???</v>
      </c>
      <c r="C39" s="460"/>
      <c r="D39" s="461"/>
      <c r="E39" s="461"/>
      <c r="F39" s="461"/>
      <c r="G39" s="461"/>
      <c r="H39" s="462"/>
      <c r="I39" s="461" t="s">
        <v>629</v>
      </c>
      <c r="J39" s="463"/>
      <c r="K39" s="463"/>
      <c r="L39" s="463"/>
      <c r="M39" s="463"/>
      <c r="N39" s="463"/>
      <c r="O39" s="462"/>
      <c r="P39" s="464">
        <f>O39*('2-δικαιώμ'!N39+'3-φύλλα2α'!F39)</f>
        <v>0</v>
      </c>
      <c r="Q39" s="465"/>
      <c r="R39" s="465"/>
      <c r="S39" s="465"/>
      <c r="T39" s="465"/>
      <c r="U39" s="466"/>
    </row>
    <row r="40" spans="1:25" s="264" customFormat="1" ht="15.75" thickBot="1">
      <c r="A40" s="519" t="str">
        <f>'1-συμβολαια'!A40</f>
        <v>19ο</v>
      </c>
      <c r="B40" s="512" t="str">
        <f>'1-συμβολαια'!C40</f>
        <v>*γονική ΨΙΛΗΣ ΚΥΡΙΟΤΗΤΑΣ</v>
      </c>
      <c r="C40" s="526"/>
      <c r="D40" s="527" t="s">
        <v>629</v>
      </c>
      <c r="E40" s="527"/>
      <c r="F40" s="527"/>
      <c r="G40" s="527"/>
      <c r="H40" s="528"/>
      <c r="I40" s="527" t="s">
        <v>629</v>
      </c>
      <c r="J40" s="513"/>
      <c r="K40" s="513"/>
      <c r="L40" s="513"/>
      <c r="M40" s="513"/>
      <c r="N40" s="513"/>
      <c r="O40" s="528"/>
      <c r="P40" s="523">
        <f>O40*('2-δικαιώμ'!N40+'3-φύλλα2α'!F40)</f>
        <v>0</v>
      </c>
      <c r="Q40" s="529"/>
      <c r="R40" s="529"/>
      <c r="S40" s="529"/>
      <c r="T40" s="529"/>
      <c r="U40" s="530"/>
    </row>
    <row r="41" spans="1:25" s="264" customFormat="1" ht="15">
      <c r="A41" s="471" t="str">
        <f>'1-συμβολαια'!A41</f>
        <v>20ο</v>
      </c>
      <c r="B41" s="424" t="str">
        <f>'1-συμβολαια'!C41</f>
        <v>δωρεά</v>
      </c>
      <c r="C41" s="455">
        <v>2</v>
      </c>
      <c r="D41" s="323" t="s">
        <v>629</v>
      </c>
      <c r="E41" s="261" t="s">
        <v>629</v>
      </c>
      <c r="F41" s="323"/>
      <c r="G41" s="323"/>
      <c r="H41" s="456">
        <v>1</v>
      </c>
      <c r="I41" s="261" t="s">
        <v>629</v>
      </c>
      <c r="J41" s="323"/>
      <c r="K41" s="323"/>
      <c r="L41" s="427"/>
      <c r="M41" s="427"/>
      <c r="N41" s="427"/>
      <c r="O41" s="456">
        <v>1</v>
      </c>
      <c r="P41" s="457">
        <f>O41*('2-δικαιώμ'!N41+'3-φύλλα2α'!F41)</f>
        <v>14.65</v>
      </c>
      <c r="Q41" s="458"/>
      <c r="R41" s="458"/>
      <c r="S41" s="458"/>
      <c r="T41" s="458"/>
      <c r="U41" s="459"/>
    </row>
    <row r="42" spans="1:25" s="264" customFormat="1" ht="15.75" thickBot="1">
      <c r="A42" s="419">
        <f>'1-συμβολαια'!A42</f>
        <v>0</v>
      </c>
      <c r="B42" s="425" t="str">
        <f>'1-συμβολαια'!C42</f>
        <v>χρησικτησία 1/2 οικοπέδου &amp; οικίας = συζυγου 1972 ΔΩΡΕΑ άτυπος</v>
      </c>
      <c r="C42" s="460"/>
      <c r="D42" s="461"/>
      <c r="E42" s="461"/>
      <c r="F42" s="461"/>
      <c r="G42" s="461"/>
      <c r="H42" s="462">
        <v>1</v>
      </c>
      <c r="I42" s="461" t="s">
        <v>594</v>
      </c>
      <c r="J42" s="461"/>
      <c r="K42" s="461"/>
      <c r="L42" s="463"/>
      <c r="M42" s="463"/>
      <c r="N42" s="463"/>
      <c r="O42" s="462"/>
      <c r="P42" s="464">
        <f>O42*('2-δικαιώμ'!N42+'3-φύλλα2α'!F42)</f>
        <v>0</v>
      </c>
      <c r="Q42" s="465"/>
      <c r="R42" s="465"/>
      <c r="S42" s="465"/>
      <c r="T42" s="465"/>
      <c r="U42" s="466"/>
    </row>
    <row r="43" spans="1:25" ht="15.75">
      <c r="A43" s="726" t="s">
        <v>47</v>
      </c>
      <c r="B43" s="727"/>
      <c r="C43" s="727"/>
      <c r="D43" s="727"/>
      <c r="E43" s="727"/>
      <c r="F43" s="727"/>
      <c r="G43" s="727"/>
      <c r="H43" s="727"/>
      <c r="I43" s="727"/>
      <c r="J43" s="727"/>
      <c r="K43" s="727"/>
      <c r="L43" s="727"/>
      <c r="M43" s="727"/>
      <c r="N43" s="727"/>
      <c r="O43" s="727"/>
      <c r="P43" s="531">
        <f>SUM(P3:P42)</f>
        <v>643.68000000000006</v>
      </c>
    </row>
    <row r="45" spans="1:25" ht="15.75">
      <c r="Q45" s="145" t="s">
        <v>144</v>
      </c>
      <c r="R45" s="118"/>
      <c r="S45" s="118"/>
      <c r="T45" s="118"/>
      <c r="U45" s="118"/>
      <c r="V45" s="118"/>
      <c r="W45" s="118"/>
      <c r="X45" s="118"/>
      <c r="Y45" s="110"/>
    </row>
    <row r="46" spans="1:25" ht="15.75">
      <c r="D46" s="3"/>
      <c r="E46" s="3"/>
      <c r="F46" s="3"/>
      <c r="G46" s="3"/>
      <c r="H46" s="3"/>
      <c r="I46" s="3"/>
      <c r="J46" s="3"/>
      <c r="K46" s="3"/>
      <c r="L46" s="3"/>
      <c r="M46" s="3"/>
      <c r="R46" s="128" t="s">
        <v>145</v>
      </c>
      <c r="S46" s="128"/>
      <c r="T46" s="128"/>
      <c r="U46" s="128"/>
      <c r="V46" s="128"/>
      <c r="W46" s="128"/>
      <c r="X46" s="128"/>
    </row>
    <row r="47" spans="1:25" ht="15.75">
      <c r="G47" s="3"/>
      <c r="S47" s="145" t="s">
        <v>146</v>
      </c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405"/>
    </row>
  </sheetData>
  <mergeCells count="8">
    <mergeCell ref="Q1:U2"/>
    <mergeCell ref="A43:O43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187"/>
  <sheetViews>
    <sheetView workbookViewId="0">
      <pane ySplit="2" topLeftCell="A134" activePane="bottomLeft" state="frozen"/>
      <selection pane="bottomLeft" activeCell="A48" sqref="A48:B166"/>
    </sheetView>
  </sheetViews>
  <sheetFormatPr defaultRowHeight="11.25"/>
  <cols>
    <col min="1" max="1" width="7.28515625" style="8" bestFit="1" customWidth="1"/>
    <col min="2" max="2" width="80.7109375" style="90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.140625" style="2" customWidth="1"/>
    <col min="10" max="10" width="8.5703125" style="2" customWidth="1"/>
    <col min="11" max="11" width="7.85546875" style="2" customWidth="1"/>
    <col min="12" max="12" width="6.85546875" style="2" customWidth="1"/>
    <col min="13" max="13" width="8.8554687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8.140625" style="81" customWidth="1"/>
    <col min="19" max="19" width="7.28515625" style="81" customWidth="1"/>
    <col min="20" max="20" width="9" style="81" customWidth="1"/>
    <col min="21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5.5703125" style="81" customWidth="1"/>
    <col min="29" max="29" width="6.28515625" style="81" customWidth="1"/>
    <col min="30" max="30" width="7.42578125" style="81" customWidth="1"/>
    <col min="31" max="31" width="7.7109375" style="81" customWidth="1"/>
    <col min="32" max="33" width="6.28515625" style="81" customWidth="1"/>
    <col min="34" max="34" width="7.5703125" style="81" customWidth="1"/>
    <col min="35" max="35" width="7.28515625" style="81" customWidth="1"/>
    <col min="36" max="38" width="6.28515625" style="81" customWidth="1"/>
    <col min="39" max="39" width="7.710937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86" t="s">
        <v>1</v>
      </c>
      <c r="B1" s="747" t="s">
        <v>0</v>
      </c>
      <c r="C1" s="692" t="s">
        <v>7</v>
      </c>
      <c r="D1" s="749" t="s">
        <v>3</v>
      </c>
      <c r="E1" s="750"/>
      <c r="F1" s="751" t="s">
        <v>472</v>
      </c>
      <c r="G1" s="752"/>
      <c r="H1" s="752"/>
      <c r="I1" s="752"/>
      <c r="J1" s="752"/>
      <c r="K1" s="752"/>
      <c r="L1" s="753"/>
      <c r="M1" s="754" t="s">
        <v>396</v>
      </c>
      <c r="N1" s="755"/>
      <c r="O1" s="756" t="s">
        <v>249</v>
      </c>
      <c r="P1" s="757"/>
      <c r="Q1" s="758" t="s">
        <v>395</v>
      </c>
      <c r="R1" s="746" t="s">
        <v>169</v>
      </c>
      <c r="S1" s="746"/>
      <c r="T1" s="746"/>
      <c r="U1" s="746"/>
      <c r="V1" s="746"/>
      <c r="W1" s="746"/>
      <c r="X1" s="746"/>
      <c r="Y1" s="746"/>
      <c r="Z1" s="746"/>
      <c r="AA1" s="746"/>
      <c r="AB1" s="746"/>
      <c r="AC1" s="746"/>
      <c r="AD1" s="746"/>
      <c r="AE1" s="746"/>
      <c r="AF1" s="746"/>
      <c r="AG1" s="746"/>
      <c r="AH1" s="746"/>
      <c r="AI1" s="746"/>
      <c r="AJ1" s="746"/>
      <c r="AK1" s="746"/>
      <c r="AL1" s="746"/>
      <c r="AM1" s="746"/>
      <c r="AN1" s="746"/>
      <c r="AO1" s="746"/>
    </row>
    <row r="2" spans="1:41" ht="23.25" thickBot="1">
      <c r="A2" s="687"/>
      <c r="B2" s="748"/>
      <c r="C2" s="693"/>
      <c r="D2" s="150" t="s">
        <v>4</v>
      </c>
      <c r="E2" s="136" t="s">
        <v>9</v>
      </c>
      <c r="F2" s="218" t="s">
        <v>4</v>
      </c>
      <c r="G2" s="151" t="s">
        <v>9</v>
      </c>
      <c r="H2" s="134" t="s">
        <v>47</v>
      </c>
      <c r="I2" s="217" t="s">
        <v>9</v>
      </c>
      <c r="J2" s="197" t="s">
        <v>355</v>
      </c>
      <c r="K2" s="197" t="s">
        <v>378</v>
      </c>
      <c r="L2" s="199" t="s">
        <v>357</v>
      </c>
      <c r="M2" s="217" t="s">
        <v>23</v>
      </c>
      <c r="N2" s="219" t="s">
        <v>86</v>
      </c>
      <c r="O2" s="217" t="s">
        <v>23</v>
      </c>
      <c r="P2" s="213" t="s">
        <v>9</v>
      </c>
      <c r="Q2" s="759"/>
      <c r="R2" s="153" t="s">
        <v>128</v>
      </c>
      <c r="S2" s="153" t="s">
        <v>167</v>
      </c>
      <c r="T2" s="153" t="s">
        <v>129</v>
      </c>
      <c r="U2" s="153" t="s">
        <v>252</v>
      </c>
      <c r="V2" s="153" t="s">
        <v>130</v>
      </c>
      <c r="W2" s="153" t="s">
        <v>253</v>
      </c>
      <c r="X2" s="153" t="s">
        <v>147</v>
      </c>
      <c r="Y2" s="153" t="s">
        <v>168</v>
      </c>
      <c r="Z2" s="153" t="s">
        <v>148</v>
      </c>
      <c r="AA2" s="153" t="s">
        <v>254</v>
      </c>
      <c r="AB2" s="153" t="s">
        <v>149</v>
      </c>
      <c r="AC2" s="153" t="s">
        <v>255</v>
      </c>
      <c r="AD2" s="153" t="s">
        <v>150</v>
      </c>
      <c r="AE2" s="153" t="s">
        <v>269</v>
      </c>
      <c r="AF2" s="153" t="s">
        <v>270</v>
      </c>
      <c r="AG2" s="258" t="s">
        <v>271</v>
      </c>
      <c r="AH2" s="153" t="s">
        <v>272</v>
      </c>
      <c r="AI2" s="153" t="s">
        <v>273</v>
      </c>
      <c r="AJ2" s="153" t="s">
        <v>450</v>
      </c>
      <c r="AK2" s="153" t="s">
        <v>451</v>
      </c>
      <c r="AL2" s="153"/>
      <c r="AM2" s="242" t="s">
        <v>90</v>
      </c>
      <c r="AN2" s="240" t="s">
        <v>47</v>
      </c>
      <c r="AO2" s="241" t="s">
        <v>29</v>
      </c>
    </row>
    <row r="3" spans="1:41" s="5" customFormat="1">
      <c r="A3" s="423" t="str">
        <f>'1-συμβολαια'!A3</f>
        <v>10ο</v>
      </c>
      <c r="B3" s="327" t="str">
        <f>'1-συμβολαια'!C3</f>
        <v>κληρονομιάς ΑΠΟΔΟΧΗ</v>
      </c>
      <c r="C3" s="322">
        <f>'1-συμβολαια'!D3</f>
        <v>0</v>
      </c>
      <c r="D3" s="338">
        <f>'3-φύλλα2α'!D3</f>
        <v>7</v>
      </c>
      <c r="E3" s="338">
        <f>'3-φύλλα2α'!E3</f>
        <v>7</v>
      </c>
      <c r="F3" s="265">
        <v>4</v>
      </c>
      <c r="G3" s="422">
        <v>2</v>
      </c>
      <c r="H3" s="317">
        <f t="shared" ref="H3:I18" si="0">F3*D3*3.23</f>
        <v>90.44</v>
      </c>
      <c r="I3" s="467">
        <f t="shared" si="0"/>
        <v>45.22</v>
      </c>
      <c r="J3" s="339">
        <f t="shared" ref="J3:J5" si="1">H3*5%</f>
        <v>4.5220000000000002</v>
      </c>
      <c r="K3" s="339">
        <f t="shared" ref="K3:K5" si="2">H3*5%</f>
        <v>4.5220000000000002</v>
      </c>
      <c r="L3" s="339">
        <f t="shared" ref="L3:L5" si="3">H3*1%</f>
        <v>0.90439999999999998</v>
      </c>
      <c r="M3" s="339">
        <f t="shared" ref="M3:M5" si="4">H3-O3</f>
        <v>80.491599999999991</v>
      </c>
      <c r="N3" s="339">
        <f t="shared" ref="N3:N5" si="5">I3-P3</f>
        <v>40.245800000000003</v>
      </c>
      <c r="O3" s="339">
        <f t="shared" ref="O3:O5" si="6">J3+K3+L3</f>
        <v>9.9484000000000012</v>
      </c>
      <c r="P3" s="339">
        <f t="shared" ref="P3:P5" si="7">I3*11%</f>
        <v>4.9741999999999997</v>
      </c>
      <c r="Q3" s="339">
        <f t="shared" ref="Q3:Q5" si="8">O3-P3</f>
        <v>4.9742000000000015</v>
      </c>
      <c r="R3" s="390"/>
      <c r="S3" s="390"/>
      <c r="T3" s="390">
        <v>22.61</v>
      </c>
      <c r="U3" s="391">
        <v>1.98</v>
      </c>
      <c r="V3" s="390">
        <v>32.299999999999997</v>
      </c>
      <c r="W3" s="390">
        <v>1.98</v>
      </c>
      <c r="X3" s="390"/>
      <c r="Y3" s="390"/>
      <c r="Z3" s="390"/>
      <c r="AA3" s="390"/>
      <c r="AB3" s="390"/>
      <c r="AC3" s="390"/>
      <c r="AD3" s="390"/>
      <c r="AE3" s="390"/>
      <c r="AF3" s="390"/>
      <c r="AG3" s="534"/>
      <c r="AH3" s="392">
        <f>2*3.23</f>
        <v>6.46</v>
      </c>
      <c r="AI3" s="392">
        <v>1.98</v>
      </c>
      <c r="AJ3" s="392"/>
      <c r="AK3" s="392"/>
      <c r="AL3" s="392"/>
      <c r="AM3" s="393">
        <f t="shared" ref="AM3:AM5" si="9">U3+Y3+AA3+AI3+AK3</f>
        <v>3.96</v>
      </c>
      <c r="AN3" s="394">
        <f t="shared" ref="AN3:AN5" si="10">R3+S3+T3+V3+W3+X3+Z3+AB3+AC3+AD3+AE3+AF3+AG3+AH3+AJ3+AL3</f>
        <v>63.349999999999994</v>
      </c>
      <c r="AO3" s="263"/>
    </row>
    <row r="4" spans="1:41" s="5" customFormat="1">
      <c r="A4" s="423">
        <f>'1-συμβολαια'!A4</f>
        <v>0</v>
      </c>
      <c r="B4" s="327" t="str">
        <f>'1-συμβολαια'!C4</f>
        <v>ΧΡΗΣΙΚΤΗΣΙΑ οικοπέδου &amp; οικοδομής = 1992 αδερφού ΚΛΗΡΟΝΟΜΙΑ άτυπη</v>
      </c>
      <c r="C4" s="322">
        <f>'1-συμβολαια'!D4</f>
        <v>1111.1099999999999</v>
      </c>
      <c r="D4" s="338">
        <f>'3-φύλλα2α'!D4</f>
        <v>7</v>
      </c>
      <c r="E4" s="338">
        <f>'3-φύλλα2α'!E4</f>
        <v>0</v>
      </c>
      <c r="F4" s="265"/>
      <c r="G4" s="265"/>
      <c r="H4" s="317">
        <f t="shared" ref="H4" si="11">F4*D4*3.23</f>
        <v>0</v>
      </c>
      <c r="I4" s="317">
        <f t="shared" si="0"/>
        <v>0</v>
      </c>
      <c r="J4" s="339">
        <f t="shared" si="1"/>
        <v>0</v>
      </c>
      <c r="K4" s="339">
        <f t="shared" si="2"/>
        <v>0</v>
      </c>
      <c r="L4" s="339">
        <f t="shared" si="3"/>
        <v>0</v>
      </c>
      <c r="M4" s="339">
        <f t="shared" si="4"/>
        <v>0</v>
      </c>
      <c r="N4" s="339">
        <f t="shared" si="5"/>
        <v>0</v>
      </c>
      <c r="O4" s="339">
        <f t="shared" si="6"/>
        <v>0</v>
      </c>
      <c r="P4" s="339">
        <f t="shared" si="7"/>
        <v>0</v>
      </c>
      <c r="Q4" s="339">
        <f t="shared" si="8"/>
        <v>0</v>
      </c>
      <c r="R4" s="390"/>
      <c r="S4" s="390"/>
      <c r="T4" s="390"/>
      <c r="U4" s="391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534"/>
      <c r="AH4" s="392"/>
      <c r="AI4" s="392"/>
      <c r="AJ4" s="392"/>
      <c r="AK4" s="392"/>
      <c r="AL4" s="392"/>
      <c r="AM4" s="393">
        <f t="shared" si="9"/>
        <v>0</v>
      </c>
      <c r="AN4" s="394">
        <f t="shared" si="10"/>
        <v>0</v>
      </c>
      <c r="AO4" s="263"/>
    </row>
    <row r="5" spans="1:41" s="5" customFormat="1">
      <c r="A5" s="423">
        <f>'1-συμβολαια'!A5</f>
        <v>0</v>
      </c>
      <c r="B5" s="327" t="str">
        <f>'1-συμβολαια'!C5</f>
        <v>ΧΡΗΣΙΚΤΗΣΙΑ οικοπέδων 2'-3' = 1992 αδερφού ΚΛΗΡΟΝΟΜΙΑ άτυπη</v>
      </c>
      <c r="C5" s="322">
        <f>'1-συμβολαια'!D5</f>
        <v>1111.1099999999999</v>
      </c>
      <c r="D5" s="338">
        <f>'3-φύλλα2α'!D5</f>
        <v>7</v>
      </c>
      <c r="E5" s="338">
        <f>'3-φύλλα2α'!E5</f>
        <v>0</v>
      </c>
      <c r="F5" s="265"/>
      <c r="G5" s="265"/>
      <c r="H5" s="317">
        <f t="shared" ref="H5" si="12">F5*D5*3.23</f>
        <v>0</v>
      </c>
      <c r="I5" s="317">
        <f t="shared" si="0"/>
        <v>0</v>
      </c>
      <c r="J5" s="339">
        <f t="shared" si="1"/>
        <v>0</v>
      </c>
      <c r="K5" s="339">
        <f t="shared" si="2"/>
        <v>0</v>
      </c>
      <c r="L5" s="339">
        <f t="shared" si="3"/>
        <v>0</v>
      </c>
      <c r="M5" s="339">
        <f t="shared" si="4"/>
        <v>0</v>
      </c>
      <c r="N5" s="339">
        <f t="shared" si="5"/>
        <v>0</v>
      </c>
      <c r="O5" s="339">
        <f t="shared" si="6"/>
        <v>0</v>
      </c>
      <c r="P5" s="339">
        <f t="shared" si="7"/>
        <v>0</v>
      </c>
      <c r="Q5" s="339">
        <f t="shared" si="8"/>
        <v>0</v>
      </c>
      <c r="R5" s="390"/>
      <c r="S5" s="390"/>
      <c r="T5" s="390"/>
      <c r="U5" s="391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534"/>
      <c r="AH5" s="392"/>
      <c r="AI5" s="392"/>
      <c r="AJ5" s="392"/>
      <c r="AK5" s="392"/>
      <c r="AL5" s="392"/>
      <c r="AM5" s="393">
        <f t="shared" si="9"/>
        <v>0</v>
      </c>
      <c r="AN5" s="394">
        <f t="shared" si="10"/>
        <v>0</v>
      </c>
      <c r="AO5" s="263"/>
    </row>
    <row r="6" spans="1:41" s="5" customFormat="1">
      <c r="A6" s="423">
        <f>'1-συμβολαια'!A6</f>
        <v>0</v>
      </c>
      <c r="B6" s="327" t="str">
        <f>'1-συμβολαια'!C6</f>
        <v>ΧΡΗΣΙΚΤΗΣΙΑ αγροτεμαχίου 9' = 1968 μητρός ΚΛΗΡΟΝΟΜΙΑ άτυπη</v>
      </c>
      <c r="C6" s="322">
        <f>'1-συμβολαια'!D6</f>
        <v>111.11</v>
      </c>
      <c r="D6" s="338">
        <f>'3-φύλλα2α'!D6</f>
        <v>7</v>
      </c>
      <c r="E6" s="338">
        <f>'3-φύλλα2α'!E6</f>
        <v>0</v>
      </c>
      <c r="F6" s="265"/>
      <c r="G6" s="265"/>
      <c r="H6" s="317">
        <f t="shared" ref="H6:I29" si="13">F6*D6*3.23</f>
        <v>0</v>
      </c>
      <c r="I6" s="317">
        <f t="shared" si="0"/>
        <v>0</v>
      </c>
      <c r="J6" s="339">
        <f t="shared" ref="J6:J29" si="14">H6*5%</f>
        <v>0</v>
      </c>
      <c r="K6" s="339">
        <f t="shared" ref="K6:K29" si="15">H6*5%</f>
        <v>0</v>
      </c>
      <c r="L6" s="339">
        <f t="shared" ref="L6:L29" si="16">H6*1%</f>
        <v>0</v>
      </c>
      <c r="M6" s="339">
        <f t="shared" ref="M6:M29" si="17">H6-O6</f>
        <v>0</v>
      </c>
      <c r="N6" s="339">
        <f t="shared" ref="N6:N29" si="18">I6-P6</f>
        <v>0</v>
      </c>
      <c r="O6" s="339">
        <f t="shared" ref="O6:O29" si="19">J6+K6+L6</f>
        <v>0</v>
      </c>
      <c r="P6" s="339">
        <f t="shared" ref="P6:P29" si="20">I6*11%</f>
        <v>0</v>
      </c>
      <c r="Q6" s="339">
        <f t="shared" ref="Q6:Q29" si="21">O6-P6</f>
        <v>0</v>
      </c>
      <c r="R6" s="390"/>
      <c r="S6" s="390"/>
      <c r="T6" s="390"/>
      <c r="U6" s="391"/>
      <c r="V6" s="390"/>
      <c r="W6" s="390"/>
      <c r="X6" s="390"/>
      <c r="Y6" s="390"/>
      <c r="Z6" s="390"/>
      <c r="AA6" s="390"/>
      <c r="AB6" s="390"/>
      <c r="AC6" s="390"/>
      <c r="AD6" s="390"/>
      <c r="AE6" s="390"/>
      <c r="AF6" s="390"/>
      <c r="AG6" s="534"/>
      <c r="AH6" s="392"/>
      <c r="AI6" s="392"/>
      <c r="AJ6" s="392"/>
      <c r="AK6" s="392"/>
      <c r="AL6" s="392"/>
      <c r="AM6" s="393">
        <f t="shared" ref="AM6:AM29" si="22">U6+Y6+AA6+AI6+AK6</f>
        <v>0</v>
      </c>
      <c r="AN6" s="394">
        <f t="shared" ref="AN6:AN29" si="23">R6+S6+T6+V6+W6+X6+Z6+AB6+AC6+AD6+AE6+AF6+AG6+AH6+AJ6+AL6</f>
        <v>0</v>
      </c>
      <c r="AO6" s="263"/>
    </row>
    <row r="7" spans="1:41" s="5" customFormat="1">
      <c r="A7" s="423">
        <f>'1-συμβολαια'!A7</f>
        <v>0</v>
      </c>
      <c r="B7" s="327" t="str">
        <f>'1-συμβολαια'!C7</f>
        <v>ΧΡΗΣΙΚΤΗΣΙΑ οικοπέδου 4' = 19?? ΑΓΟΡΑΠΩΛΗΣΙΑ άτυπη</v>
      </c>
      <c r="C7" s="322">
        <f>'1-συμβολαια'!D7</f>
        <v>111.11</v>
      </c>
      <c r="D7" s="338">
        <f>'3-φύλλα2α'!D7</f>
        <v>7</v>
      </c>
      <c r="E7" s="338">
        <f>'3-φύλλα2α'!E7</f>
        <v>0</v>
      </c>
      <c r="F7" s="265"/>
      <c r="G7" s="265"/>
      <c r="H7" s="317">
        <f t="shared" si="13"/>
        <v>0</v>
      </c>
      <c r="I7" s="317">
        <f t="shared" si="0"/>
        <v>0</v>
      </c>
      <c r="J7" s="339">
        <f t="shared" si="14"/>
        <v>0</v>
      </c>
      <c r="K7" s="339">
        <f t="shared" si="15"/>
        <v>0</v>
      </c>
      <c r="L7" s="339">
        <f t="shared" si="16"/>
        <v>0</v>
      </c>
      <c r="M7" s="339">
        <f t="shared" si="17"/>
        <v>0</v>
      </c>
      <c r="N7" s="339">
        <f t="shared" si="18"/>
        <v>0</v>
      </c>
      <c r="O7" s="339">
        <f t="shared" si="19"/>
        <v>0</v>
      </c>
      <c r="P7" s="339">
        <f t="shared" si="20"/>
        <v>0</v>
      </c>
      <c r="Q7" s="339">
        <f t="shared" si="21"/>
        <v>0</v>
      </c>
      <c r="R7" s="390"/>
      <c r="S7" s="390"/>
      <c r="T7" s="390"/>
      <c r="U7" s="391"/>
      <c r="V7" s="390"/>
      <c r="W7" s="390"/>
      <c r="X7" s="390"/>
      <c r="Y7" s="390"/>
      <c r="Z7" s="390"/>
      <c r="AA7" s="390"/>
      <c r="AB7" s="390"/>
      <c r="AC7" s="390"/>
      <c r="AD7" s="390"/>
      <c r="AE7" s="390"/>
      <c r="AF7" s="390"/>
      <c r="AG7" s="534"/>
      <c r="AH7" s="392"/>
      <c r="AI7" s="392"/>
      <c r="AJ7" s="392"/>
      <c r="AK7" s="392"/>
      <c r="AL7" s="392"/>
      <c r="AM7" s="393">
        <f t="shared" si="22"/>
        <v>0</v>
      </c>
      <c r="AN7" s="394">
        <f t="shared" si="23"/>
        <v>0</v>
      </c>
      <c r="AO7" s="263"/>
    </row>
    <row r="8" spans="1:41" s="5" customFormat="1" ht="12" thickBot="1">
      <c r="A8" s="406">
        <f>'1-συμβολαια'!A8</f>
        <v>0</v>
      </c>
      <c r="B8" s="425" t="str">
        <f>'1-συμβολαια'!C8</f>
        <v>ΧΡΗΣΙΚΤΗΣΙΑ αγροτεμαχίου 8' = 19??? ΑΓΟΡΑΠΩΛΗΣΙΑ άτυπη</v>
      </c>
      <c r="C8" s="414">
        <f>'1-συμβολαια'!D8</f>
        <v>1111.1099999999999</v>
      </c>
      <c r="D8" s="476">
        <f>'3-φύλλα2α'!D8</f>
        <v>7</v>
      </c>
      <c r="E8" s="476">
        <f>'3-φύλλα2α'!E8</f>
        <v>0</v>
      </c>
      <c r="F8" s="463"/>
      <c r="G8" s="463"/>
      <c r="H8" s="438">
        <f t="shared" si="13"/>
        <v>0</v>
      </c>
      <c r="I8" s="438">
        <f t="shared" si="0"/>
        <v>0</v>
      </c>
      <c r="J8" s="477">
        <f t="shared" si="14"/>
        <v>0</v>
      </c>
      <c r="K8" s="477">
        <f t="shared" si="15"/>
        <v>0</v>
      </c>
      <c r="L8" s="477">
        <f t="shared" si="16"/>
        <v>0</v>
      </c>
      <c r="M8" s="477">
        <f t="shared" si="17"/>
        <v>0</v>
      </c>
      <c r="N8" s="477">
        <f t="shared" si="18"/>
        <v>0</v>
      </c>
      <c r="O8" s="477">
        <f t="shared" si="19"/>
        <v>0</v>
      </c>
      <c r="P8" s="477">
        <f t="shared" si="20"/>
        <v>0</v>
      </c>
      <c r="Q8" s="438">
        <f t="shared" si="21"/>
        <v>0</v>
      </c>
      <c r="R8" s="535"/>
      <c r="S8" s="535"/>
      <c r="T8" s="535"/>
      <c r="U8" s="536"/>
      <c r="V8" s="535"/>
      <c r="W8" s="535"/>
      <c r="X8" s="535"/>
      <c r="Y8" s="535"/>
      <c r="Z8" s="535"/>
      <c r="AA8" s="535"/>
      <c r="AB8" s="535"/>
      <c r="AC8" s="535"/>
      <c r="AD8" s="535"/>
      <c r="AE8" s="535"/>
      <c r="AF8" s="535"/>
      <c r="AG8" s="537"/>
      <c r="AH8" s="535"/>
      <c r="AI8" s="535"/>
      <c r="AJ8" s="535"/>
      <c r="AK8" s="535"/>
      <c r="AL8" s="535"/>
      <c r="AM8" s="538">
        <f t="shared" si="22"/>
        <v>0</v>
      </c>
      <c r="AN8" s="536">
        <f t="shared" si="23"/>
        <v>0</v>
      </c>
      <c r="AO8" s="539"/>
    </row>
    <row r="9" spans="1:41" s="5" customFormat="1">
      <c r="A9" s="449" t="str">
        <f>'1-συμβολαια'!A9</f>
        <v>11ο</v>
      </c>
      <c r="B9" s="424" t="str">
        <f>'1-συμβολαια'!C9</f>
        <v>κληρονομιάς ΑΠΟΔΟΧΗ</v>
      </c>
      <c r="C9" s="322">
        <f>'1-συμβολαια'!D9</f>
        <v>0</v>
      </c>
      <c r="D9" s="432">
        <f>'3-φύλλα2α'!D9</f>
        <v>7</v>
      </c>
      <c r="E9" s="432">
        <f>'3-φύλλα2α'!E9</f>
        <v>7</v>
      </c>
      <c r="F9" s="427">
        <v>3</v>
      </c>
      <c r="G9" s="473">
        <v>2</v>
      </c>
      <c r="H9" s="318">
        <f t="shared" si="13"/>
        <v>67.83</v>
      </c>
      <c r="I9" s="474">
        <f t="shared" si="0"/>
        <v>45.22</v>
      </c>
      <c r="J9" s="475">
        <f t="shared" si="14"/>
        <v>3.3915000000000002</v>
      </c>
      <c r="K9" s="475">
        <f t="shared" si="15"/>
        <v>3.3915000000000002</v>
      </c>
      <c r="L9" s="475">
        <f t="shared" si="16"/>
        <v>0.67830000000000001</v>
      </c>
      <c r="M9" s="475">
        <f t="shared" si="17"/>
        <v>60.368699999999997</v>
      </c>
      <c r="N9" s="475">
        <f t="shared" si="18"/>
        <v>40.245800000000003</v>
      </c>
      <c r="O9" s="475">
        <f t="shared" si="19"/>
        <v>7.4613000000000005</v>
      </c>
      <c r="P9" s="475">
        <f t="shared" si="20"/>
        <v>4.9741999999999997</v>
      </c>
      <c r="Q9" s="475">
        <f t="shared" si="21"/>
        <v>2.4871000000000008</v>
      </c>
      <c r="R9" s="392"/>
      <c r="S9" s="392"/>
      <c r="T9" s="392">
        <v>22.61</v>
      </c>
      <c r="U9" s="394">
        <v>1.98</v>
      </c>
      <c r="V9" s="392"/>
      <c r="W9" s="392"/>
      <c r="X9" s="392"/>
      <c r="Y9" s="392"/>
      <c r="Z9" s="392"/>
      <c r="AA9" s="392"/>
      <c r="AB9" s="392"/>
      <c r="AC9" s="392"/>
      <c r="AD9" s="392"/>
      <c r="AE9" s="392"/>
      <c r="AF9" s="392"/>
      <c r="AG9" s="534"/>
      <c r="AH9" s="392">
        <f>2*3.23</f>
        <v>6.46</v>
      </c>
      <c r="AI9" s="392">
        <v>1.98</v>
      </c>
      <c r="AJ9" s="392"/>
      <c r="AK9" s="392"/>
      <c r="AL9" s="392"/>
      <c r="AM9" s="393">
        <f t="shared" si="22"/>
        <v>3.96</v>
      </c>
      <c r="AN9" s="394">
        <f t="shared" si="23"/>
        <v>29.07</v>
      </c>
      <c r="AO9" s="540"/>
    </row>
    <row r="10" spans="1:41" s="5" customFormat="1">
      <c r="A10" s="470">
        <f>'1-συμβολαια'!A10</f>
        <v>0</v>
      </c>
      <c r="B10" s="327" t="str">
        <f>'1-συμβολαια'!C10</f>
        <v>ΧΡΗΣΙΚΤΗΣΙΑ οικοπέδου &amp; οικοδομής = 1992 αδερφού ΚΛΗΡΟΝΟΜΙΑ άτυπη</v>
      </c>
      <c r="C10" s="322">
        <f>'1-συμβολαια'!D10</f>
        <v>1111.1099999999999</v>
      </c>
      <c r="D10" s="338">
        <f>'3-φύλλα2α'!D10</f>
        <v>7</v>
      </c>
      <c r="E10" s="338">
        <f>'3-φύλλα2α'!E10</f>
        <v>0</v>
      </c>
      <c r="F10" s="265"/>
      <c r="G10" s="265"/>
      <c r="H10" s="317">
        <f t="shared" si="13"/>
        <v>0</v>
      </c>
      <c r="I10" s="317">
        <f t="shared" si="0"/>
        <v>0</v>
      </c>
      <c r="J10" s="339">
        <f t="shared" si="14"/>
        <v>0</v>
      </c>
      <c r="K10" s="339">
        <f t="shared" si="15"/>
        <v>0</v>
      </c>
      <c r="L10" s="339">
        <f t="shared" si="16"/>
        <v>0</v>
      </c>
      <c r="M10" s="339">
        <f t="shared" si="17"/>
        <v>0</v>
      </c>
      <c r="N10" s="339">
        <f t="shared" si="18"/>
        <v>0</v>
      </c>
      <c r="O10" s="339">
        <f t="shared" si="19"/>
        <v>0</v>
      </c>
      <c r="P10" s="339">
        <f t="shared" si="20"/>
        <v>0</v>
      </c>
      <c r="Q10" s="339">
        <f t="shared" si="21"/>
        <v>0</v>
      </c>
      <c r="R10" s="390"/>
      <c r="S10" s="390"/>
      <c r="T10" s="390"/>
      <c r="U10" s="391"/>
      <c r="V10" s="390"/>
      <c r="W10" s="390"/>
      <c r="X10" s="390"/>
      <c r="Y10" s="390"/>
      <c r="Z10" s="390"/>
      <c r="AA10" s="390"/>
      <c r="AB10" s="390"/>
      <c r="AC10" s="390"/>
      <c r="AD10" s="390"/>
      <c r="AE10" s="390"/>
      <c r="AF10" s="390"/>
      <c r="AG10" s="534"/>
      <c r="AH10" s="392"/>
      <c r="AI10" s="392"/>
      <c r="AJ10" s="392"/>
      <c r="AK10" s="392"/>
      <c r="AL10" s="392"/>
      <c r="AM10" s="393">
        <f t="shared" si="22"/>
        <v>0</v>
      </c>
      <c r="AN10" s="394">
        <f t="shared" si="23"/>
        <v>0</v>
      </c>
      <c r="AO10" s="263"/>
    </row>
    <row r="11" spans="1:41" s="5" customFormat="1">
      <c r="A11" s="470">
        <f>'1-συμβολαια'!A11</f>
        <v>0</v>
      </c>
      <c r="B11" s="327" t="str">
        <f>'1-συμβολαια'!C11</f>
        <v>ΧΡΗΣΙΚΤΗΣΙΑ οικοπέδων 2'-3' = 1992 αδερφού ΚΛΗΡΟΝΟΜΙΑ άτυπη</v>
      </c>
      <c r="C11" s="322">
        <f>'1-συμβολαια'!D11</f>
        <v>1111.1099999999999</v>
      </c>
      <c r="D11" s="338">
        <f>'3-φύλλα2α'!D11</f>
        <v>7</v>
      </c>
      <c r="E11" s="338">
        <f>'3-φύλλα2α'!E11</f>
        <v>0</v>
      </c>
      <c r="F11" s="265"/>
      <c r="G11" s="265"/>
      <c r="H11" s="317">
        <f t="shared" si="13"/>
        <v>0</v>
      </c>
      <c r="I11" s="317">
        <f t="shared" si="0"/>
        <v>0</v>
      </c>
      <c r="J11" s="339">
        <f t="shared" si="14"/>
        <v>0</v>
      </c>
      <c r="K11" s="339">
        <f t="shared" si="15"/>
        <v>0</v>
      </c>
      <c r="L11" s="339">
        <f t="shared" si="16"/>
        <v>0</v>
      </c>
      <c r="M11" s="339">
        <f t="shared" si="17"/>
        <v>0</v>
      </c>
      <c r="N11" s="339">
        <f t="shared" si="18"/>
        <v>0</v>
      </c>
      <c r="O11" s="339">
        <f t="shared" si="19"/>
        <v>0</v>
      </c>
      <c r="P11" s="339">
        <f t="shared" si="20"/>
        <v>0</v>
      </c>
      <c r="Q11" s="339">
        <f t="shared" si="21"/>
        <v>0</v>
      </c>
      <c r="R11" s="390"/>
      <c r="S11" s="390"/>
      <c r="T11" s="390"/>
      <c r="U11" s="391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0"/>
      <c r="AG11" s="534"/>
      <c r="AH11" s="392"/>
      <c r="AI11" s="392"/>
      <c r="AJ11" s="392"/>
      <c r="AK11" s="392"/>
      <c r="AL11" s="392"/>
      <c r="AM11" s="393">
        <f t="shared" si="22"/>
        <v>0</v>
      </c>
      <c r="AN11" s="394">
        <f t="shared" si="23"/>
        <v>0</v>
      </c>
      <c r="AO11" s="263"/>
    </row>
    <row r="12" spans="1:41" s="5" customFormat="1">
      <c r="A12" s="470">
        <f>'1-συμβολαια'!A12</f>
        <v>0</v>
      </c>
      <c r="B12" s="327" t="str">
        <f>'1-συμβολαια'!C12</f>
        <v>ΧΡΗΣΙΚΤΗΣΙΑ αγροτεμαχίου 9' = 1968 μητρός ΚΛΗΡΟΝΟΜΙΑ άτυπη</v>
      </c>
      <c r="C12" s="322">
        <f>'1-συμβολαια'!D12</f>
        <v>111.11</v>
      </c>
      <c r="D12" s="338">
        <f>'3-φύλλα2α'!D12</f>
        <v>7</v>
      </c>
      <c r="E12" s="338">
        <f>'3-φύλλα2α'!E12</f>
        <v>0</v>
      </c>
      <c r="F12" s="265"/>
      <c r="G12" s="265"/>
      <c r="H12" s="317">
        <f t="shared" si="13"/>
        <v>0</v>
      </c>
      <c r="I12" s="317">
        <f t="shared" si="0"/>
        <v>0</v>
      </c>
      <c r="J12" s="339">
        <f t="shared" si="14"/>
        <v>0</v>
      </c>
      <c r="K12" s="339">
        <f t="shared" si="15"/>
        <v>0</v>
      </c>
      <c r="L12" s="339">
        <f t="shared" si="16"/>
        <v>0</v>
      </c>
      <c r="M12" s="339">
        <f t="shared" si="17"/>
        <v>0</v>
      </c>
      <c r="N12" s="339">
        <f t="shared" si="18"/>
        <v>0</v>
      </c>
      <c r="O12" s="339">
        <f t="shared" si="19"/>
        <v>0</v>
      </c>
      <c r="P12" s="339">
        <f t="shared" si="20"/>
        <v>0</v>
      </c>
      <c r="Q12" s="339">
        <f t="shared" si="21"/>
        <v>0</v>
      </c>
      <c r="R12" s="390"/>
      <c r="S12" s="390"/>
      <c r="T12" s="390"/>
      <c r="U12" s="391"/>
      <c r="V12" s="390"/>
      <c r="W12" s="390"/>
      <c r="X12" s="390"/>
      <c r="Y12" s="390"/>
      <c r="Z12" s="390"/>
      <c r="AA12" s="390"/>
      <c r="AB12" s="390"/>
      <c r="AC12" s="390"/>
      <c r="AD12" s="390"/>
      <c r="AE12" s="390"/>
      <c r="AF12" s="390"/>
      <c r="AG12" s="534"/>
      <c r="AH12" s="392"/>
      <c r="AI12" s="392"/>
      <c r="AJ12" s="392"/>
      <c r="AK12" s="392"/>
      <c r="AL12" s="392"/>
      <c r="AM12" s="393">
        <f t="shared" si="22"/>
        <v>0</v>
      </c>
      <c r="AN12" s="394">
        <f t="shared" si="23"/>
        <v>0</v>
      </c>
      <c r="AO12" s="263"/>
    </row>
    <row r="13" spans="1:41" s="5" customFormat="1">
      <c r="A13" s="470">
        <f>'1-συμβολαια'!A13</f>
        <v>0</v>
      </c>
      <c r="B13" s="327" t="str">
        <f>'1-συμβολαια'!C13</f>
        <v>ΧΡΗΣΙΚΤΗΣΙΑ οικοπέδου 4' = 19?? ΑΓΟΡΑΠΩΛΗΣΙΑ άτυπη</v>
      </c>
      <c r="C13" s="322">
        <f>'1-συμβολαια'!D13</f>
        <v>111.11</v>
      </c>
      <c r="D13" s="338">
        <f>'3-φύλλα2α'!D13</f>
        <v>7</v>
      </c>
      <c r="E13" s="338">
        <f>'3-φύλλα2α'!E13</f>
        <v>0</v>
      </c>
      <c r="F13" s="265"/>
      <c r="G13" s="265"/>
      <c r="H13" s="317">
        <f t="shared" si="13"/>
        <v>0</v>
      </c>
      <c r="I13" s="317">
        <f t="shared" si="0"/>
        <v>0</v>
      </c>
      <c r="J13" s="339">
        <f t="shared" si="14"/>
        <v>0</v>
      </c>
      <c r="K13" s="339">
        <f t="shared" si="15"/>
        <v>0</v>
      </c>
      <c r="L13" s="339">
        <f t="shared" si="16"/>
        <v>0</v>
      </c>
      <c r="M13" s="339">
        <f t="shared" si="17"/>
        <v>0</v>
      </c>
      <c r="N13" s="339">
        <f t="shared" si="18"/>
        <v>0</v>
      </c>
      <c r="O13" s="339">
        <f t="shared" si="19"/>
        <v>0</v>
      </c>
      <c r="P13" s="339">
        <f t="shared" si="20"/>
        <v>0</v>
      </c>
      <c r="Q13" s="339">
        <f t="shared" si="21"/>
        <v>0</v>
      </c>
      <c r="R13" s="390"/>
      <c r="S13" s="390"/>
      <c r="T13" s="390"/>
      <c r="U13" s="391"/>
      <c r="V13" s="390"/>
      <c r="W13" s="390"/>
      <c r="X13" s="390"/>
      <c r="Y13" s="390"/>
      <c r="Z13" s="390"/>
      <c r="AA13" s="390"/>
      <c r="AB13" s="390"/>
      <c r="AC13" s="390"/>
      <c r="AD13" s="390"/>
      <c r="AE13" s="390"/>
      <c r="AF13" s="390"/>
      <c r="AG13" s="534"/>
      <c r="AH13" s="392"/>
      <c r="AI13" s="392"/>
      <c r="AJ13" s="392"/>
      <c r="AK13" s="392"/>
      <c r="AL13" s="392"/>
      <c r="AM13" s="393">
        <f t="shared" si="22"/>
        <v>0</v>
      </c>
      <c r="AN13" s="394">
        <f t="shared" si="23"/>
        <v>0</v>
      </c>
      <c r="AO13" s="263"/>
    </row>
    <row r="14" spans="1:41" s="5" customFormat="1" ht="12" thickBot="1">
      <c r="A14" s="451">
        <f>'1-συμβολαια'!A14</f>
        <v>0</v>
      </c>
      <c r="B14" s="425" t="str">
        <f>'1-συμβολαια'!C14</f>
        <v>ΧΡΗΣΙΚΤΗΣΙΑ αγροτεμαχίου 8' = 19??? ΑΓΟΡΑΠΩΛΗΣΙΑ άτυπη</v>
      </c>
      <c r="C14" s="414">
        <f>'1-συμβολαια'!D14</f>
        <v>1111.1099999999999</v>
      </c>
      <c r="D14" s="476">
        <f>'3-φύλλα2α'!D14</f>
        <v>7</v>
      </c>
      <c r="E14" s="476">
        <f>'3-φύλλα2α'!E14</f>
        <v>0</v>
      </c>
      <c r="F14" s="463"/>
      <c r="G14" s="463"/>
      <c r="H14" s="438">
        <f t="shared" si="13"/>
        <v>0</v>
      </c>
      <c r="I14" s="438">
        <f t="shared" si="0"/>
        <v>0</v>
      </c>
      <c r="J14" s="477">
        <f t="shared" si="14"/>
        <v>0</v>
      </c>
      <c r="K14" s="477">
        <f t="shared" si="15"/>
        <v>0</v>
      </c>
      <c r="L14" s="477">
        <f t="shared" si="16"/>
        <v>0</v>
      </c>
      <c r="M14" s="477">
        <f t="shared" si="17"/>
        <v>0</v>
      </c>
      <c r="N14" s="477">
        <f t="shared" si="18"/>
        <v>0</v>
      </c>
      <c r="O14" s="477">
        <f t="shared" si="19"/>
        <v>0</v>
      </c>
      <c r="P14" s="477">
        <f t="shared" si="20"/>
        <v>0</v>
      </c>
      <c r="Q14" s="438">
        <f t="shared" si="21"/>
        <v>0</v>
      </c>
      <c r="R14" s="535"/>
      <c r="S14" s="535"/>
      <c r="T14" s="535"/>
      <c r="U14" s="536"/>
      <c r="V14" s="535"/>
      <c r="W14" s="535"/>
      <c r="X14" s="535"/>
      <c r="Y14" s="535"/>
      <c r="Z14" s="535"/>
      <c r="AA14" s="535"/>
      <c r="AB14" s="535"/>
      <c r="AC14" s="535"/>
      <c r="AD14" s="535"/>
      <c r="AE14" s="535"/>
      <c r="AF14" s="535"/>
      <c r="AG14" s="537"/>
      <c r="AH14" s="535"/>
      <c r="AI14" s="535"/>
      <c r="AJ14" s="535"/>
      <c r="AK14" s="535"/>
      <c r="AL14" s="535"/>
      <c r="AM14" s="538">
        <f t="shared" si="22"/>
        <v>0</v>
      </c>
      <c r="AN14" s="536">
        <f t="shared" si="23"/>
        <v>0</v>
      </c>
      <c r="AO14" s="539"/>
    </row>
    <row r="15" spans="1:41" s="5" customFormat="1">
      <c r="A15" s="403" t="str">
        <f>'1-συμβολαια'!A15</f>
        <v>12ο</v>
      </c>
      <c r="B15" s="424" t="str">
        <f>'1-συμβολαια'!C15</f>
        <v>κληρονομιάς ΑΠΟΔΟΧΗ</v>
      </c>
      <c r="C15" s="322">
        <f>'1-συμβολαια'!D15</f>
        <v>0</v>
      </c>
      <c r="D15" s="432">
        <f>'3-φύλλα2α'!D15</f>
        <v>7</v>
      </c>
      <c r="E15" s="432">
        <f>'3-φύλλα2α'!E15</f>
        <v>7</v>
      </c>
      <c r="F15" s="427">
        <v>2</v>
      </c>
      <c r="G15" s="427">
        <v>2</v>
      </c>
      <c r="H15" s="318">
        <f t="shared" si="13"/>
        <v>45.22</v>
      </c>
      <c r="I15" s="318">
        <f t="shared" si="0"/>
        <v>45.22</v>
      </c>
      <c r="J15" s="475">
        <f t="shared" si="14"/>
        <v>2.2610000000000001</v>
      </c>
      <c r="K15" s="475">
        <f t="shared" si="15"/>
        <v>2.2610000000000001</v>
      </c>
      <c r="L15" s="475">
        <f t="shared" si="16"/>
        <v>0.45219999999999999</v>
      </c>
      <c r="M15" s="475">
        <f t="shared" si="17"/>
        <v>40.245799999999996</v>
      </c>
      <c r="N15" s="475">
        <f t="shared" si="18"/>
        <v>40.245800000000003</v>
      </c>
      <c r="O15" s="475">
        <f t="shared" si="19"/>
        <v>4.9742000000000006</v>
      </c>
      <c r="P15" s="475">
        <f t="shared" si="20"/>
        <v>4.9741999999999997</v>
      </c>
      <c r="Q15" s="475">
        <f t="shared" si="21"/>
        <v>0</v>
      </c>
      <c r="R15" s="392"/>
      <c r="S15" s="392"/>
      <c r="T15" s="392">
        <v>22.61</v>
      </c>
      <c r="U15" s="394">
        <v>1.98</v>
      </c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534"/>
      <c r="AH15" s="392">
        <f>2*3.23</f>
        <v>6.46</v>
      </c>
      <c r="AI15" s="392">
        <v>1.98</v>
      </c>
      <c r="AJ15" s="392"/>
      <c r="AK15" s="392"/>
      <c r="AL15" s="392"/>
      <c r="AM15" s="393">
        <f t="shared" si="22"/>
        <v>3.96</v>
      </c>
      <c r="AN15" s="394">
        <f t="shared" si="23"/>
        <v>29.07</v>
      </c>
      <c r="AO15" s="540"/>
    </row>
    <row r="16" spans="1:41" s="5" customFormat="1">
      <c r="A16" s="423">
        <f>'1-συμβολαια'!A16</f>
        <v>0</v>
      </c>
      <c r="B16" s="327" t="str">
        <f>'1-συμβολαια'!C16</f>
        <v>ΧΡΗΣΙΚΤΗΣΙΑ οικοπέδου &amp; οικοδομής = 1992 αδερφού ΚΛΗΡΟΝΟΜΙΑ άτυπη</v>
      </c>
      <c r="C16" s="322">
        <f>'1-συμβολαια'!D16</f>
        <v>1111.1099999999999</v>
      </c>
      <c r="D16" s="338">
        <f>'3-φύλλα2α'!D16</f>
        <v>7</v>
      </c>
      <c r="E16" s="338">
        <f>'3-φύλλα2α'!E16</f>
        <v>0</v>
      </c>
      <c r="F16" s="265"/>
      <c r="G16" s="265"/>
      <c r="H16" s="317">
        <f t="shared" si="13"/>
        <v>0</v>
      </c>
      <c r="I16" s="317">
        <f t="shared" si="0"/>
        <v>0</v>
      </c>
      <c r="J16" s="339">
        <f t="shared" si="14"/>
        <v>0</v>
      </c>
      <c r="K16" s="339">
        <f t="shared" si="15"/>
        <v>0</v>
      </c>
      <c r="L16" s="339">
        <f t="shared" si="16"/>
        <v>0</v>
      </c>
      <c r="M16" s="339">
        <f t="shared" si="17"/>
        <v>0</v>
      </c>
      <c r="N16" s="339">
        <f t="shared" si="18"/>
        <v>0</v>
      </c>
      <c r="O16" s="339">
        <f t="shared" si="19"/>
        <v>0</v>
      </c>
      <c r="P16" s="339">
        <f t="shared" si="20"/>
        <v>0</v>
      </c>
      <c r="Q16" s="339">
        <f t="shared" si="21"/>
        <v>0</v>
      </c>
      <c r="R16" s="390"/>
      <c r="S16" s="390"/>
      <c r="T16" s="390"/>
      <c r="U16" s="391"/>
      <c r="V16" s="390"/>
      <c r="W16" s="390"/>
      <c r="X16" s="390"/>
      <c r="Y16" s="390"/>
      <c r="Z16" s="390"/>
      <c r="AA16" s="390"/>
      <c r="AB16" s="390"/>
      <c r="AC16" s="390"/>
      <c r="AD16" s="390"/>
      <c r="AE16" s="390"/>
      <c r="AF16" s="390"/>
      <c r="AG16" s="534"/>
      <c r="AH16" s="392"/>
      <c r="AI16" s="392"/>
      <c r="AJ16" s="392"/>
      <c r="AK16" s="392"/>
      <c r="AL16" s="392"/>
      <c r="AM16" s="393">
        <f t="shared" si="22"/>
        <v>0</v>
      </c>
      <c r="AN16" s="394">
        <f t="shared" si="23"/>
        <v>0</v>
      </c>
      <c r="AO16" s="263"/>
    </row>
    <row r="17" spans="1:41" s="5" customFormat="1">
      <c r="A17" s="423">
        <f>'1-συμβολαια'!A17</f>
        <v>0</v>
      </c>
      <c r="B17" s="327" t="str">
        <f>'1-συμβολαια'!C17</f>
        <v>ΧΡΗΣΙΚΤΗΣΙΑ οικοπέδων 2'-3' = 1992 αδερφού ΚΛΗΡΟΝΟΜΙΑ άτυπη</v>
      </c>
      <c r="C17" s="322">
        <f>'1-συμβολαια'!D17</f>
        <v>1111.1099999999999</v>
      </c>
      <c r="D17" s="338">
        <f>'3-φύλλα2α'!D17</f>
        <v>7</v>
      </c>
      <c r="E17" s="338">
        <f>'3-φύλλα2α'!E17</f>
        <v>0</v>
      </c>
      <c r="F17" s="265"/>
      <c r="G17" s="265"/>
      <c r="H17" s="317">
        <f t="shared" si="13"/>
        <v>0</v>
      </c>
      <c r="I17" s="317">
        <f t="shared" si="0"/>
        <v>0</v>
      </c>
      <c r="J17" s="339">
        <f t="shared" si="14"/>
        <v>0</v>
      </c>
      <c r="K17" s="339">
        <f t="shared" si="15"/>
        <v>0</v>
      </c>
      <c r="L17" s="339">
        <f t="shared" si="16"/>
        <v>0</v>
      </c>
      <c r="M17" s="339">
        <f t="shared" si="17"/>
        <v>0</v>
      </c>
      <c r="N17" s="339">
        <f t="shared" si="18"/>
        <v>0</v>
      </c>
      <c r="O17" s="339">
        <f t="shared" si="19"/>
        <v>0</v>
      </c>
      <c r="P17" s="339">
        <f t="shared" si="20"/>
        <v>0</v>
      </c>
      <c r="Q17" s="339">
        <f t="shared" si="21"/>
        <v>0</v>
      </c>
      <c r="R17" s="390"/>
      <c r="S17" s="390"/>
      <c r="T17" s="390"/>
      <c r="U17" s="391"/>
      <c r="V17" s="390"/>
      <c r="W17" s="390"/>
      <c r="X17" s="390"/>
      <c r="Y17" s="390"/>
      <c r="Z17" s="390"/>
      <c r="AA17" s="390"/>
      <c r="AB17" s="390"/>
      <c r="AC17" s="390"/>
      <c r="AD17" s="390"/>
      <c r="AE17" s="390"/>
      <c r="AF17" s="390"/>
      <c r="AG17" s="534"/>
      <c r="AH17" s="392"/>
      <c r="AI17" s="392"/>
      <c r="AJ17" s="392"/>
      <c r="AK17" s="392"/>
      <c r="AL17" s="392"/>
      <c r="AM17" s="393">
        <f t="shared" si="22"/>
        <v>0</v>
      </c>
      <c r="AN17" s="394">
        <f t="shared" si="23"/>
        <v>0</v>
      </c>
      <c r="AO17" s="263"/>
    </row>
    <row r="18" spans="1:41" s="5" customFormat="1">
      <c r="A18" s="423">
        <f>'1-συμβολαια'!A18</f>
        <v>0</v>
      </c>
      <c r="B18" s="327" t="str">
        <f>'1-συμβολαια'!C18</f>
        <v>ΧΡΗΣΙΚΤΗΣΙΑ αγροτεμαχίου 9' = 1968 μητρός ΚΛΗΡΟΝΟΜΙΑ άτυπη</v>
      </c>
      <c r="C18" s="322">
        <f>'1-συμβολαια'!D18</f>
        <v>111.11</v>
      </c>
      <c r="D18" s="338">
        <f>'3-φύλλα2α'!D18</f>
        <v>7</v>
      </c>
      <c r="E18" s="338">
        <f>'3-φύλλα2α'!E18</f>
        <v>0</v>
      </c>
      <c r="F18" s="265"/>
      <c r="G18" s="265"/>
      <c r="H18" s="317">
        <f t="shared" si="13"/>
        <v>0</v>
      </c>
      <c r="I18" s="317">
        <f t="shared" si="0"/>
        <v>0</v>
      </c>
      <c r="J18" s="339">
        <f t="shared" si="14"/>
        <v>0</v>
      </c>
      <c r="K18" s="339">
        <f t="shared" si="15"/>
        <v>0</v>
      </c>
      <c r="L18" s="339">
        <f t="shared" si="16"/>
        <v>0</v>
      </c>
      <c r="M18" s="339">
        <f t="shared" si="17"/>
        <v>0</v>
      </c>
      <c r="N18" s="339">
        <f t="shared" si="18"/>
        <v>0</v>
      </c>
      <c r="O18" s="339">
        <f t="shared" si="19"/>
        <v>0</v>
      </c>
      <c r="P18" s="339">
        <f t="shared" si="20"/>
        <v>0</v>
      </c>
      <c r="Q18" s="339">
        <f t="shared" si="21"/>
        <v>0</v>
      </c>
      <c r="R18" s="390"/>
      <c r="S18" s="390"/>
      <c r="T18" s="390"/>
      <c r="U18" s="391"/>
      <c r="V18" s="390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534"/>
      <c r="AH18" s="392"/>
      <c r="AI18" s="392"/>
      <c r="AJ18" s="392"/>
      <c r="AK18" s="392"/>
      <c r="AL18" s="392"/>
      <c r="AM18" s="393">
        <f t="shared" si="22"/>
        <v>0</v>
      </c>
      <c r="AN18" s="394">
        <f t="shared" si="23"/>
        <v>0</v>
      </c>
      <c r="AO18" s="263"/>
    </row>
    <row r="19" spans="1:41" s="5" customFormat="1">
      <c r="A19" s="423">
        <f>'1-συμβολαια'!A19</f>
        <v>0</v>
      </c>
      <c r="B19" s="327" t="str">
        <f>'1-συμβολαια'!C19</f>
        <v>ΧΡΗΣΙΚΤΗΣΙΑ οικοπέδου 4' = 19?? ΑΓΟΡΑΠΩΛΗΣΙΑ άτυπη</v>
      </c>
      <c r="C19" s="322">
        <f>'1-συμβολαια'!D19</f>
        <v>111.11</v>
      </c>
      <c r="D19" s="338">
        <f>'3-φύλλα2α'!D19</f>
        <v>7</v>
      </c>
      <c r="E19" s="338">
        <f>'3-φύλλα2α'!E19</f>
        <v>0</v>
      </c>
      <c r="F19" s="265"/>
      <c r="G19" s="265"/>
      <c r="H19" s="317">
        <f t="shared" si="13"/>
        <v>0</v>
      </c>
      <c r="I19" s="317">
        <f t="shared" si="13"/>
        <v>0</v>
      </c>
      <c r="J19" s="339">
        <f t="shared" si="14"/>
        <v>0</v>
      </c>
      <c r="K19" s="339">
        <f t="shared" si="15"/>
        <v>0</v>
      </c>
      <c r="L19" s="339">
        <f t="shared" si="16"/>
        <v>0</v>
      </c>
      <c r="M19" s="339">
        <f t="shared" si="17"/>
        <v>0</v>
      </c>
      <c r="N19" s="339">
        <f t="shared" si="18"/>
        <v>0</v>
      </c>
      <c r="O19" s="339">
        <f t="shared" si="19"/>
        <v>0</v>
      </c>
      <c r="P19" s="339">
        <f t="shared" si="20"/>
        <v>0</v>
      </c>
      <c r="Q19" s="339">
        <f t="shared" si="21"/>
        <v>0</v>
      </c>
      <c r="R19" s="390"/>
      <c r="S19" s="390"/>
      <c r="T19" s="390"/>
      <c r="U19" s="391"/>
      <c r="V19" s="390"/>
      <c r="W19" s="390"/>
      <c r="X19" s="390"/>
      <c r="Y19" s="390"/>
      <c r="Z19" s="390"/>
      <c r="AA19" s="390"/>
      <c r="AB19" s="390"/>
      <c r="AC19" s="390"/>
      <c r="AD19" s="390"/>
      <c r="AE19" s="390"/>
      <c r="AF19" s="390"/>
      <c r="AG19" s="534"/>
      <c r="AH19" s="392"/>
      <c r="AI19" s="392"/>
      <c r="AJ19" s="392"/>
      <c r="AK19" s="392"/>
      <c r="AL19" s="392"/>
      <c r="AM19" s="393">
        <f t="shared" si="22"/>
        <v>0</v>
      </c>
      <c r="AN19" s="394">
        <f t="shared" si="23"/>
        <v>0</v>
      </c>
      <c r="AO19" s="263"/>
    </row>
    <row r="20" spans="1:41" s="5" customFormat="1" ht="12" thickBot="1">
      <c r="A20" s="406">
        <f>'1-συμβολαια'!A20</f>
        <v>0</v>
      </c>
      <c r="B20" s="425" t="str">
        <f>'1-συμβολαια'!C20</f>
        <v>ΧΡΗΣΙΚΤΗΣΙΑ αγροτεμαχίου 8' = 19??? ΑΓΟΡΑΠΩΛΗΣΙΑ άτυπη</v>
      </c>
      <c r="C20" s="414">
        <f>'1-συμβολαια'!D20</f>
        <v>1111.1099999999999</v>
      </c>
      <c r="D20" s="476">
        <f>'3-φύλλα2α'!D20</f>
        <v>7</v>
      </c>
      <c r="E20" s="476">
        <f>'3-φύλλα2α'!E20</f>
        <v>0</v>
      </c>
      <c r="F20" s="463"/>
      <c r="G20" s="463"/>
      <c r="H20" s="438">
        <f t="shared" si="13"/>
        <v>0</v>
      </c>
      <c r="I20" s="438">
        <f t="shared" si="13"/>
        <v>0</v>
      </c>
      <c r="J20" s="477">
        <f t="shared" si="14"/>
        <v>0</v>
      </c>
      <c r="K20" s="477">
        <f t="shared" si="15"/>
        <v>0</v>
      </c>
      <c r="L20" s="477">
        <f t="shared" si="16"/>
        <v>0</v>
      </c>
      <c r="M20" s="477">
        <f t="shared" si="17"/>
        <v>0</v>
      </c>
      <c r="N20" s="477">
        <f t="shared" si="18"/>
        <v>0</v>
      </c>
      <c r="O20" s="477">
        <f t="shared" si="19"/>
        <v>0</v>
      </c>
      <c r="P20" s="477">
        <f t="shared" si="20"/>
        <v>0</v>
      </c>
      <c r="Q20" s="438">
        <f t="shared" si="21"/>
        <v>0</v>
      </c>
      <c r="R20" s="535"/>
      <c r="S20" s="535"/>
      <c r="T20" s="535"/>
      <c r="U20" s="536"/>
      <c r="V20" s="535"/>
      <c r="W20" s="535"/>
      <c r="X20" s="535"/>
      <c r="Y20" s="535"/>
      <c r="Z20" s="535"/>
      <c r="AA20" s="535"/>
      <c r="AB20" s="535"/>
      <c r="AC20" s="535"/>
      <c r="AD20" s="535"/>
      <c r="AE20" s="535"/>
      <c r="AF20" s="535"/>
      <c r="AG20" s="537"/>
      <c r="AH20" s="535"/>
      <c r="AI20" s="535"/>
      <c r="AJ20" s="535"/>
      <c r="AK20" s="535"/>
      <c r="AL20" s="535"/>
      <c r="AM20" s="538">
        <f t="shared" si="22"/>
        <v>0</v>
      </c>
      <c r="AN20" s="536">
        <f t="shared" si="23"/>
        <v>0</v>
      </c>
      <c r="AO20" s="539"/>
    </row>
    <row r="21" spans="1:41" s="5" customFormat="1">
      <c r="A21" s="449" t="str">
        <f>'1-συμβολαια'!A21</f>
        <v>13ο</v>
      </c>
      <c r="B21" s="424" t="str">
        <f>'1-συμβολαια'!C21</f>
        <v>κληρονομιάς ΑΠΟΔΟΧΗ</v>
      </c>
      <c r="C21" s="322">
        <f>'1-συμβολαια'!D21</f>
        <v>0</v>
      </c>
      <c r="D21" s="432">
        <f>'3-φύλλα2α'!D21</f>
        <v>7</v>
      </c>
      <c r="E21" s="432">
        <f>'3-φύλλα2α'!E21</f>
        <v>7</v>
      </c>
      <c r="F21" s="427">
        <v>2</v>
      </c>
      <c r="G21" s="427">
        <v>2</v>
      </c>
      <c r="H21" s="318">
        <f t="shared" si="13"/>
        <v>45.22</v>
      </c>
      <c r="I21" s="318">
        <f t="shared" si="13"/>
        <v>45.22</v>
      </c>
      <c r="J21" s="475">
        <f t="shared" si="14"/>
        <v>2.2610000000000001</v>
      </c>
      <c r="K21" s="475">
        <f t="shared" si="15"/>
        <v>2.2610000000000001</v>
      </c>
      <c r="L21" s="475">
        <f t="shared" si="16"/>
        <v>0.45219999999999999</v>
      </c>
      <c r="M21" s="475">
        <f t="shared" si="17"/>
        <v>40.245799999999996</v>
      </c>
      <c r="N21" s="475">
        <f t="shared" si="18"/>
        <v>40.245800000000003</v>
      </c>
      <c r="O21" s="475">
        <f t="shared" si="19"/>
        <v>4.9742000000000006</v>
      </c>
      <c r="P21" s="475">
        <f t="shared" si="20"/>
        <v>4.9741999999999997</v>
      </c>
      <c r="Q21" s="475">
        <f t="shared" si="21"/>
        <v>0</v>
      </c>
      <c r="R21" s="392"/>
      <c r="S21" s="392"/>
      <c r="T21" s="392">
        <v>22.61</v>
      </c>
      <c r="U21" s="394">
        <v>1.98</v>
      </c>
      <c r="V21" s="392"/>
      <c r="W21" s="392"/>
      <c r="X21" s="392"/>
      <c r="Y21" s="392"/>
      <c r="Z21" s="392"/>
      <c r="AA21" s="392"/>
      <c r="AB21" s="392"/>
      <c r="AC21" s="392"/>
      <c r="AD21" s="392"/>
      <c r="AE21" s="392"/>
      <c r="AF21" s="392"/>
      <c r="AG21" s="534"/>
      <c r="AH21" s="392">
        <f>2*3.23</f>
        <v>6.46</v>
      </c>
      <c r="AI21" s="392">
        <v>1.98</v>
      </c>
      <c r="AJ21" s="392"/>
      <c r="AK21" s="392"/>
      <c r="AL21" s="392"/>
      <c r="AM21" s="393">
        <f t="shared" si="22"/>
        <v>3.96</v>
      </c>
      <c r="AN21" s="394">
        <f t="shared" si="23"/>
        <v>29.07</v>
      </c>
      <c r="AO21" s="540"/>
    </row>
    <row r="22" spans="1:41" s="5" customFormat="1">
      <c r="A22" s="470">
        <f>'1-συμβολαια'!A22</f>
        <v>0</v>
      </c>
      <c r="B22" s="327" t="str">
        <f>'1-συμβολαια'!C22</f>
        <v>ΧΡΗΣΙΚΤΗΣΙΑ οικοπέδου &amp; οικοδομής = 1992 αδερφού ΚΛΗΡΟΝΟΜΙΑ άτυπη</v>
      </c>
      <c r="C22" s="322">
        <f>'1-συμβολαια'!D22</f>
        <v>1111.1099999999999</v>
      </c>
      <c r="D22" s="338">
        <f>'3-φύλλα2α'!D22</f>
        <v>7</v>
      </c>
      <c r="E22" s="338">
        <f>'3-φύλλα2α'!E22</f>
        <v>0</v>
      </c>
      <c r="F22" s="265"/>
      <c r="G22" s="265"/>
      <c r="H22" s="317">
        <f t="shared" si="13"/>
        <v>0</v>
      </c>
      <c r="I22" s="317">
        <f t="shared" si="13"/>
        <v>0</v>
      </c>
      <c r="J22" s="339">
        <f t="shared" si="14"/>
        <v>0</v>
      </c>
      <c r="K22" s="339">
        <f t="shared" si="15"/>
        <v>0</v>
      </c>
      <c r="L22" s="339">
        <f t="shared" si="16"/>
        <v>0</v>
      </c>
      <c r="M22" s="339">
        <f t="shared" si="17"/>
        <v>0</v>
      </c>
      <c r="N22" s="339">
        <f t="shared" si="18"/>
        <v>0</v>
      </c>
      <c r="O22" s="339">
        <f t="shared" si="19"/>
        <v>0</v>
      </c>
      <c r="P22" s="339">
        <f t="shared" si="20"/>
        <v>0</v>
      </c>
      <c r="Q22" s="339">
        <f t="shared" si="21"/>
        <v>0</v>
      </c>
      <c r="R22" s="390"/>
      <c r="S22" s="390"/>
      <c r="T22" s="390"/>
      <c r="U22" s="391"/>
      <c r="V22" s="390"/>
      <c r="W22" s="390"/>
      <c r="X22" s="390"/>
      <c r="Y22" s="390"/>
      <c r="Z22" s="390"/>
      <c r="AA22" s="390"/>
      <c r="AB22" s="390"/>
      <c r="AC22" s="390"/>
      <c r="AD22" s="390"/>
      <c r="AE22" s="390"/>
      <c r="AF22" s="390"/>
      <c r="AG22" s="534"/>
      <c r="AH22" s="392"/>
      <c r="AI22" s="392"/>
      <c r="AJ22" s="392"/>
      <c r="AK22" s="392"/>
      <c r="AL22" s="392"/>
      <c r="AM22" s="393">
        <f t="shared" si="22"/>
        <v>0</v>
      </c>
      <c r="AN22" s="394">
        <f t="shared" si="23"/>
        <v>0</v>
      </c>
      <c r="AO22" s="263"/>
    </row>
    <row r="23" spans="1:41" s="5" customFormat="1">
      <c r="A23" s="470">
        <f>'1-συμβολαια'!A23</f>
        <v>0</v>
      </c>
      <c r="B23" s="327" t="str">
        <f>'1-συμβολαια'!C23</f>
        <v>ΧΡΗΣΙΚΤΗΣΙΑ οικοπέδων 2'-3' = 1992 αδερφού ΚΛΗΡΟΝΟΜΙΑ άτυπη</v>
      </c>
      <c r="C23" s="322">
        <f>'1-συμβολαια'!D23</f>
        <v>1111.1099999999999</v>
      </c>
      <c r="D23" s="338">
        <f>'3-φύλλα2α'!D23</f>
        <v>7</v>
      </c>
      <c r="E23" s="338">
        <f>'3-φύλλα2α'!E23</f>
        <v>0</v>
      </c>
      <c r="F23" s="265"/>
      <c r="G23" s="265"/>
      <c r="H23" s="317">
        <f t="shared" si="13"/>
        <v>0</v>
      </c>
      <c r="I23" s="317">
        <f t="shared" si="13"/>
        <v>0</v>
      </c>
      <c r="J23" s="339">
        <f t="shared" si="14"/>
        <v>0</v>
      </c>
      <c r="K23" s="339">
        <f t="shared" si="15"/>
        <v>0</v>
      </c>
      <c r="L23" s="339">
        <f t="shared" si="16"/>
        <v>0</v>
      </c>
      <c r="M23" s="339">
        <f t="shared" si="17"/>
        <v>0</v>
      </c>
      <c r="N23" s="339">
        <f t="shared" si="18"/>
        <v>0</v>
      </c>
      <c r="O23" s="339">
        <f t="shared" si="19"/>
        <v>0</v>
      </c>
      <c r="P23" s="339">
        <f t="shared" si="20"/>
        <v>0</v>
      </c>
      <c r="Q23" s="339">
        <f t="shared" si="21"/>
        <v>0</v>
      </c>
      <c r="R23" s="390"/>
      <c r="S23" s="390"/>
      <c r="T23" s="390"/>
      <c r="U23" s="391"/>
      <c r="V23" s="390"/>
      <c r="W23" s="390"/>
      <c r="X23" s="390"/>
      <c r="Y23" s="390"/>
      <c r="Z23" s="390"/>
      <c r="AA23" s="390"/>
      <c r="AB23" s="390"/>
      <c r="AC23" s="390"/>
      <c r="AD23" s="390"/>
      <c r="AE23" s="390"/>
      <c r="AF23" s="390"/>
      <c r="AG23" s="534"/>
      <c r="AH23" s="392"/>
      <c r="AI23" s="392"/>
      <c r="AJ23" s="392"/>
      <c r="AK23" s="392"/>
      <c r="AL23" s="392"/>
      <c r="AM23" s="393">
        <f t="shared" si="22"/>
        <v>0</v>
      </c>
      <c r="AN23" s="394">
        <f t="shared" si="23"/>
        <v>0</v>
      </c>
      <c r="AO23" s="263"/>
    </row>
    <row r="24" spans="1:41" s="5" customFormat="1">
      <c r="A24" s="470">
        <f>'1-συμβολαια'!A24</f>
        <v>0</v>
      </c>
      <c r="B24" s="327" t="str">
        <f>'1-συμβολαια'!C24</f>
        <v>ΧΡΗΣΙΚΤΗΣΙΑ αγροτεμαχίου 9' = 1968 μητρός ΚΛΗΡΟΝΟΜΙΑ άτυπη</v>
      </c>
      <c r="C24" s="322">
        <f>'1-συμβολαια'!D24</f>
        <v>111.11</v>
      </c>
      <c r="D24" s="338">
        <f>'3-φύλλα2α'!D24</f>
        <v>7</v>
      </c>
      <c r="E24" s="338">
        <f>'3-φύλλα2α'!E24</f>
        <v>0</v>
      </c>
      <c r="F24" s="265"/>
      <c r="G24" s="265"/>
      <c r="H24" s="317">
        <f t="shared" si="13"/>
        <v>0</v>
      </c>
      <c r="I24" s="317">
        <f t="shared" si="13"/>
        <v>0</v>
      </c>
      <c r="J24" s="339">
        <f t="shared" si="14"/>
        <v>0</v>
      </c>
      <c r="K24" s="339">
        <f t="shared" si="15"/>
        <v>0</v>
      </c>
      <c r="L24" s="339">
        <f t="shared" si="16"/>
        <v>0</v>
      </c>
      <c r="M24" s="339">
        <f t="shared" si="17"/>
        <v>0</v>
      </c>
      <c r="N24" s="339">
        <f t="shared" si="18"/>
        <v>0</v>
      </c>
      <c r="O24" s="339">
        <f t="shared" si="19"/>
        <v>0</v>
      </c>
      <c r="P24" s="339">
        <f t="shared" si="20"/>
        <v>0</v>
      </c>
      <c r="Q24" s="339">
        <f t="shared" si="21"/>
        <v>0</v>
      </c>
      <c r="R24" s="390"/>
      <c r="S24" s="390"/>
      <c r="T24" s="390"/>
      <c r="U24" s="391"/>
      <c r="V24" s="390"/>
      <c r="W24" s="390"/>
      <c r="X24" s="390"/>
      <c r="Y24" s="390"/>
      <c r="Z24" s="390"/>
      <c r="AA24" s="390"/>
      <c r="AB24" s="390"/>
      <c r="AC24" s="390"/>
      <c r="AD24" s="390"/>
      <c r="AE24" s="390"/>
      <c r="AF24" s="390"/>
      <c r="AG24" s="534"/>
      <c r="AH24" s="392"/>
      <c r="AI24" s="392"/>
      <c r="AJ24" s="392"/>
      <c r="AK24" s="392"/>
      <c r="AL24" s="392"/>
      <c r="AM24" s="393">
        <f t="shared" si="22"/>
        <v>0</v>
      </c>
      <c r="AN24" s="394">
        <f t="shared" si="23"/>
        <v>0</v>
      </c>
      <c r="AO24" s="263"/>
    </row>
    <row r="25" spans="1:41" s="5" customFormat="1">
      <c r="A25" s="470">
        <f>'1-συμβολαια'!A25</f>
        <v>0</v>
      </c>
      <c r="B25" s="327" t="str">
        <f>'1-συμβολαια'!C25</f>
        <v>ΧΡΗΣΙΚΤΗΣΙΑ οικοπέδου 4' = 19?? ΑΓΟΡΑΠΩΛΗΣΙΑ άτυπη</v>
      </c>
      <c r="C25" s="322">
        <f>'1-συμβολαια'!D25</f>
        <v>111.11</v>
      </c>
      <c r="D25" s="338">
        <f>'3-φύλλα2α'!D25</f>
        <v>7</v>
      </c>
      <c r="E25" s="338">
        <f>'3-φύλλα2α'!E25</f>
        <v>0</v>
      </c>
      <c r="F25" s="265"/>
      <c r="G25" s="265"/>
      <c r="H25" s="317">
        <f t="shared" si="13"/>
        <v>0</v>
      </c>
      <c r="I25" s="317">
        <f t="shared" si="13"/>
        <v>0</v>
      </c>
      <c r="J25" s="339">
        <f t="shared" si="14"/>
        <v>0</v>
      </c>
      <c r="K25" s="339">
        <f t="shared" si="15"/>
        <v>0</v>
      </c>
      <c r="L25" s="339">
        <f t="shared" si="16"/>
        <v>0</v>
      </c>
      <c r="M25" s="339">
        <f t="shared" si="17"/>
        <v>0</v>
      </c>
      <c r="N25" s="339">
        <f t="shared" si="18"/>
        <v>0</v>
      </c>
      <c r="O25" s="339">
        <f t="shared" si="19"/>
        <v>0</v>
      </c>
      <c r="P25" s="339">
        <f t="shared" si="20"/>
        <v>0</v>
      </c>
      <c r="Q25" s="339">
        <f t="shared" si="21"/>
        <v>0</v>
      </c>
      <c r="R25" s="390"/>
      <c r="S25" s="390"/>
      <c r="T25" s="390"/>
      <c r="U25" s="391"/>
      <c r="V25" s="390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534"/>
      <c r="AH25" s="392"/>
      <c r="AI25" s="392"/>
      <c r="AJ25" s="392"/>
      <c r="AK25" s="392"/>
      <c r="AL25" s="392"/>
      <c r="AM25" s="393">
        <f t="shared" si="22"/>
        <v>0</v>
      </c>
      <c r="AN25" s="394">
        <f t="shared" si="23"/>
        <v>0</v>
      </c>
      <c r="AO25" s="263"/>
    </row>
    <row r="26" spans="1:41" s="5" customFormat="1" ht="12" thickBot="1">
      <c r="A26" s="451">
        <f>'1-συμβολαια'!A26</f>
        <v>0</v>
      </c>
      <c r="B26" s="425" t="str">
        <f>'1-συμβολαια'!C26</f>
        <v>ΧΡΗΣΙΚΤΗΣΙΑ αγροτεμαχίου 8' = 19??? ΑΓΟΡΑΠΩΛΗΣΙΑ άτυπη</v>
      </c>
      <c r="C26" s="414">
        <f>'1-συμβολαια'!D26</f>
        <v>1111.1099999999999</v>
      </c>
      <c r="D26" s="476">
        <f>'3-φύλλα2α'!D26</f>
        <v>7</v>
      </c>
      <c r="E26" s="476">
        <f>'3-φύλλα2α'!E26</f>
        <v>0</v>
      </c>
      <c r="F26" s="463"/>
      <c r="G26" s="463"/>
      <c r="H26" s="438">
        <f t="shared" si="13"/>
        <v>0</v>
      </c>
      <c r="I26" s="438">
        <f t="shared" si="13"/>
        <v>0</v>
      </c>
      <c r="J26" s="477">
        <f t="shared" si="14"/>
        <v>0</v>
      </c>
      <c r="K26" s="477">
        <f t="shared" si="15"/>
        <v>0</v>
      </c>
      <c r="L26" s="477">
        <f t="shared" si="16"/>
        <v>0</v>
      </c>
      <c r="M26" s="477">
        <f t="shared" si="17"/>
        <v>0</v>
      </c>
      <c r="N26" s="477">
        <f t="shared" si="18"/>
        <v>0</v>
      </c>
      <c r="O26" s="477">
        <f t="shared" si="19"/>
        <v>0</v>
      </c>
      <c r="P26" s="477">
        <f t="shared" si="20"/>
        <v>0</v>
      </c>
      <c r="Q26" s="438">
        <f t="shared" si="21"/>
        <v>0</v>
      </c>
      <c r="R26" s="535"/>
      <c r="S26" s="535"/>
      <c r="T26" s="535"/>
      <c r="U26" s="536"/>
      <c r="V26" s="535"/>
      <c r="W26" s="535"/>
      <c r="X26" s="535"/>
      <c r="Y26" s="535"/>
      <c r="Z26" s="535"/>
      <c r="AA26" s="535"/>
      <c r="AB26" s="535"/>
      <c r="AC26" s="535"/>
      <c r="AD26" s="535"/>
      <c r="AE26" s="535"/>
      <c r="AF26" s="535"/>
      <c r="AG26" s="537"/>
      <c r="AH26" s="535"/>
      <c r="AI26" s="535"/>
      <c r="AJ26" s="535"/>
      <c r="AK26" s="535"/>
      <c r="AL26" s="535"/>
      <c r="AM26" s="538">
        <f t="shared" si="22"/>
        <v>0</v>
      </c>
      <c r="AN26" s="536">
        <f t="shared" si="23"/>
        <v>0</v>
      </c>
      <c r="AO26" s="539"/>
    </row>
    <row r="27" spans="1:41" s="5" customFormat="1">
      <c r="A27" s="403" t="str">
        <f>'1-συμβολαια'!A27</f>
        <v>14ο</v>
      </c>
      <c r="B27" s="424" t="str">
        <f>'1-συμβολαια'!C27</f>
        <v>κληρονομιάς ΑΠΟΔΟΧΗ</v>
      </c>
      <c r="C27" s="322">
        <f>'1-συμβολαια'!D27</f>
        <v>0</v>
      </c>
      <c r="D27" s="432">
        <f>'3-φύλλα2α'!D27</f>
        <v>7</v>
      </c>
      <c r="E27" s="432">
        <f>'3-φύλλα2α'!E27</f>
        <v>7</v>
      </c>
      <c r="F27" s="427">
        <v>2</v>
      </c>
      <c r="G27" s="427">
        <v>2</v>
      </c>
      <c r="H27" s="318">
        <f t="shared" si="13"/>
        <v>45.22</v>
      </c>
      <c r="I27" s="318">
        <f t="shared" si="13"/>
        <v>45.22</v>
      </c>
      <c r="J27" s="475">
        <f t="shared" si="14"/>
        <v>2.2610000000000001</v>
      </c>
      <c r="K27" s="475">
        <f t="shared" si="15"/>
        <v>2.2610000000000001</v>
      </c>
      <c r="L27" s="475">
        <f t="shared" si="16"/>
        <v>0.45219999999999999</v>
      </c>
      <c r="M27" s="475">
        <f t="shared" si="17"/>
        <v>40.245799999999996</v>
      </c>
      <c r="N27" s="475">
        <f t="shared" si="18"/>
        <v>40.245800000000003</v>
      </c>
      <c r="O27" s="475">
        <f t="shared" si="19"/>
        <v>4.9742000000000006</v>
      </c>
      <c r="P27" s="475">
        <f t="shared" si="20"/>
        <v>4.9741999999999997</v>
      </c>
      <c r="Q27" s="475">
        <f t="shared" si="21"/>
        <v>0</v>
      </c>
      <c r="R27" s="392"/>
      <c r="S27" s="392"/>
      <c r="T27" s="392">
        <v>22.61</v>
      </c>
      <c r="U27" s="394">
        <v>1.98</v>
      </c>
      <c r="V27" s="392"/>
      <c r="W27" s="392"/>
      <c r="X27" s="392"/>
      <c r="Y27" s="392"/>
      <c r="Z27" s="392"/>
      <c r="AA27" s="392"/>
      <c r="AB27" s="392"/>
      <c r="AC27" s="392"/>
      <c r="AD27" s="392"/>
      <c r="AE27" s="392"/>
      <c r="AF27" s="392"/>
      <c r="AG27" s="534"/>
      <c r="AH27" s="392">
        <f>2*3.23</f>
        <v>6.46</v>
      </c>
      <c r="AI27" s="392">
        <v>1.98</v>
      </c>
      <c r="AJ27" s="392"/>
      <c r="AK27" s="392"/>
      <c r="AL27" s="392"/>
      <c r="AM27" s="393">
        <f t="shared" si="22"/>
        <v>3.96</v>
      </c>
      <c r="AN27" s="394">
        <f t="shared" si="23"/>
        <v>29.07</v>
      </c>
      <c r="AO27" s="540"/>
    </row>
    <row r="28" spans="1:41" s="5" customFormat="1">
      <c r="A28" s="423">
        <f>'1-συμβολαια'!A28</f>
        <v>0</v>
      </c>
      <c r="B28" s="327" t="str">
        <f>'1-συμβολαια'!C28</f>
        <v>ΧΡΗΣΙΚΤΗΣΙΑ οικοπέδου &amp; οικοδομής = 1935 πατρός ΚΛΗΡΟΝΟΜΙΑ άτυπη</v>
      </c>
      <c r="C28" s="322">
        <f>'1-συμβολαια'!D28</f>
        <v>1111.1099999999999</v>
      </c>
      <c r="D28" s="338">
        <f>'3-φύλλα2α'!D28</f>
        <v>7</v>
      </c>
      <c r="E28" s="338">
        <f>'3-φύλλα2α'!E28</f>
        <v>0</v>
      </c>
      <c r="F28" s="265"/>
      <c r="G28" s="265"/>
      <c r="H28" s="317">
        <f t="shared" si="13"/>
        <v>0</v>
      </c>
      <c r="I28" s="317">
        <f t="shared" si="13"/>
        <v>0</v>
      </c>
      <c r="J28" s="339">
        <f t="shared" si="14"/>
        <v>0</v>
      </c>
      <c r="K28" s="339">
        <f t="shared" si="15"/>
        <v>0</v>
      </c>
      <c r="L28" s="339">
        <f t="shared" si="16"/>
        <v>0</v>
      </c>
      <c r="M28" s="339">
        <f t="shared" si="17"/>
        <v>0</v>
      </c>
      <c r="N28" s="339">
        <f t="shared" si="18"/>
        <v>0</v>
      </c>
      <c r="O28" s="339">
        <f t="shared" si="19"/>
        <v>0</v>
      </c>
      <c r="P28" s="339">
        <f t="shared" si="20"/>
        <v>0</v>
      </c>
      <c r="Q28" s="339">
        <f t="shared" si="21"/>
        <v>0</v>
      </c>
      <c r="R28" s="390"/>
      <c r="S28" s="390"/>
      <c r="T28" s="390"/>
      <c r="U28" s="391"/>
      <c r="V28" s="390"/>
      <c r="W28" s="390"/>
      <c r="X28" s="390"/>
      <c r="Y28" s="390"/>
      <c r="Z28" s="390"/>
      <c r="AA28" s="390"/>
      <c r="AB28" s="390"/>
      <c r="AC28" s="390"/>
      <c r="AD28" s="390"/>
      <c r="AE28" s="390"/>
      <c r="AF28" s="390"/>
      <c r="AG28" s="534"/>
      <c r="AH28" s="392"/>
      <c r="AI28" s="392"/>
      <c r="AJ28" s="392"/>
      <c r="AK28" s="392"/>
      <c r="AL28" s="392"/>
      <c r="AM28" s="393">
        <f t="shared" si="22"/>
        <v>0</v>
      </c>
      <c r="AN28" s="394">
        <f t="shared" si="23"/>
        <v>0</v>
      </c>
      <c r="AO28" s="263"/>
    </row>
    <row r="29" spans="1:41" s="5" customFormat="1">
      <c r="A29" s="423">
        <f>'1-συμβολαια'!A29</f>
        <v>0</v>
      </c>
      <c r="B29" s="327" t="str">
        <f>'1-συμβολαια'!C29</f>
        <v>ΧΡΗΣΙΚΤΗΣΙΑ οικοπέδων 2'-3' = 1992 αδερφού ΚΛΗΡΟΝΟΜΙΑ άτυπη</v>
      </c>
      <c r="C29" s="322">
        <f>'1-συμβολαια'!D29</f>
        <v>1111.1099999999999</v>
      </c>
      <c r="D29" s="338">
        <f>'3-φύλλα2α'!D29</f>
        <v>7</v>
      </c>
      <c r="E29" s="338">
        <f>'3-φύλλα2α'!E29</f>
        <v>0</v>
      </c>
      <c r="F29" s="265"/>
      <c r="G29" s="265"/>
      <c r="H29" s="317">
        <f t="shared" si="13"/>
        <v>0</v>
      </c>
      <c r="I29" s="317">
        <f t="shared" si="13"/>
        <v>0</v>
      </c>
      <c r="J29" s="339">
        <f t="shared" si="14"/>
        <v>0</v>
      </c>
      <c r="K29" s="339">
        <f t="shared" si="15"/>
        <v>0</v>
      </c>
      <c r="L29" s="339">
        <f t="shared" si="16"/>
        <v>0</v>
      </c>
      <c r="M29" s="339">
        <f t="shared" si="17"/>
        <v>0</v>
      </c>
      <c r="N29" s="339">
        <f t="shared" si="18"/>
        <v>0</v>
      </c>
      <c r="O29" s="339">
        <f t="shared" si="19"/>
        <v>0</v>
      </c>
      <c r="P29" s="339">
        <f t="shared" si="20"/>
        <v>0</v>
      </c>
      <c r="Q29" s="339">
        <f t="shared" si="21"/>
        <v>0</v>
      </c>
      <c r="R29" s="390"/>
      <c r="S29" s="390"/>
      <c r="T29" s="390"/>
      <c r="U29" s="391"/>
      <c r="V29" s="390"/>
      <c r="W29" s="390"/>
      <c r="X29" s="390"/>
      <c r="Y29" s="390"/>
      <c r="Z29" s="390"/>
      <c r="AA29" s="390"/>
      <c r="AB29" s="390"/>
      <c r="AC29" s="390"/>
      <c r="AD29" s="390"/>
      <c r="AE29" s="390"/>
      <c r="AF29" s="390"/>
      <c r="AG29" s="534"/>
      <c r="AH29" s="392"/>
      <c r="AI29" s="392"/>
      <c r="AJ29" s="392"/>
      <c r="AK29" s="392"/>
      <c r="AL29" s="392"/>
      <c r="AM29" s="393">
        <f t="shared" si="22"/>
        <v>0</v>
      </c>
      <c r="AN29" s="394">
        <f t="shared" si="23"/>
        <v>0</v>
      </c>
      <c r="AO29" s="263"/>
    </row>
    <row r="30" spans="1:41" s="5" customFormat="1">
      <c r="A30" s="423">
        <f>'1-συμβολαια'!A30</f>
        <v>0</v>
      </c>
      <c r="B30" s="327" t="str">
        <f>'1-συμβολαια'!C30</f>
        <v>ΧΡΗΣΙΚΤΗΣΙΑ αγροτεμαχίου 9' = 1968 μητρός ΚΛΗΡΟΝΟΜΙΑ άτυπη</v>
      </c>
      <c r="C30" s="322">
        <f>'1-συμβολαια'!D30</f>
        <v>111.11</v>
      </c>
      <c r="D30" s="338">
        <f>'3-φύλλα2α'!D30</f>
        <v>7</v>
      </c>
      <c r="E30" s="338">
        <f>'3-φύλλα2α'!E30</f>
        <v>0</v>
      </c>
      <c r="F30" s="265"/>
      <c r="G30" s="265"/>
      <c r="H30" s="317">
        <f t="shared" ref="H30:H35" si="24">F30*D30*3.23</f>
        <v>0</v>
      </c>
      <c r="I30" s="317">
        <f t="shared" ref="I30:I35" si="25">G30*E30*3.23</f>
        <v>0</v>
      </c>
      <c r="J30" s="339">
        <f t="shared" ref="J30:J35" si="26">H30*5%</f>
        <v>0</v>
      </c>
      <c r="K30" s="339">
        <f t="shared" ref="K30:K35" si="27">H30*5%</f>
        <v>0</v>
      </c>
      <c r="L30" s="339">
        <f t="shared" ref="L30:L35" si="28">H30*1%</f>
        <v>0</v>
      </c>
      <c r="M30" s="339">
        <f t="shared" ref="M30:M35" si="29">H30-O30</f>
        <v>0</v>
      </c>
      <c r="N30" s="339">
        <f t="shared" ref="N30:N35" si="30">I30-P30</f>
        <v>0</v>
      </c>
      <c r="O30" s="339">
        <f t="shared" ref="O30:O35" si="31">J30+K30+L30</f>
        <v>0</v>
      </c>
      <c r="P30" s="339">
        <f t="shared" ref="P30:P35" si="32">I30*11%</f>
        <v>0</v>
      </c>
      <c r="Q30" s="339">
        <f t="shared" ref="Q30:Q35" si="33">O30-P30</f>
        <v>0</v>
      </c>
      <c r="R30" s="390"/>
      <c r="S30" s="390"/>
      <c r="T30" s="390"/>
      <c r="U30" s="391"/>
      <c r="V30" s="390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534"/>
      <c r="AH30" s="392"/>
      <c r="AI30" s="392"/>
      <c r="AJ30" s="392"/>
      <c r="AK30" s="392"/>
      <c r="AL30" s="392"/>
      <c r="AM30" s="393">
        <f t="shared" ref="AM30:AM35" si="34">U30+Y30+AA30+AI30+AK30</f>
        <v>0</v>
      </c>
      <c r="AN30" s="394">
        <f t="shared" ref="AN30:AN35" si="35">R30+S30+T30+V30+W30+X30+Z30+AB30+AC30+AD30+AE30+AF30+AG30+AH30+AJ30+AL30</f>
        <v>0</v>
      </c>
      <c r="AO30" s="263"/>
    </row>
    <row r="31" spans="1:41" s="5" customFormat="1">
      <c r="A31" s="423">
        <f>'1-συμβολαια'!A31</f>
        <v>0</v>
      </c>
      <c r="B31" s="327" t="str">
        <f>'1-συμβολαια'!C31</f>
        <v>ΧΡΗΣΙΚΤΗΣΙΑ οικοπέδου 4' = 19?? ΑΓΟΡΑΠΩΛΗΣΙΑ άτυπη</v>
      </c>
      <c r="C31" s="322">
        <f>'1-συμβολαια'!D31</f>
        <v>111.11</v>
      </c>
      <c r="D31" s="338">
        <f>'3-φύλλα2α'!D31</f>
        <v>7</v>
      </c>
      <c r="E31" s="338">
        <f>'3-φύλλα2α'!E31</f>
        <v>0</v>
      </c>
      <c r="F31" s="265"/>
      <c r="G31" s="265"/>
      <c r="H31" s="317">
        <f t="shared" si="24"/>
        <v>0</v>
      </c>
      <c r="I31" s="317">
        <f t="shared" si="25"/>
        <v>0</v>
      </c>
      <c r="J31" s="339">
        <f t="shared" si="26"/>
        <v>0</v>
      </c>
      <c r="K31" s="339">
        <f t="shared" si="27"/>
        <v>0</v>
      </c>
      <c r="L31" s="339">
        <f t="shared" si="28"/>
        <v>0</v>
      </c>
      <c r="M31" s="339">
        <f t="shared" si="29"/>
        <v>0</v>
      </c>
      <c r="N31" s="339">
        <f t="shared" si="30"/>
        <v>0</v>
      </c>
      <c r="O31" s="339">
        <f t="shared" si="31"/>
        <v>0</v>
      </c>
      <c r="P31" s="339">
        <f t="shared" si="32"/>
        <v>0</v>
      </c>
      <c r="Q31" s="339">
        <f t="shared" si="33"/>
        <v>0</v>
      </c>
      <c r="R31" s="390"/>
      <c r="S31" s="390"/>
      <c r="T31" s="390"/>
      <c r="U31" s="391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534"/>
      <c r="AH31" s="392"/>
      <c r="AI31" s="392"/>
      <c r="AJ31" s="392"/>
      <c r="AK31" s="392"/>
      <c r="AL31" s="392"/>
      <c r="AM31" s="393">
        <f t="shared" si="34"/>
        <v>0</v>
      </c>
      <c r="AN31" s="394">
        <f t="shared" si="35"/>
        <v>0</v>
      </c>
      <c r="AO31" s="263"/>
    </row>
    <row r="32" spans="1:41" s="5" customFormat="1" ht="12" thickBot="1">
      <c r="A32" s="406">
        <f>'1-συμβολαια'!A32</f>
        <v>0</v>
      </c>
      <c r="B32" s="425" t="str">
        <f>'1-συμβολαια'!C32</f>
        <v>ΧΡΗΣΙΚΤΗΣΙΑ αγροτεμαχίου 8' = 19??? ΑΓΟΡΑΠΩΛΗΣΙΑ άτυπη</v>
      </c>
      <c r="C32" s="414">
        <f>'1-συμβολαια'!D32</f>
        <v>1111.1099999999999</v>
      </c>
      <c r="D32" s="476">
        <f>'3-φύλλα2α'!D32</f>
        <v>7</v>
      </c>
      <c r="E32" s="476">
        <f>'3-φύλλα2α'!E32</f>
        <v>0</v>
      </c>
      <c r="F32" s="463"/>
      <c r="G32" s="463"/>
      <c r="H32" s="438">
        <f t="shared" si="24"/>
        <v>0</v>
      </c>
      <c r="I32" s="438">
        <f t="shared" si="25"/>
        <v>0</v>
      </c>
      <c r="J32" s="477">
        <f t="shared" si="26"/>
        <v>0</v>
      </c>
      <c r="K32" s="477">
        <f t="shared" si="27"/>
        <v>0</v>
      </c>
      <c r="L32" s="477">
        <f t="shared" si="28"/>
        <v>0</v>
      </c>
      <c r="M32" s="477">
        <f t="shared" si="29"/>
        <v>0</v>
      </c>
      <c r="N32" s="477">
        <f t="shared" si="30"/>
        <v>0</v>
      </c>
      <c r="O32" s="477">
        <f t="shared" si="31"/>
        <v>0</v>
      </c>
      <c r="P32" s="477">
        <f t="shared" si="32"/>
        <v>0</v>
      </c>
      <c r="Q32" s="438">
        <f t="shared" si="33"/>
        <v>0</v>
      </c>
      <c r="R32" s="535"/>
      <c r="S32" s="535"/>
      <c r="T32" s="535"/>
      <c r="U32" s="536"/>
      <c r="V32" s="535"/>
      <c r="W32" s="535"/>
      <c r="X32" s="535"/>
      <c r="Y32" s="535"/>
      <c r="Z32" s="535"/>
      <c r="AA32" s="535"/>
      <c r="AB32" s="535"/>
      <c r="AC32" s="535"/>
      <c r="AD32" s="535"/>
      <c r="AE32" s="535"/>
      <c r="AF32" s="535"/>
      <c r="AG32" s="537"/>
      <c r="AH32" s="535"/>
      <c r="AI32" s="535"/>
      <c r="AJ32" s="535"/>
      <c r="AK32" s="535"/>
      <c r="AL32" s="535"/>
      <c r="AM32" s="538">
        <f t="shared" si="34"/>
        <v>0</v>
      </c>
      <c r="AN32" s="536">
        <f t="shared" si="35"/>
        <v>0</v>
      </c>
      <c r="AO32" s="539"/>
    </row>
    <row r="33" spans="1:41" s="5" customFormat="1">
      <c r="A33" s="381" t="str">
        <f>'1-συμβολαια'!A33</f>
        <v>15ο</v>
      </c>
      <c r="B33" s="424" t="str">
        <f>'1-συμβολαια'!C33</f>
        <v>αγοραπωλησία τίμημα = Δ.Ο.Υ. =</v>
      </c>
      <c r="C33" s="322">
        <f>'1-συμβολαια'!D33</f>
        <v>8237.2199999999993</v>
      </c>
      <c r="D33" s="432">
        <f>'3-φύλλα2α'!D33</f>
        <v>6</v>
      </c>
      <c r="E33" s="432">
        <f>'3-φύλλα2α'!E33</f>
        <v>6</v>
      </c>
      <c r="F33" s="427">
        <v>11</v>
      </c>
      <c r="G33" s="427">
        <v>2</v>
      </c>
      <c r="H33" s="318">
        <f t="shared" si="24"/>
        <v>213.18</v>
      </c>
      <c r="I33" s="318">
        <f t="shared" si="25"/>
        <v>38.76</v>
      </c>
      <c r="J33" s="475">
        <f t="shared" si="26"/>
        <v>10.659000000000001</v>
      </c>
      <c r="K33" s="475">
        <f t="shared" si="27"/>
        <v>10.659000000000001</v>
      </c>
      <c r="L33" s="475">
        <f t="shared" si="28"/>
        <v>2.1318000000000001</v>
      </c>
      <c r="M33" s="475">
        <f t="shared" si="29"/>
        <v>189.7302</v>
      </c>
      <c r="N33" s="475">
        <f t="shared" si="30"/>
        <v>34.496400000000001</v>
      </c>
      <c r="O33" s="475">
        <f t="shared" si="31"/>
        <v>23.449800000000003</v>
      </c>
      <c r="P33" s="475">
        <f t="shared" si="32"/>
        <v>4.2635999999999994</v>
      </c>
      <c r="Q33" s="475">
        <f t="shared" si="33"/>
        <v>19.186200000000003</v>
      </c>
      <c r="R33" s="392">
        <f>3*2*3.23+5*22.61</f>
        <v>132.43</v>
      </c>
      <c r="S33" s="392">
        <f>8*1.47</f>
        <v>11.76</v>
      </c>
      <c r="T33" s="392">
        <v>19.38</v>
      </c>
      <c r="U33" s="394">
        <v>1.98</v>
      </c>
      <c r="V33" s="392">
        <v>19.38</v>
      </c>
      <c r="W33" s="392">
        <v>1.47</v>
      </c>
      <c r="X33" s="392"/>
      <c r="Y33" s="392"/>
      <c r="Z33" s="392"/>
      <c r="AA33" s="392"/>
      <c r="AB33" s="392"/>
      <c r="AC33" s="392"/>
      <c r="AD33" s="392">
        <f>5*3.23</f>
        <v>16.149999999999999</v>
      </c>
      <c r="AE33" s="392">
        <f>2*3.23</f>
        <v>6.46</v>
      </c>
      <c r="AF33" s="392">
        <v>1.5</v>
      </c>
      <c r="AG33" s="534"/>
      <c r="AH33" s="392">
        <f>2*3.23</f>
        <v>6.46</v>
      </c>
      <c r="AI33" s="392">
        <v>1.98</v>
      </c>
      <c r="AJ33" s="392"/>
      <c r="AK33" s="392"/>
      <c r="AL33" s="392"/>
      <c r="AM33" s="393">
        <f t="shared" si="34"/>
        <v>3.96</v>
      </c>
      <c r="AN33" s="394">
        <f t="shared" si="35"/>
        <v>214.99</v>
      </c>
      <c r="AO33" s="540"/>
    </row>
    <row r="34" spans="1:41" s="5" customFormat="1">
      <c r="A34" s="383" t="str">
        <f>'1-συμβολαια'!A34</f>
        <v>16ο</v>
      </c>
      <c r="B34" s="327" t="str">
        <f>'1-συμβολαια'!C34</f>
        <v>πληρεξούσιο</v>
      </c>
      <c r="C34" s="322">
        <f>'1-συμβολαια'!D34</f>
        <v>0</v>
      </c>
      <c r="D34" s="338">
        <f>'3-φύλλα2α'!D34</f>
        <v>3</v>
      </c>
      <c r="E34" s="338">
        <f>'3-φύλλα2α'!E34</f>
        <v>3</v>
      </c>
      <c r="F34" s="265">
        <v>1</v>
      </c>
      <c r="G34" s="265">
        <v>1</v>
      </c>
      <c r="H34" s="317">
        <f t="shared" si="24"/>
        <v>9.69</v>
      </c>
      <c r="I34" s="317">
        <f t="shared" si="25"/>
        <v>9.69</v>
      </c>
      <c r="J34" s="339">
        <f t="shared" si="26"/>
        <v>0.48449999999999999</v>
      </c>
      <c r="K34" s="339">
        <f t="shared" si="27"/>
        <v>0.48449999999999999</v>
      </c>
      <c r="L34" s="339">
        <f t="shared" si="28"/>
        <v>9.69E-2</v>
      </c>
      <c r="M34" s="339">
        <f t="shared" si="29"/>
        <v>8.6240999999999985</v>
      </c>
      <c r="N34" s="339">
        <f t="shared" si="30"/>
        <v>8.6241000000000003</v>
      </c>
      <c r="O34" s="339">
        <f t="shared" si="31"/>
        <v>1.0659000000000001</v>
      </c>
      <c r="P34" s="339">
        <f t="shared" si="32"/>
        <v>1.0658999999999998</v>
      </c>
      <c r="Q34" s="339">
        <f t="shared" si="33"/>
        <v>0</v>
      </c>
      <c r="R34" s="390"/>
      <c r="S34" s="390"/>
      <c r="T34" s="390"/>
      <c r="U34" s="391"/>
      <c r="V34" s="390"/>
      <c r="W34" s="390"/>
      <c r="X34" s="390"/>
      <c r="Y34" s="390"/>
      <c r="Z34" s="390"/>
      <c r="AA34" s="390"/>
      <c r="AB34" s="390"/>
      <c r="AC34" s="390"/>
      <c r="AD34" s="390"/>
      <c r="AE34" s="390"/>
      <c r="AF34" s="390"/>
      <c r="AG34" s="534"/>
      <c r="AH34" s="392"/>
      <c r="AI34" s="392"/>
      <c r="AJ34" s="392"/>
      <c r="AK34" s="392"/>
      <c r="AL34" s="392"/>
      <c r="AM34" s="393">
        <f t="shared" si="34"/>
        <v>0</v>
      </c>
      <c r="AN34" s="394">
        <f t="shared" si="35"/>
        <v>0</v>
      </c>
      <c r="AO34" s="263"/>
    </row>
    <row r="35" spans="1:41" s="5" customFormat="1" ht="12" thickBot="1">
      <c r="A35" s="489" t="str">
        <f>'1-συμβολαια'!A35</f>
        <v>17ο</v>
      </c>
      <c r="B35" s="425" t="str">
        <f>'1-συμβολαια'!C35</f>
        <v>πληρεξούσιο</v>
      </c>
      <c r="C35" s="414">
        <f>'1-συμβολαια'!D35</f>
        <v>0</v>
      </c>
      <c r="D35" s="476">
        <f>'3-φύλλα2α'!D35</f>
        <v>3</v>
      </c>
      <c r="E35" s="476">
        <f>'3-φύλλα2α'!E35</f>
        <v>3</v>
      </c>
      <c r="F35" s="463">
        <v>1</v>
      </c>
      <c r="G35" s="463">
        <v>1</v>
      </c>
      <c r="H35" s="438">
        <f t="shared" si="24"/>
        <v>9.69</v>
      </c>
      <c r="I35" s="438">
        <f t="shared" si="25"/>
        <v>9.69</v>
      </c>
      <c r="J35" s="477">
        <f t="shared" si="26"/>
        <v>0.48449999999999999</v>
      </c>
      <c r="K35" s="477">
        <f t="shared" si="27"/>
        <v>0.48449999999999999</v>
      </c>
      <c r="L35" s="477">
        <f t="shared" si="28"/>
        <v>9.69E-2</v>
      </c>
      <c r="M35" s="477">
        <f t="shared" si="29"/>
        <v>8.6240999999999985</v>
      </c>
      <c r="N35" s="477">
        <f t="shared" si="30"/>
        <v>8.6241000000000003</v>
      </c>
      <c r="O35" s="477">
        <f t="shared" si="31"/>
        <v>1.0659000000000001</v>
      </c>
      <c r="P35" s="477">
        <f t="shared" si="32"/>
        <v>1.0658999999999998</v>
      </c>
      <c r="Q35" s="438">
        <f t="shared" si="33"/>
        <v>0</v>
      </c>
      <c r="R35" s="535"/>
      <c r="S35" s="535"/>
      <c r="T35" s="535"/>
      <c r="U35" s="536"/>
      <c r="V35" s="535"/>
      <c r="W35" s="535"/>
      <c r="X35" s="535"/>
      <c r="Y35" s="535"/>
      <c r="Z35" s="535"/>
      <c r="AA35" s="535"/>
      <c r="AB35" s="535"/>
      <c r="AC35" s="535"/>
      <c r="AD35" s="535"/>
      <c r="AE35" s="535"/>
      <c r="AF35" s="535"/>
      <c r="AG35" s="537"/>
      <c r="AH35" s="535"/>
      <c r="AI35" s="535"/>
      <c r="AJ35" s="535"/>
      <c r="AK35" s="535"/>
      <c r="AL35" s="535"/>
      <c r="AM35" s="538">
        <f t="shared" si="34"/>
        <v>0</v>
      </c>
      <c r="AN35" s="536">
        <f t="shared" si="35"/>
        <v>0</v>
      </c>
      <c r="AO35" s="539"/>
    </row>
    <row r="36" spans="1:41" s="5" customFormat="1">
      <c r="A36" s="403" t="str">
        <f>'1-συμβολαια'!A36</f>
        <v>18ο</v>
      </c>
      <c r="B36" s="424" t="str">
        <f>'1-συμβολαια'!C36</f>
        <v>αποδοχή κληρονομιάς</v>
      </c>
      <c r="C36" s="322">
        <f>'1-συμβολαια'!D36</f>
        <v>0</v>
      </c>
      <c r="D36" s="432">
        <f>'3-φύλλα2α'!D36</f>
        <v>5</v>
      </c>
      <c r="E36" s="432">
        <f>'3-φύλλα2α'!E36</f>
        <v>5</v>
      </c>
      <c r="F36" s="427">
        <v>4</v>
      </c>
      <c r="G36" s="427">
        <v>4</v>
      </c>
      <c r="H36" s="318">
        <f t="shared" ref="H36:H37" si="36">F36*D36*3.23</f>
        <v>64.599999999999994</v>
      </c>
      <c r="I36" s="318">
        <f t="shared" ref="I36:I37" si="37">G36*E36*3.23</f>
        <v>64.599999999999994</v>
      </c>
      <c r="J36" s="475">
        <f t="shared" ref="J36:J37" si="38">H36*5%</f>
        <v>3.23</v>
      </c>
      <c r="K36" s="475">
        <f t="shared" ref="K36:K37" si="39">H36*5%</f>
        <v>3.23</v>
      </c>
      <c r="L36" s="475">
        <f t="shared" ref="L36:L37" si="40">H36*1%</f>
        <v>0.64599999999999991</v>
      </c>
      <c r="M36" s="475">
        <f t="shared" ref="M36:M37" si="41">H36-O36</f>
        <v>57.493999999999993</v>
      </c>
      <c r="N36" s="475">
        <f t="shared" ref="N36:N37" si="42">I36-P36</f>
        <v>57.493999999999993</v>
      </c>
      <c r="O36" s="475">
        <f t="shared" ref="O36:O37" si="43">J36+K36+L36</f>
        <v>7.1059999999999999</v>
      </c>
      <c r="P36" s="475">
        <f t="shared" ref="P36:P37" si="44">I36*11%</f>
        <v>7.105999999999999</v>
      </c>
      <c r="Q36" s="475">
        <f t="shared" ref="Q36:Q37" si="45">O36-P36</f>
        <v>0</v>
      </c>
      <c r="R36" s="392">
        <v>9.69</v>
      </c>
      <c r="S36" s="392">
        <v>1.47</v>
      </c>
      <c r="T36" s="392">
        <v>16.149999999999999</v>
      </c>
      <c r="U36" s="394">
        <v>1.98</v>
      </c>
      <c r="V36" s="392"/>
      <c r="W36" s="392"/>
      <c r="X36" s="392"/>
      <c r="Y36" s="392"/>
      <c r="Z36" s="392"/>
      <c r="AA36" s="392"/>
      <c r="AB36" s="392"/>
      <c r="AC36" s="392"/>
      <c r="AD36" s="392">
        <v>3.23</v>
      </c>
      <c r="AE36" s="392">
        <f>2*3.23</f>
        <v>6.46</v>
      </c>
      <c r="AF36" s="392">
        <v>1.5</v>
      </c>
      <c r="AG36" s="534"/>
      <c r="AH36" s="392">
        <f>2*3.23</f>
        <v>6.46</v>
      </c>
      <c r="AI36" s="392">
        <v>1.98</v>
      </c>
      <c r="AJ36" s="392"/>
      <c r="AK36" s="392"/>
      <c r="AL36" s="392"/>
      <c r="AM36" s="393">
        <f t="shared" ref="AM36:AM37" si="46">U36+Y36+AA36+AI36+AK36</f>
        <v>3.96</v>
      </c>
      <c r="AN36" s="394">
        <f t="shared" ref="AN36:AN37" si="47">R36+S36+T36+V36+W36+X36+Z36+AB36+AC36+AD36+AE36+AF36+AG36+AH36+AJ36+AL36</f>
        <v>44.96</v>
      </c>
      <c r="AO36" s="540"/>
    </row>
    <row r="37" spans="1:41" s="5" customFormat="1">
      <c r="A37" s="423">
        <f>'1-συμβολαια'!A37</f>
        <v>0</v>
      </c>
      <c r="B37" s="327" t="str">
        <f>'1-συμβολαια'!C37</f>
        <v>ΧΡΗΣΙΚΤΗΣΙΑ  αγροτεμαχίου -1 = αναδασμός ΑΛΛΑ πριν ΑΓΟΡΑΠΩΛΗΣΙΑ άτυπος από ;;;??? το 19???</v>
      </c>
      <c r="C37" s="322">
        <f>'1-συμβολαια'!D37</f>
        <v>3333.33</v>
      </c>
      <c r="D37" s="338">
        <f>'3-φύλλα2α'!D37</f>
        <v>5</v>
      </c>
      <c r="E37" s="338">
        <f>'3-φύλλα2α'!E37</f>
        <v>0</v>
      </c>
      <c r="F37" s="265"/>
      <c r="G37" s="265"/>
      <c r="H37" s="317">
        <f t="shared" si="36"/>
        <v>0</v>
      </c>
      <c r="I37" s="317">
        <f t="shared" si="37"/>
        <v>0</v>
      </c>
      <c r="J37" s="339">
        <f t="shared" si="38"/>
        <v>0</v>
      </c>
      <c r="K37" s="339">
        <f t="shared" si="39"/>
        <v>0</v>
      </c>
      <c r="L37" s="339">
        <f t="shared" si="40"/>
        <v>0</v>
      </c>
      <c r="M37" s="339">
        <f t="shared" si="41"/>
        <v>0</v>
      </c>
      <c r="N37" s="339">
        <f t="shared" si="42"/>
        <v>0</v>
      </c>
      <c r="O37" s="339">
        <f t="shared" si="43"/>
        <v>0</v>
      </c>
      <c r="P37" s="339">
        <f t="shared" si="44"/>
        <v>0</v>
      </c>
      <c r="Q37" s="339">
        <f t="shared" si="45"/>
        <v>0</v>
      </c>
      <c r="R37" s="390"/>
      <c r="S37" s="390"/>
      <c r="T37" s="390"/>
      <c r="U37" s="391"/>
      <c r="V37" s="390"/>
      <c r="W37" s="390"/>
      <c r="X37" s="390"/>
      <c r="Y37" s="390"/>
      <c r="Z37" s="390"/>
      <c r="AA37" s="390"/>
      <c r="AB37" s="390"/>
      <c r="AC37" s="390"/>
      <c r="AD37" s="390"/>
      <c r="AE37" s="390"/>
      <c r="AF37" s="390"/>
      <c r="AG37" s="534"/>
      <c r="AH37" s="392"/>
      <c r="AI37" s="392"/>
      <c r="AJ37" s="392"/>
      <c r="AK37" s="392"/>
      <c r="AL37" s="392"/>
      <c r="AM37" s="393">
        <f t="shared" si="46"/>
        <v>0</v>
      </c>
      <c r="AN37" s="394">
        <f t="shared" si="47"/>
        <v>0</v>
      </c>
      <c r="AO37" s="263"/>
    </row>
    <row r="38" spans="1:41" s="5" customFormat="1">
      <c r="A38" s="423">
        <f>'1-συμβολαια'!A38</f>
        <v>0</v>
      </c>
      <c r="B38" s="327" t="str">
        <f>'1-συμβολαια'!C38</f>
        <v>ΧΡΗΣΙΚΤΗΣΙΑ  οικοπέδου -2 = 19?? ως αγροτεμάχιο με ΑΝΑΔΑΣΜΟ</v>
      </c>
      <c r="C38" s="322">
        <f>'1-συμβολαια'!D38</f>
        <v>33333.33</v>
      </c>
      <c r="D38" s="338">
        <f>'3-φύλλα2α'!D38</f>
        <v>5</v>
      </c>
      <c r="E38" s="338">
        <f>'3-φύλλα2α'!E38</f>
        <v>0</v>
      </c>
      <c r="F38" s="265"/>
      <c r="G38" s="265"/>
      <c r="H38" s="317">
        <f t="shared" ref="H38:H42" si="48">F38*D38*3.23</f>
        <v>0</v>
      </c>
      <c r="I38" s="317">
        <f t="shared" ref="I38:I42" si="49">G38*E38*3.23</f>
        <v>0</v>
      </c>
      <c r="J38" s="339">
        <f t="shared" ref="J38:J42" si="50">H38*5%</f>
        <v>0</v>
      </c>
      <c r="K38" s="339">
        <f t="shared" ref="K38:K42" si="51">H38*5%</f>
        <v>0</v>
      </c>
      <c r="L38" s="339">
        <f t="shared" ref="L38:L42" si="52">H38*1%</f>
        <v>0</v>
      </c>
      <c r="M38" s="339">
        <f t="shared" ref="M38:M42" si="53">H38-O38</f>
        <v>0</v>
      </c>
      <c r="N38" s="339">
        <f t="shared" ref="N38:N42" si="54">I38-P38</f>
        <v>0</v>
      </c>
      <c r="O38" s="339">
        <f t="shared" ref="O38:O42" si="55">J38+K38+L38</f>
        <v>0</v>
      </c>
      <c r="P38" s="339">
        <f t="shared" ref="P38:P42" si="56">I38*11%</f>
        <v>0</v>
      </c>
      <c r="Q38" s="339">
        <f t="shared" ref="Q38:Q42" si="57">O38-P38</f>
        <v>0</v>
      </c>
      <c r="R38" s="390"/>
      <c r="S38" s="390"/>
      <c r="T38" s="390"/>
      <c r="U38" s="391"/>
      <c r="V38" s="390"/>
      <c r="W38" s="390"/>
      <c r="X38" s="390"/>
      <c r="Y38" s="390"/>
      <c r="Z38" s="390"/>
      <c r="AA38" s="390"/>
      <c r="AB38" s="390"/>
      <c r="AC38" s="390"/>
      <c r="AD38" s="390"/>
      <c r="AE38" s="390"/>
      <c r="AF38" s="390"/>
      <c r="AG38" s="534"/>
      <c r="AH38" s="392"/>
      <c r="AI38" s="392"/>
      <c r="AJ38" s="392"/>
      <c r="AK38" s="392"/>
      <c r="AL38" s="392"/>
      <c r="AM38" s="393">
        <f t="shared" ref="AM38:AM42" si="58">U38+Y38+AA38+AI38+AK38</f>
        <v>0</v>
      </c>
      <c r="AN38" s="394">
        <f t="shared" ref="AN38:AN42" si="59">R38+S38+T38+V38+W38+X38+Z38+AB38+AC38+AD38+AE38+AF38+AG38+AH38+AJ38+AL38</f>
        <v>0</v>
      </c>
      <c r="AO38" s="263"/>
    </row>
    <row r="39" spans="1:41" s="5" customFormat="1" ht="12" thickBot="1">
      <c r="A39" s="406">
        <f>'1-συμβολαια'!A39</f>
        <v>0</v>
      </c>
      <c r="B39" s="425" t="str">
        <f>'1-συμβολαια'!C39</f>
        <v>ΧΡΗΣΙΚΤΗΣΙΑ  οικοπέδου -4 = 19?? ;;;???</v>
      </c>
      <c r="C39" s="414">
        <f>'1-συμβολαια'!D39</f>
        <v>11111.11</v>
      </c>
      <c r="D39" s="476">
        <f>'3-φύλλα2α'!D39</f>
        <v>5</v>
      </c>
      <c r="E39" s="476">
        <f>'3-φύλλα2α'!E39</f>
        <v>0</v>
      </c>
      <c r="F39" s="463"/>
      <c r="G39" s="463"/>
      <c r="H39" s="438">
        <f t="shared" si="48"/>
        <v>0</v>
      </c>
      <c r="I39" s="438">
        <f t="shared" si="49"/>
        <v>0</v>
      </c>
      <c r="J39" s="477">
        <f t="shared" si="50"/>
        <v>0</v>
      </c>
      <c r="K39" s="477">
        <f t="shared" si="51"/>
        <v>0</v>
      </c>
      <c r="L39" s="477">
        <f t="shared" si="52"/>
        <v>0</v>
      </c>
      <c r="M39" s="477">
        <f t="shared" si="53"/>
        <v>0</v>
      </c>
      <c r="N39" s="477">
        <f t="shared" si="54"/>
        <v>0</v>
      </c>
      <c r="O39" s="477">
        <f t="shared" si="55"/>
        <v>0</v>
      </c>
      <c r="P39" s="477">
        <f t="shared" si="56"/>
        <v>0</v>
      </c>
      <c r="Q39" s="438">
        <f t="shared" si="57"/>
        <v>0</v>
      </c>
      <c r="R39" s="535"/>
      <c r="S39" s="535"/>
      <c r="T39" s="535"/>
      <c r="U39" s="536"/>
      <c r="V39" s="535"/>
      <c r="W39" s="535"/>
      <c r="X39" s="535"/>
      <c r="Y39" s="535"/>
      <c r="Z39" s="535"/>
      <c r="AA39" s="535"/>
      <c r="AB39" s="535"/>
      <c r="AC39" s="535"/>
      <c r="AD39" s="535"/>
      <c r="AE39" s="535"/>
      <c r="AF39" s="535"/>
      <c r="AG39" s="537"/>
      <c r="AH39" s="535"/>
      <c r="AI39" s="535"/>
      <c r="AJ39" s="535"/>
      <c r="AK39" s="535"/>
      <c r="AL39" s="535"/>
      <c r="AM39" s="538">
        <f t="shared" si="58"/>
        <v>0</v>
      </c>
      <c r="AN39" s="536">
        <f t="shared" si="59"/>
        <v>0</v>
      </c>
      <c r="AO39" s="539"/>
    </row>
    <row r="40" spans="1:41" s="5" customFormat="1" ht="12" thickBot="1">
      <c r="A40" s="506" t="str">
        <f>'1-συμβολαια'!A40</f>
        <v>19ο</v>
      </c>
      <c r="B40" s="512" t="str">
        <f>'1-συμβολαια'!C40</f>
        <v>*γονική ΨΙΛΗΣ ΚΥΡΙΟΤΗΤΑΣ</v>
      </c>
      <c r="C40" s="509">
        <f>'1-συμβολαια'!D40</f>
        <v>18629.93</v>
      </c>
      <c r="D40" s="532">
        <f>'3-φύλλα2α'!D40</f>
        <v>5</v>
      </c>
      <c r="E40" s="532">
        <f>'3-φύλλα2α'!E40</f>
        <v>5</v>
      </c>
      <c r="F40" s="513">
        <v>2</v>
      </c>
      <c r="G40" s="513">
        <v>2</v>
      </c>
      <c r="H40" s="510">
        <f t="shared" si="48"/>
        <v>32.299999999999997</v>
      </c>
      <c r="I40" s="510">
        <f t="shared" si="49"/>
        <v>32.299999999999997</v>
      </c>
      <c r="J40" s="533">
        <f t="shared" si="50"/>
        <v>1.615</v>
      </c>
      <c r="K40" s="533">
        <f t="shared" si="51"/>
        <v>1.615</v>
      </c>
      <c r="L40" s="533">
        <f t="shared" si="52"/>
        <v>0.32299999999999995</v>
      </c>
      <c r="M40" s="533">
        <f t="shared" si="53"/>
        <v>28.746999999999996</v>
      </c>
      <c r="N40" s="533">
        <f t="shared" si="54"/>
        <v>28.746999999999996</v>
      </c>
      <c r="O40" s="533">
        <f t="shared" si="55"/>
        <v>3.5529999999999999</v>
      </c>
      <c r="P40" s="533">
        <f t="shared" si="56"/>
        <v>3.5529999999999995</v>
      </c>
      <c r="Q40" s="510">
        <f t="shared" si="57"/>
        <v>0</v>
      </c>
      <c r="R40" s="541">
        <f>7*3.23</f>
        <v>22.61</v>
      </c>
      <c r="S40" s="541"/>
      <c r="T40" s="541">
        <v>16.149999999999999</v>
      </c>
      <c r="U40" s="542">
        <v>1.98</v>
      </c>
      <c r="V40" s="541">
        <v>16.149999999999999</v>
      </c>
      <c r="W40" s="541">
        <v>1.47</v>
      </c>
      <c r="X40" s="541"/>
      <c r="Y40" s="541"/>
      <c r="Z40" s="541"/>
      <c r="AA40" s="541"/>
      <c r="AB40" s="541"/>
      <c r="AC40" s="541"/>
      <c r="AD40" s="541">
        <v>3.23</v>
      </c>
      <c r="AE40" s="541">
        <f t="shared" ref="AE40:AE41" si="60">2*3.23</f>
        <v>6.46</v>
      </c>
      <c r="AF40" s="541">
        <v>1.5</v>
      </c>
      <c r="AG40" s="543"/>
      <c r="AH40" s="541">
        <f t="shared" ref="AH40:AH41" si="61">2*3.23</f>
        <v>6.46</v>
      </c>
      <c r="AI40" s="541">
        <v>1.98</v>
      </c>
      <c r="AJ40" s="541"/>
      <c r="AK40" s="541"/>
      <c r="AL40" s="541"/>
      <c r="AM40" s="544">
        <f t="shared" si="58"/>
        <v>3.96</v>
      </c>
      <c r="AN40" s="542">
        <f t="shared" si="59"/>
        <v>74.029999999999987</v>
      </c>
      <c r="AO40" s="545"/>
    </row>
    <row r="41" spans="1:41" s="5" customFormat="1">
      <c r="A41" s="403" t="str">
        <f>'1-συμβολαια'!A41</f>
        <v>20ο</v>
      </c>
      <c r="B41" s="424" t="str">
        <f>'1-συμβολαια'!C41</f>
        <v>δωρεά</v>
      </c>
      <c r="C41" s="322">
        <f>'1-συμβολαια'!D41</f>
        <v>26827.1</v>
      </c>
      <c r="D41" s="432">
        <f>'3-φύλλα2α'!D42</f>
        <v>5</v>
      </c>
      <c r="E41" s="432">
        <f>'3-φύλλα2α'!E42</f>
        <v>0</v>
      </c>
      <c r="F41" s="427">
        <v>2</v>
      </c>
      <c r="G41" s="427">
        <v>2</v>
      </c>
      <c r="H41" s="318">
        <f t="shared" si="48"/>
        <v>32.299999999999997</v>
      </c>
      <c r="I41" s="318">
        <f t="shared" si="49"/>
        <v>0</v>
      </c>
      <c r="J41" s="475">
        <f t="shared" si="50"/>
        <v>1.615</v>
      </c>
      <c r="K41" s="475">
        <f t="shared" si="51"/>
        <v>1.615</v>
      </c>
      <c r="L41" s="475">
        <f t="shared" si="52"/>
        <v>0.32299999999999995</v>
      </c>
      <c r="M41" s="475">
        <f t="shared" si="53"/>
        <v>28.746999999999996</v>
      </c>
      <c r="N41" s="475">
        <f t="shared" si="54"/>
        <v>0</v>
      </c>
      <c r="O41" s="475">
        <f t="shared" si="55"/>
        <v>3.5529999999999999</v>
      </c>
      <c r="P41" s="475">
        <f t="shared" si="56"/>
        <v>0</v>
      </c>
      <c r="Q41" s="475">
        <f t="shared" si="57"/>
        <v>3.5529999999999999</v>
      </c>
      <c r="R41" s="392">
        <f>7*3.23</f>
        <v>22.61</v>
      </c>
      <c r="S41" s="392"/>
      <c r="T41" s="392">
        <v>16.149999999999999</v>
      </c>
      <c r="U41" s="394">
        <v>1.98</v>
      </c>
      <c r="V41" s="392">
        <v>16.149999999999999</v>
      </c>
      <c r="W41" s="392">
        <v>1.47</v>
      </c>
      <c r="X41" s="392"/>
      <c r="Y41" s="392"/>
      <c r="Z41" s="392"/>
      <c r="AA41" s="392"/>
      <c r="AB41" s="392"/>
      <c r="AC41" s="392"/>
      <c r="AD41" s="392">
        <v>3.23</v>
      </c>
      <c r="AE41" s="392">
        <f t="shared" si="60"/>
        <v>6.46</v>
      </c>
      <c r="AF41" s="392">
        <v>1.5</v>
      </c>
      <c r="AG41" s="534"/>
      <c r="AH41" s="392">
        <f t="shared" si="61"/>
        <v>6.46</v>
      </c>
      <c r="AI41" s="392">
        <v>1.98</v>
      </c>
      <c r="AJ41" s="392"/>
      <c r="AK41" s="392"/>
      <c r="AL41" s="392"/>
      <c r="AM41" s="393">
        <f t="shared" si="58"/>
        <v>3.96</v>
      </c>
      <c r="AN41" s="394">
        <f t="shared" si="59"/>
        <v>74.029999999999987</v>
      </c>
      <c r="AO41" s="540"/>
    </row>
    <row r="42" spans="1:41" s="5" customFormat="1" ht="12" thickBot="1">
      <c r="A42" s="406">
        <f>'1-συμβολαια'!A42</f>
        <v>0</v>
      </c>
      <c r="B42" s="425" t="str">
        <f>'1-συμβολαια'!C42</f>
        <v>χρησικτησία 1/2 οικοπέδου &amp; οικίας = συζυγου 1972 ΔΩΡΕΑ άτυπος</v>
      </c>
      <c r="C42" s="414">
        <f>'1-συμβολαια'!D42</f>
        <v>11206.2</v>
      </c>
      <c r="D42" s="476">
        <f>'3-φύλλα2α'!D43</f>
        <v>0</v>
      </c>
      <c r="E42" s="476">
        <f>'3-φύλλα2α'!E43</f>
        <v>0</v>
      </c>
      <c r="F42" s="463"/>
      <c r="G42" s="463"/>
      <c r="H42" s="438">
        <f t="shared" si="48"/>
        <v>0</v>
      </c>
      <c r="I42" s="438">
        <f t="shared" si="49"/>
        <v>0</v>
      </c>
      <c r="J42" s="477">
        <f t="shared" si="50"/>
        <v>0</v>
      </c>
      <c r="K42" s="477">
        <f t="shared" si="51"/>
        <v>0</v>
      </c>
      <c r="L42" s="477">
        <f t="shared" si="52"/>
        <v>0</v>
      </c>
      <c r="M42" s="477">
        <f t="shared" si="53"/>
        <v>0</v>
      </c>
      <c r="N42" s="477">
        <f t="shared" si="54"/>
        <v>0</v>
      </c>
      <c r="O42" s="477">
        <f t="shared" si="55"/>
        <v>0</v>
      </c>
      <c r="P42" s="477">
        <f t="shared" si="56"/>
        <v>0</v>
      </c>
      <c r="Q42" s="438">
        <f t="shared" si="57"/>
        <v>0</v>
      </c>
      <c r="R42" s="535"/>
      <c r="S42" s="535"/>
      <c r="T42" s="535"/>
      <c r="U42" s="536"/>
      <c r="V42" s="535"/>
      <c r="W42" s="535"/>
      <c r="X42" s="535"/>
      <c r="Y42" s="535"/>
      <c r="Z42" s="535"/>
      <c r="AA42" s="535"/>
      <c r="AB42" s="535"/>
      <c r="AC42" s="535"/>
      <c r="AD42" s="535"/>
      <c r="AE42" s="535"/>
      <c r="AF42" s="535"/>
      <c r="AG42" s="537"/>
      <c r="AH42" s="535"/>
      <c r="AI42" s="535"/>
      <c r="AJ42" s="535"/>
      <c r="AK42" s="535"/>
      <c r="AL42" s="535"/>
      <c r="AM42" s="538">
        <f t="shared" si="58"/>
        <v>0</v>
      </c>
      <c r="AN42" s="536">
        <f t="shared" si="59"/>
        <v>0</v>
      </c>
      <c r="AO42" s="539"/>
    </row>
    <row r="43" spans="1:41">
      <c r="A43" s="709" t="s">
        <v>47</v>
      </c>
      <c r="B43" s="685"/>
      <c r="C43" s="685"/>
      <c r="D43" s="685"/>
      <c r="E43" s="685"/>
      <c r="F43" s="685"/>
      <c r="G43" s="745"/>
      <c r="H43" s="367">
        <f t="shared" ref="H43:W43" si="62">SUM(H3:H42)</f>
        <v>655.68999999999994</v>
      </c>
      <c r="I43" s="367">
        <f t="shared" si="62"/>
        <v>381.14000000000004</v>
      </c>
      <c r="J43" s="367">
        <f t="shared" si="62"/>
        <v>32.784500000000001</v>
      </c>
      <c r="K43" s="367">
        <f t="shared" si="62"/>
        <v>32.784500000000001</v>
      </c>
      <c r="L43" s="367">
        <f t="shared" si="62"/>
        <v>6.5568999999999988</v>
      </c>
      <c r="M43" s="367">
        <f t="shared" si="62"/>
        <v>583.56409999999994</v>
      </c>
      <c r="N43" s="367">
        <f t="shared" si="62"/>
        <v>339.21460000000002</v>
      </c>
      <c r="O43" s="367">
        <f t="shared" si="62"/>
        <v>72.125900000000001</v>
      </c>
      <c r="P43" s="367">
        <f t="shared" si="62"/>
        <v>41.925399999999996</v>
      </c>
      <c r="Q43" s="367">
        <f t="shared" si="62"/>
        <v>30.200500000000005</v>
      </c>
      <c r="R43" s="367">
        <f t="shared" si="62"/>
        <v>187.34000000000003</v>
      </c>
      <c r="S43" s="367">
        <f t="shared" si="62"/>
        <v>13.23</v>
      </c>
      <c r="T43" s="367">
        <f t="shared" si="62"/>
        <v>180.88000000000002</v>
      </c>
      <c r="U43" s="367">
        <f t="shared" si="62"/>
        <v>17.82</v>
      </c>
      <c r="V43" s="367">
        <f t="shared" si="62"/>
        <v>83.97999999999999</v>
      </c>
      <c r="W43" s="367">
        <f t="shared" si="62"/>
        <v>6.39</v>
      </c>
      <c r="X43" s="367"/>
      <c r="Y43" s="367"/>
      <c r="Z43" s="367"/>
      <c r="AA43" s="367">
        <f t="shared" ref="AA43:AF43" si="63">SUM(AA3:AA42)</f>
        <v>0</v>
      </c>
      <c r="AB43" s="367">
        <f t="shared" si="63"/>
        <v>0</v>
      </c>
      <c r="AC43" s="367">
        <f t="shared" si="63"/>
        <v>0</v>
      </c>
      <c r="AD43" s="367">
        <f t="shared" si="63"/>
        <v>25.84</v>
      </c>
      <c r="AE43" s="367">
        <f t="shared" si="63"/>
        <v>25.84</v>
      </c>
      <c r="AF43" s="367">
        <f t="shared" si="63"/>
        <v>6</v>
      </c>
      <c r="AG43" s="259"/>
      <c r="AH43" s="367">
        <f>SUM(AH3:AH42)</f>
        <v>58.14</v>
      </c>
      <c r="AI43" s="367">
        <f>SUM(AI3:AI42)</f>
        <v>17.82</v>
      </c>
      <c r="AJ43" s="367"/>
      <c r="AK43" s="367"/>
      <c r="AL43" s="367">
        <f>SUM(AL3:AL42)</f>
        <v>0</v>
      </c>
      <c r="AM43" s="367">
        <f>SUM(AM3:AM42)</f>
        <v>35.64</v>
      </c>
      <c r="AN43" s="367">
        <f>SUM(AN3:AN42)</f>
        <v>587.64</v>
      </c>
    </row>
    <row r="45" spans="1:41">
      <c r="R45" s="147" t="s">
        <v>449</v>
      </c>
      <c r="S45" s="156"/>
      <c r="T45" s="156"/>
      <c r="U45" s="156"/>
      <c r="V45" s="156"/>
      <c r="W45" s="156"/>
      <c r="X45" s="157"/>
      <c r="Y45" s="157"/>
      <c r="Z45" s="157"/>
      <c r="AA45" s="157"/>
      <c r="AB45" s="157"/>
      <c r="AC45" s="157"/>
      <c r="AD45" s="157"/>
      <c r="AE45" s="85"/>
      <c r="AF45" s="85"/>
      <c r="AG45" s="85"/>
      <c r="AH45" s="85"/>
      <c r="AI45" s="85"/>
      <c r="AJ45" s="85"/>
      <c r="AK45" s="85"/>
      <c r="AL45" s="85"/>
      <c r="AM45" s="85"/>
      <c r="AN45" s="85"/>
    </row>
    <row r="46" spans="1:41" ht="15.75">
      <c r="B46" s="302" t="s">
        <v>471</v>
      </c>
      <c r="C46" s="303"/>
      <c r="D46" s="303"/>
      <c r="E46" s="303"/>
      <c r="R46" s="157"/>
      <c r="S46" s="158" t="s">
        <v>506</v>
      </c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85"/>
      <c r="AF46" s="85"/>
      <c r="AG46" s="85"/>
      <c r="AH46" s="85"/>
      <c r="AI46" s="85"/>
      <c r="AJ46" s="85"/>
      <c r="AK46" s="85"/>
      <c r="AL46" s="85"/>
      <c r="AM46" s="85"/>
      <c r="AN46" s="85"/>
    </row>
    <row r="47" spans="1:41">
      <c r="R47" s="157"/>
      <c r="S47" s="157"/>
      <c r="T47" s="155" t="s">
        <v>225</v>
      </c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85"/>
      <c r="AF47" s="85"/>
      <c r="AG47" s="85"/>
      <c r="AH47" s="85"/>
      <c r="AI47" s="85"/>
      <c r="AJ47" s="85"/>
      <c r="AK47" s="85"/>
      <c r="AL47" s="85"/>
      <c r="AM47" s="85"/>
      <c r="AN47" s="85"/>
    </row>
    <row r="48" spans="1:41">
      <c r="A48" s="357" t="s">
        <v>609</v>
      </c>
      <c r="B48" s="90" t="s">
        <v>547</v>
      </c>
      <c r="C48" s="2" t="s">
        <v>557</v>
      </c>
      <c r="R48" s="157"/>
      <c r="S48" s="157"/>
      <c r="T48" s="157"/>
      <c r="U48" s="158" t="s">
        <v>226</v>
      </c>
      <c r="V48" s="157"/>
      <c r="W48" s="157"/>
      <c r="X48" s="157"/>
      <c r="Y48" s="157"/>
      <c r="Z48" s="157"/>
      <c r="AA48" s="157"/>
      <c r="AB48" s="157"/>
      <c r="AC48" s="157"/>
      <c r="AD48" s="157"/>
      <c r="AE48" s="85"/>
      <c r="AF48" s="85"/>
      <c r="AG48" s="85"/>
      <c r="AH48" s="85"/>
      <c r="AI48" s="85"/>
      <c r="AJ48" s="85"/>
      <c r="AK48" s="85"/>
      <c r="AL48" s="85"/>
      <c r="AM48" s="85"/>
      <c r="AN48" s="85"/>
    </row>
    <row r="49" spans="1:41">
      <c r="A49" s="385"/>
      <c r="B49" s="361" t="s">
        <v>548</v>
      </c>
      <c r="C49" s="2" t="s">
        <v>558</v>
      </c>
      <c r="R49" s="157"/>
      <c r="S49" s="157"/>
      <c r="T49" s="157"/>
      <c r="U49" s="157"/>
      <c r="V49" s="155" t="s">
        <v>507</v>
      </c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  <c r="AK49" s="157"/>
      <c r="AL49" s="157"/>
      <c r="AM49" s="85"/>
      <c r="AN49" s="85"/>
    </row>
    <row r="50" spans="1:41">
      <c r="A50" s="357"/>
      <c r="B50" s="361" t="s">
        <v>549</v>
      </c>
      <c r="C50" s="2">
        <f>H3/F3</f>
        <v>22.61</v>
      </c>
      <c r="R50" s="157"/>
      <c r="S50" s="157"/>
      <c r="T50" s="157"/>
      <c r="U50" s="157"/>
      <c r="V50" s="157"/>
      <c r="W50" s="158" t="s">
        <v>227</v>
      </c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  <c r="AK50" s="157"/>
      <c r="AL50" s="157"/>
      <c r="AM50" s="85"/>
      <c r="AN50" s="85"/>
    </row>
    <row r="51" spans="1:41">
      <c r="A51" s="2"/>
      <c r="B51" s="361" t="s">
        <v>551</v>
      </c>
      <c r="P51" s="8">
        <v>3431</v>
      </c>
      <c r="Q51" s="8"/>
      <c r="R51" s="8" t="s">
        <v>573</v>
      </c>
      <c r="S51" s="157" t="s">
        <v>573</v>
      </c>
      <c r="T51" s="157" t="s">
        <v>573</v>
      </c>
      <c r="U51" s="157"/>
      <c r="V51" s="157"/>
      <c r="W51" s="157"/>
      <c r="X51" s="155" t="s">
        <v>228</v>
      </c>
      <c r="Y51" s="155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7"/>
      <c r="AK51" s="157"/>
      <c r="AL51" s="157"/>
      <c r="AM51" s="85"/>
      <c r="AN51" s="85"/>
    </row>
    <row r="52" spans="1:41">
      <c r="A52" s="2"/>
      <c r="B52" s="361" t="s">
        <v>550</v>
      </c>
      <c r="O52" s="8"/>
      <c r="P52" s="8"/>
      <c r="Q52" s="8"/>
      <c r="R52" s="8">
        <v>3426</v>
      </c>
      <c r="S52" s="8">
        <v>3427</v>
      </c>
      <c r="T52" s="8">
        <v>3428</v>
      </c>
      <c r="U52" s="8">
        <v>3429</v>
      </c>
      <c r="V52" s="157">
        <v>3430</v>
      </c>
      <c r="W52" s="157"/>
      <c r="X52" s="157"/>
      <c r="Y52" s="158" t="s">
        <v>256</v>
      </c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AL52" s="157"/>
      <c r="AM52" s="85"/>
      <c r="AN52" s="85"/>
    </row>
    <row r="53" spans="1:41">
      <c r="A53" s="2"/>
      <c r="B53" s="361" t="s">
        <v>619</v>
      </c>
      <c r="R53" s="157"/>
      <c r="S53" s="157"/>
      <c r="T53" s="157"/>
      <c r="U53" s="157"/>
      <c r="V53" s="157"/>
      <c r="W53" s="157"/>
      <c r="X53" s="157"/>
      <c r="Y53" s="157"/>
      <c r="Z53" s="155" t="s">
        <v>229</v>
      </c>
      <c r="AA53" s="158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/>
      <c r="AL53" s="157"/>
      <c r="AM53" s="85"/>
      <c r="AN53" s="85"/>
      <c r="AO53" s="154"/>
    </row>
    <row r="54" spans="1:41">
      <c r="A54" s="2"/>
      <c r="B54" s="361" t="s">
        <v>552</v>
      </c>
      <c r="P54" s="8">
        <v>3660</v>
      </c>
      <c r="Q54" s="487"/>
      <c r="R54" s="487">
        <v>3659</v>
      </c>
      <c r="S54" s="157"/>
      <c r="T54" s="157"/>
      <c r="U54" s="157"/>
      <c r="V54" s="157"/>
      <c r="W54" s="157"/>
      <c r="X54" s="157"/>
      <c r="Y54" s="157"/>
      <c r="Z54" s="158"/>
      <c r="AA54" s="158" t="s">
        <v>257</v>
      </c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85"/>
      <c r="AN54" s="85"/>
      <c r="AO54" s="154"/>
    </row>
    <row r="55" spans="1:41">
      <c r="A55" s="2"/>
      <c r="B55" s="361" t="s">
        <v>620</v>
      </c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5" t="s">
        <v>230</v>
      </c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85"/>
      <c r="AN55" s="158"/>
    </row>
    <row r="56" spans="1:41">
      <c r="A56" s="2"/>
      <c r="B56" s="361" t="s">
        <v>621</v>
      </c>
      <c r="P56" s="8">
        <v>4550</v>
      </c>
      <c r="Q56" s="2" t="s">
        <v>597</v>
      </c>
      <c r="R56" s="157" t="s">
        <v>593</v>
      </c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8" t="s">
        <v>231</v>
      </c>
      <c r="AD56" s="157"/>
      <c r="AE56" s="157"/>
      <c r="AF56" s="157"/>
      <c r="AG56" s="157"/>
      <c r="AH56" s="157"/>
      <c r="AI56" s="157"/>
      <c r="AJ56" s="157"/>
      <c r="AK56" s="157"/>
      <c r="AL56" s="157"/>
      <c r="AM56" s="85"/>
      <c r="AN56" s="85"/>
    </row>
    <row r="57" spans="1:41">
      <c r="A57" s="2"/>
      <c r="B57" s="361" t="s">
        <v>622</v>
      </c>
      <c r="R57" s="157"/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5" t="s">
        <v>274</v>
      </c>
      <c r="AE57" s="159"/>
      <c r="AF57" s="159"/>
      <c r="AG57" s="159"/>
      <c r="AH57" s="159"/>
      <c r="AI57" s="159"/>
      <c r="AJ57" s="159"/>
      <c r="AK57" s="159"/>
      <c r="AL57" s="159"/>
      <c r="AM57" s="158"/>
    </row>
    <row r="58" spans="1:41">
      <c r="A58" s="2"/>
      <c r="B58" s="361" t="s">
        <v>623</v>
      </c>
      <c r="P58" s="8">
        <v>4551</v>
      </c>
      <c r="Q58" s="2" t="s">
        <v>597</v>
      </c>
      <c r="R58" s="157" t="s">
        <v>593</v>
      </c>
      <c r="S58" s="85"/>
      <c r="T58" s="85"/>
      <c r="U58" s="85"/>
      <c r="V58" s="157"/>
      <c r="W58" s="157"/>
      <c r="X58" s="157"/>
      <c r="Y58" s="157"/>
      <c r="Z58" s="157"/>
      <c r="AA58" s="157"/>
      <c r="AB58" s="157"/>
      <c r="AC58" s="157"/>
      <c r="AD58" s="157"/>
      <c r="AE58" s="155" t="s">
        <v>275</v>
      </c>
      <c r="AF58" s="158"/>
      <c r="AG58" s="158"/>
      <c r="AH58" s="158"/>
      <c r="AI58" s="158"/>
      <c r="AJ58" s="158"/>
      <c r="AK58" s="158"/>
      <c r="AL58" s="158"/>
      <c r="AM58" s="85"/>
    </row>
    <row r="59" spans="1:41">
      <c r="A59" s="4"/>
      <c r="B59" s="361" t="s">
        <v>624</v>
      </c>
      <c r="R59" s="2"/>
      <c r="S59" s="2"/>
      <c r="T59" s="2"/>
      <c r="U59" s="2"/>
      <c r="AF59" s="158" t="s">
        <v>276</v>
      </c>
      <c r="AG59" s="159"/>
      <c r="AH59" s="159"/>
      <c r="AI59" s="159"/>
      <c r="AJ59" s="159"/>
      <c r="AK59" s="159"/>
    </row>
    <row r="60" spans="1:41">
      <c r="A60" s="4"/>
      <c r="B60" s="9"/>
      <c r="AF60" s="157"/>
      <c r="AG60" s="260" t="s">
        <v>277</v>
      </c>
      <c r="AH60" s="260"/>
      <c r="AI60" s="260"/>
      <c r="AJ60" s="260"/>
      <c r="AK60" s="260"/>
      <c r="AL60" s="260"/>
    </row>
    <row r="61" spans="1:41">
      <c r="A61" s="2"/>
      <c r="B61" s="9"/>
      <c r="AG61" s="157"/>
      <c r="AH61" s="155" t="s">
        <v>455</v>
      </c>
      <c r="AI61" s="157"/>
      <c r="AJ61" s="157"/>
      <c r="AK61" s="157"/>
      <c r="AL61" s="158"/>
    </row>
    <row r="62" spans="1:41">
      <c r="A62" s="357" t="s">
        <v>610</v>
      </c>
      <c r="B62" s="90" t="s">
        <v>547</v>
      </c>
      <c r="C62" s="2" t="s">
        <v>557</v>
      </c>
      <c r="AI62" s="158" t="s">
        <v>452</v>
      </c>
      <c r="AJ62" s="158"/>
      <c r="AK62" s="158"/>
    </row>
    <row r="63" spans="1:41">
      <c r="A63" s="385"/>
      <c r="B63" s="361" t="s">
        <v>548</v>
      </c>
      <c r="C63" s="2" t="s">
        <v>560</v>
      </c>
      <c r="AJ63" s="155" t="s">
        <v>453</v>
      </c>
      <c r="AK63" s="157"/>
    </row>
    <row r="64" spans="1:41">
      <c r="A64" s="357"/>
      <c r="B64" s="361" t="s">
        <v>549</v>
      </c>
      <c r="C64" s="2">
        <f>H9/F9</f>
        <v>22.61</v>
      </c>
      <c r="AK64" s="158" t="s">
        <v>454</v>
      </c>
    </row>
    <row r="65" spans="1:3">
      <c r="A65" s="2"/>
      <c r="B65" s="361" t="s">
        <v>551</v>
      </c>
    </row>
    <row r="66" spans="1:3">
      <c r="A66" s="2"/>
      <c r="B66" s="361" t="s">
        <v>550</v>
      </c>
    </row>
    <row r="67" spans="1:3">
      <c r="A67" s="2"/>
      <c r="B67" s="361" t="s">
        <v>619</v>
      </c>
    </row>
    <row r="68" spans="1:3">
      <c r="A68" s="2"/>
      <c r="B68" s="361" t="s">
        <v>552</v>
      </c>
    </row>
    <row r="69" spans="1:3">
      <c r="A69" s="2"/>
      <c r="B69" s="361" t="s">
        <v>620</v>
      </c>
    </row>
    <row r="70" spans="1:3">
      <c r="A70" s="2"/>
      <c r="B70" s="361" t="s">
        <v>621</v>
      </c>
    </row>
    <row r="71" spans="1:3">
      <c r="A71" s="2"/>
      <c r="B71" s="361" t="s">
        <v>622</v>
      </c>
    </row>
    <row r="72" spans="1:3">
      <c r="A72" s="2"/>
      <c r="B72" s="361" t="s">
        <v>623</v>
      </c>
    </row>
    <row r="73" spans="1:3">
      <c r="A73" s="2"/>
      <c r="B73" s="361" t="s">
        <v>624</v>
      </c>
    </row>
    <row r="74" spans="1:3">
      <c r="A74" s="2"/>
      <c r="B74" s="3"/>
    </row>
    <row r="75" spans="1:3">
      <c r="A75" s="2"/>
      <c r="B75" s="3"/>
    </row>
    <row r="76" spans="1:3">
      <c r="A76" s="357" t="s">
        <v>611</v>
      </c>
      <c r="B76" s="90" t="s">
        <v>570</v>
      </c>
      <c r="C76" s="2" t="s">
        <v>557</v>
      </c>
    </row>
    <row r="77" spans="1:3">
      <c r="A77" s="385"/>
      <c r="B77" s="361" t="s">
        <v>548</v>
      </c>
      <c r="C77" s="2" t="s">
        <v>571</v>
      </c>
    </row>
    <row r="78" spans="1:3">
      <c r="A78" s="357"/>
      <c r="B78" s="361" t="s">
        <v>549</v>
      </c>
      <c r="C78" s="2">
        <f>H15/F15</f>
        <v>22.61</v>
      </c>
    </row>
    <row r="79" spans="1:3">
      <c r="A79" s="2"/>
      <c r="B79" s="361" t="s">
        <v>551</v>
      </c>
    </row>
    <row r="80" spans="1:3">
      <c r="A80" s="2"/>
      <c r="B80" s="361" t="s">
        <v>550</v>
      </c>
    </row>
    <row r="81" spans="1:3">
      <c r="A81" s="2"/>
      <c r="B81" s="361" t="s">
        <v>619</v>
      </c>
    </row>
    <row r="82" spans="1:3">
      <c r="A82" s="2"/>
      <c r="B82" s="361" t="s">
        <v>552</v>
      </c>
    </row>
    <row r="83" spans="1:3">
      <c r="A83" s="2"/>
      <c r="B83" s="361" t="s">
        <v>620</v>
      </c>
    </row>
    <row r="84" spans="1:3">
      <c r="A84" s="2"/>
      <c r="B84" s="361" t="s">
        <v>621</v>
      </c>
    </row>
    <row r="85" spans="1:3">
      <c r="A85" s="2"/>
      <c r="B85" s="361" t="s">
        <v>622</v>
      </c>
    </row>
    <row r="86" spans="1:3">
      <c r="A86" s="2"/>
      <c r="B86" s="361" t="s">
        <v>623</v>
      </c>
    </row>
    <row r="87" spans="1:3">
      <c r="A87" s="2"/>
      <c r="B87" s="361" t="s">
        <v>624</v>
      </c>
    </row>
    <row r="88" spans="1:3">
      <c r="A88" s="2"/>
      <c r="B88" s="3"/>
    </row>
    <row r="89" spans="1:3">
      <c r="A89" s="2"/>
      <c r="B89" s="3"/>
    </row>
    <row r="90" spans="1:3">
      <c r="A90" s="357" t="s">
        <v>612</v>
      </c>
      <c r="B90" s="90" t="s">
        <v>570</v>
      </c>
      <c r="C90" s="2" t="s">
        <v>557</v>
      </c>
    </row>
    <row r="91" spans="1:3">
      <c r="A91" s="385"/>
      <c r="B91" s="361" t="s">
        <v>548</v>
      </c>
      <c r="C91" s="2" t="s">
        <v>572</v>
      </c>
    </row>
    <row r="92" spans="1:3">
      <c r="A92" s="357"/>
      <c r="B92" s="361" t="s">
        <v>549</v>
      </c>
      <c r="C92" s="2">
        <f>H21/F21</f>
        <v>22.61</v>
      </c>
    </row>
    <row r="93" spans="1:3">
      <c r="A93" s="2"/>
      <c r="B93" s="361" t="s">
        <v>551</v>
      </c>
    </row>
    <row r="94" spans="1:3">
      <c r="A94" s="2"/>
      <c r="B94" s="361" t="s">
        <v>550</v>
      </c>
    </row>
    <row r="95" spans="1:3">
      <c r="A95" s="2"/>
      <c r="B95" s="361" t="s">
        <v>619</v>
      </c>
    </row>
    <row r="96" spans="1:3">
      <c r="A96" s="2"/>
      <c r="B96" s="361" t="s">
        <v>552</v>
      </c>
    </row>
    <row r="97" spans="1:3">
      <c r="A97" s="2"/>
      <c r="B97" s="361" t="s">
        <v>620</v>
      </c>
    </row>
    <row r="98" spans="1:3">
      <c r="A98" s="2"/>
      <c r="B98" s="361" t="s">
        <v>621</v>
      </c>
    </row>
    <row r="99" spans="1:3">
      <c r="A99" s="2"/>
      <c r="B99" s="361" t="s">
        <v>622</v>
      </c>
    </row>
    <row r="100" spans="1:3">
      <c r="A100" s="2"/>
      <c r="B100" s="361" t="s">
        <v>623</v>
      </c>
    </row>
    <row r="101" spans="1:3">
      <c r="A101" s="2"/>
      <c r="B101" s="361" t="s">
        <v>624</v>
      </c>
    </row>
    <row r="102" spans="1:3">
      <c r="A102" s="2"/>
      <c r="B102" s="3"/>
    </row>
    <row r="103" spans="1:3">
      <c r="A103" s="2"/>
      <c r="B103" s="3"/>
    </row>
    <row r="104" spans="1:3">
      <c r="A104" s="357" t="s">
        <v>613</v>
      </c>
      <c r="B104" s="90" t="s">
        <v>570</v>
      </c>
      <c r="C104" s="2" t="s">
        <v>557</v>
      </c>
    </row>
    <row r="105" spans="1:3">
      <c r="A105" s="385"/>
      <c r="B105" s="361" t="s">
        <v>548</v>
      </c>
      <c r="C105" s="2" t="s">
        <v>571</v>
      </c>
    </row>
    <row r="106" spans="1:3">
      <c r="A106" s="357"/>
      <c r="B106" s="361" t="s">
        <v>549</v>
      </c>
      <c r="C106" s="2">
        <f>H27/F27</f>
        <v>22.61</v>
      </c>
    </row>
    <row r="107" spans="1:3">
      <c r="A107" s="2"/>
      <c r="B107" s="361" t="s">
        <v>551</v>
      </c>
    </row>
    <row r="108" spans="1:3">
      <c r="A108" s="2"/>
      <c r="B108" s="361" t="s">
        <v>550</v>
      </c>
    </row>
    <row r="109" spans="1:3">
      <c r="A109" s="2"/>
      <c r="B109" s="361" t="s">
        <v>619</v>
      </c>
    </row>
    <row r="110" spans="1:3">
      <c r="A110" s="2"/>
      <c r="B110" s="361" t="s">
        <v>552</v>
      </c>
    </row>
    <row r="111" spans="1:3">
      <c r="A111" s="2"/>
      <c r="B111" s="361" t="s">
        <v>620</v>
      </c>
    </row>
    <row r="112" spans="1:3">
      <c r="A112" s="2"/>
      <c r="B112" s="361" t="s">
        <v>621</v>
      </c>
    </row>
    <row r="113" spans="1:3">
      <c r="A113" s="2"/>
      <c r="B113" s="361" t="s">
        <v>622</v>
      </c>
    </row>
    <row r="114" spans="1:3">
      <c r="A114" s="2"/>
      <c r="B114" s="361" t="s">
        <v>623</v>
      </c>
    </row>
    <row r="115" spans="1:3">
      <c r="A115" s="2"/>
      <c r="B115" s="361" t="s">
        <v>624</v>
      </c>
    </row>
    <row r="116" spans="1:3">
      <c r="A116" s="2"/>
      <c r="B116" s="3"/>
    </row>
    <row r="117" spans="1:3">
      <c r="A117" s="357" t="s">
        <v>614</v>
      </c>
      <c r="B117" s="3" t="s">
        <v>576</v>
      </c>
      <c r="C117" s="2" t="s">
        <v>578</v>
      </c>
    </row>
    <row r="118" spans="1:3">
      <c r="A118" s="2"/>
      <c r="B118" s="361" t="s">
        <v>575</v>
      </c>
      <c r="C118" s="2" t="s">
        <v>579</v>
      </c>
    </row>
    <row r="119" spans="1:3">
      <c r="A119" s="2"/>
      <c r="B119" s="3"/>
      <c r="C119" s="2">
        <f>H33/F33</f>
        <v>19.38</v>
      </c>
    </row>
    <row r="120" spans="1:3">
      <c r="A120" s="2"/>
      <c r="B120" s="3"/>
    </row>
    <row r="121" spans="1:3">
      <c r="A121" s="2"/>
      <c r="B121" s="3"/>
      <c r="C121" s="2" t="s">
        <v>580</v>
      </c>
    </row>
    <row r="122" spans="1:3">
      <c r="A122" s="2"/>
      <c r="B122" s="3"/>
      <c r="C122" s="2" t="s">
        <v>581</v>
      </c>
    </row>
    <row r="123" spans="1:3">
      <c r="A123" s="2"/>
      <c r="B123" s="3" t="s">
        <v>582</v>
      </c>
      <c r="C123" s="2">
        <f>H34/F34</f>
        <v>9.69</v>
      </c>
    </row>
    <row r="124" spans="1:3">
      <c r="A124" s="357" t="s">
        <v>615</v>
      </c>
      <c r="B124" s="361" t="s">
        <v>625</v>
      </c>
    </row>
    <row r="125" spans="1:3">
      <c r="A125" s="385"/>
      <c r="B125" s="361" t="s">
        <v>626</v>
      </c>
      <c r="C125" s="2" t="s">
        <v>580</v>
      </c>
    </row>
    <row r="126" spans="1:3">
      <c r="A126" s="357"/>
      <c r="B126" s="361" t="s">
        <v>583</v>
      </c>
      <c r="C126" s="2" t="s">
        <v>581</v>
      </c>
    </row>
    <row r="127" spans="1:3">
      <c r="A127" s="2"/>
      <c r="B127" s="361" t="s">
        <v>584</v>
      </c>
      <c r="C127" s="2">
        <f>H35/F35</f>
        <v>9.69</v>
      </c>
    </row>
    <row r="128" spans="1:3">
      <c r="A128" s="2"/>
      <c r="B128" s="361"/>
    </row>
    <row r="129" spans="1:3">
      <c r="A129" s="2"/>
      <c r="B129" s="361"/>
      <c r="C129" s="2" t="s">
        <v>580</v>
      </c>
    </row>
    <row r="130" spans="1:3">
      <c r="A130" s="2"/>
      <c r="B130" s="3"/>
      <c r="C130" s="2" t="s">
        <v>581</v>
      </c>
    </row>
    <row r="131" spans="1:3">
      <c r="A131" s="2"/>
      <c r="B131" s="3"/>
      <c r="C131" s="2">
        <f>H35/F35</f>
        <v>9.69</v>
      </c>
    </row>
    <row r="132" spans="1:3">
      <c r="A132" s="2"/>
      <c r="B132" s="3"/>
    </row>
    <row r="133" spans="1:3">
      <c r="A133" s="2"/>
      <c r="B133" s="3"/>
      <c r="C133" s="2" t="s">
        <v>590</v>
      </c>
    </row>
    <row r="134" spans="1:3">
      <c r="A134" s="2"/>
      <c r="B134" s="3"/>
      <c r="C134" s="2" t="s">
        <v>591</v>
      </c>
    </row>
    <row r="135" spans="1:3">
      <c r="A135" s="2"/>
      <c r="B135" s="3"/>
      <c r="C135" s="2">
        <f>H36/F36</f>
        <v>16.149999999999999</v>
      </c>
    </row>
    <row r="136" spans="1:3">
      <c r="A136" s="357" t="s">
        <v>618</v>
      </c>
      <c r="B136" s="3" t="s">
        <v>627</v>
      </c>
    </row>
    <row r="137" spans="1:3">
      <c r="A137" s="2"/>
      <c r="B137" s="361" t="s">
        <v>592</v>
      </c>
    </row>
    <row r="138" spans="1:3">
      <c r="A138" s="2"/>
      <c r="B138" s="3"/>
    </row>
    <row r="139" spans="1:3">
      <c r="A139" s="2"/>
      <c r="B139" s="3"/>
      <c r="C139" s="2" t="s">
        <v>590</v>
      </c>
    </row>
    <row r="140" spans="1:3">
      <c r="A140" s="2"/>
      <c r="B140" s="3"/>
      <c r="C140" s="2" t="s">
        <v>581</v>
      </c>
    </row>
    <row r="141" spans="1:3">
      <c r="A141" s="357" t="s">
        <v>628</v>
      </c>
      <c r="B141" s="3" t="s">
        <v>627</v>
      </c>
      <c r="C141" s="75">
        <f>H40/F40</f>
        <v>16.149999999999999</v>
      </c>
    </row>
    <row r="142" spans="1:3">
      <c r="A142" s="2"/>
      <c r="B142" s="361" t="s">
        <v>595</v>
      </c>
    </row>
    <row r="143" spans="1:3">
      <c r="A143" s="2"/>
      <c r="B143" s="3"/>
      <c r="C143" s="2" t="s">
        <v>590</v>
      </c>
    </row>
    <row r="144" spans="1:3">
      <c r="A144" s="2"/>
      <c r="B144" s="3"/>
      <c r="C144" s="2" t="s">
        <v>581</v>
      </c>
    </row>
    <row r="145" spans="1:3">
      <c r="B145" s="88"/>
      <c r="C145" s="75">
        <f>H41/F41</f>
        <v>16.149999999999999</v>
      </c>
    </row>
    <row r="146" spans="1:3">
      <c r="B146" s="88"/>
    </row>
    <row r="147" spans="1:3">
      <c r="B147" s="131"/>
    </row>
    <row r="148" spans="1:3">
      <c r="B148" s="131"/>
    </row>
    <row r="149" spans="1:3">
      <c r="B149" s="131"/>
    </row>
    <row r="150" spans="1:3">
      <c r="B150" s="131"/>
    </row>
    <row r="151" spans="1:3">
      <c r="B151" s="131"/>
    </row>
    <row r="152" spans="1:3">
      <c r="B152" s="131"/>
    </row>
    <row r="153" spans="1:3">
      <c r="B153" s="131"/>
    </row>
    <row r="154" spans="1:3">
      <c r="B154" s="131"/>
    </row>
    <row r="155" spans="1:3">
      <c r="B155" s="131"/>
    </row>
    <row r="156" spans="1:3">
      <c r="B156" s="131"/>
    </row>
    <row r="157" spans="1:3">
      <c r="B157" s="131"/>
    </row>
    <row r="158" spans="1:3">
      <c r="A158" s="2"/>
      <c r="B158" s="3"/>
    </row>
    <row r="159" spans="1:3">
      <c r="A159" s="2"/>
      <c r="B159" s="3"/>
    </row>
    <row r="160" spans="1:3">
      <c r="A160" s="350"/>
      <c r="B160" s="3"/>
    </row>
    <row r="161" spans="1:2">
      <c r="A161" s="350"/>
      <c r="B161" s="3"/>
    </row>
    <row r="162" spans="1:2">
      <c r="B162" s="88"/>
    </row>
    <row r="163" spans="1:2">
      <c r="B163" s="88"/>
    </row>
    <row r="164" spans="1:2">
      <c r="B164" s="88"/>
    </row>
    <row r="165" spans="1:2">
      <c r="B165" s="88"/>
    </row>
    <row r="166" spans="1:2">
      <c r="B166" s="88"/>
    </row>
    <row r="167" spans="1:2">
      <c r="B167" s="88"/>
    </row>
    <row r="168" spans="1:2">
      <c r="B168" s="88"/>
    </row>
    <row r="169" spans="1:2">
      <c r="B169" s="88"/>
    </row>
    <row r="170" spans="1:2">
      <c r="B170" s="88"/>
    </row>
    <row r="171" spans="1:2">
      <c r="B171" s="88"/>
    </row>
    <row r="172" spans="1:2">
      <c r="B172" s="88"/>
    </row>
    <row r="173" spans="1:2">
      <c r="B173" s="88"/>
    </row>
    <row r="174" spans="1:2">
      <c r="B174" s="88"/>
    </row>
    <row r="175" spans="1:2">
      <c r="B175" s="88"/>
    </row>
    <row r="176" spans="1:2">
      <c r="B176" s="88"/>
    </row>
    <row r="177" spans="2:2">
      <c r="B177" s="88"/>
    </row>
    <row r="178" spans="2:2">
      <c r="B178" s="88"/>
    </row>
    <row r="179" spans="2:2">
      <c r="B179" s="88"/>
    </row>
    <row r="180" spans="2:2">
      <c r="B180" s="88"/>
    </row>
    <row r="181" spans="2:2">
      <c r="B181" s="88"/>
    </row>
    <row r="182" spans="2:2">
      <c r="B182" s="88"/>
    </row>
    <row r="183" spans="2:2">
      <c r="B183" s="88"/>
    </row>
    <row r="184" spans="2:2">
      <c r="B184" s="88"/>
    </row>
    <row r="185" spans="2:2">
      <c r="B185" s="88"/>
    </row>
    <row r="186" spans="2:2">
      <c r="B186" s="88"/>
    </row>
    <row r="187" spans="2:2">
      <c r="B187" s="88"/>
    </row>
  </sheetData>
  <mergeCells count="10">
    <mergeCell ref="A43:G43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10"/>
  <sheetViews>
    <sheetView workbookViewId="0">
      <pane ySplit="2" topLeftCell="A30" activePane="bottomLeft" state="frozen"/>
      <selection pane="bottomLeft" activeCell="A47" sqref="A47:B186"/>
    </sheetView>
  </sheetViews>
  <sheetFormatPr defaultRowHeight="11.25"/>
  <cols>
    <col min="1" max="1" width="7.5703125" style="8" bestFit="1" customWidth="1"/>
    <col min="2" max="2" width="81.140625" style="88" bestFit="1" customWidth="1"/>
    <col min="3" max="3" width="11.7109375" style="3" customWidth="1"/>
    <col min="4" max="4" width="12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763" t="s">
        <v>31</v>
      </c>
      <c r="B1" s="764"/>
      <c r="C1" s="764"/>
      <c r="D1" s="765"/>
      <c r="E1" s="767" t="s">
        <v>473</v>
      </c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68"/>
      <c r="Q1" s="768"/>
      <c r="R1" s="768"/>
      <c r="S1" s="769" t="s">
        <v>69</v>
      </c>
      <c r="T1" s="778" t="s">
        <v>159</v>
      </c>
      <c r="U1" s="763" t="s">
        <v>13</v>
      </c>
      <c r="V1" s="764"/>
      <c r="W1" s="764"/>
      <c r="X1" s="764"/>
      <c r="Y1" s="764"/>
      <c r="Z1" s="764"/>
      <c r="AA1" s="764"/>
      <c r="AB1" s="764"/>
      <c r="AC1" s="764"/>
      <c r="AD1" s="765"/>
      <c r="AE1" s="766" t="s">
        <v>14</v>
      </c>
      <c r="AF1" s="766"/>
      <c r="AG1" s="766"/>
      <c r="AH1" s="766"/>
      <c r="AI1" s="766"/>
      <c r="AJ1" s="766"/>
      <c r="AK1" s="766"/>
      <c r="AL1" s="766"/>
      <c r="AM1" s="766"/>
      <c r="AN1" s="763" t="s">
        <v>15</v>
      </c>
      <c r="AO1" s="764"/>
      <c r="AP1" s="764"/>
      <c r="AQ1" s="764"/>
      <c r="AR1" s="764"/>
      <c r="AS1" s="764"/>
      <c r="AT1" s="764"/>
      <c r="AU1" s="764"/>
      <c r="AV1" s="764"/>
      <c r="AW1" s="765"/>
      <c r="AX1" s="780" t="s">
        <v>16</v>
      </c>
      <c r="AY1" s="780"/>
      <c r="AZ1" s="780"/>
      <c r="BA1" s="780"/>
      <c r="BB1" s="780"/>
      <c r="BC1" s="780"/>
      <c r="BD1" s="780"/>
      <c r="BE1" s="780"/>
      <c r="BF1" s="781" t="s">
        <v>17</v>
      </c>
      <c r="BG1" s="782"/>
      <c r="BH1" s="782"/>
      <c r="BI1" s="782"/>
      <c r="BJ1" s="783"/>
    </row>
    <row r="2" spans="1:62" s="4" customFormat="1" ht="34.5" thickBot="1">
      <c r="A2" s="78" t="s">
        <v>19</v>
      </c>
      <c r="B2" s="87" t="s">
        <v>0</v>
      </c>
      <c r="C2" s="66" t="s">
        <v>11</v>
      </c>
      <c r="D2" s="67" t="s">
        <v>12</v>
      </c>
      <c r="E2" s="55" t="s">
        <v>70</v>
      </c>
      <c r="F2" s="41" t="s">
        <v>71</v>
      </c>
      <c r="G2" s="41" t="s">
        <v>250</v>
      </c>
      <c r="H2" s="41" t="s">
        <v>72</v>
      </c>
      <c r="I2" s="775" t="s">
        <v>29</v>
      </c>
      <c r="J2" s="776"/>
      <c r="K2" s="777"/>
      <c r="L2" s="41" t="s">
        <v>151</v>
      </c>
      <c r="M2" s="41" t="s">
        <v>152</v>
      </c>
      <c r="N2" s="41" t="s">
        <v>90</v>
      </c>
      <c r="O2" s="41"/>
      <c r="P2" s="41" t="s">
        <v>158</v>
      </c>
      <c r="Q2" s="92" t="s">
        <v>96</v>
      </c>
      <c r="R2" s="109" t="s">
        <v>95</v>
      </c>
      <c r="S2" s="770"/>
      <c r="T2" s="779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771" t="s">
        <v>29</v>
      </c>
      <c r="AD2" s="772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0" t="s">
        <v>73</v>
      </c>
      <c r="AK2" s="70" t="s">
        <v>74</v>
      </c>
      <c r="AL2" s="773" t="s">
        <v>29</v>
      </c>
      <c r="AM2" s="774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771" t="s">
        <v>29</v>
      </c>
      <c r="AW2" s="772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771" t="s">
        <v>29</v>
      </c>
      <c r="BJ2" s="772"/>
    </row>
    <row r="3" spans="1:62" s="5" customFormat="1">
      <c r="A3" s="546" t="str">
        <f>'1-συμβολαια'!A3</f>
        <v>10ο</v>
      </c>
      <c r="B3" s="321" t="str">
        <f>'1-συμβολαια'!C3</f>
        <v>κληρονομιάς ΑΠΟΔΟΧΗ</v>
      </c>
      <c r="C3" s="261" t="str">
        <f>'4-πολλυπρ'!D3</f>
        <v>219-17</v>
      </c>
      <c r="D3" s="261" t="str">
        <f>'4-πολλυπρ'!I3</f>
        <v>219-17</v>
      </c>
      <c r="E3" s="316">
        <f>4*3</f>
        <v>12</v>
      </c>
      <c r="F3" s="322">
        <f t="shared" ref="F3" si="0">E3*3.23</f>
        <v>38.76</v>
      </c>
      <c r="G3" s="322">
        <v>3.23</v>
      </c>
      <c r="H3" s="322">
        <f t="shared" ref="H3" si="1">F3+G3</f>
        <v>41.989999999999995</v>
      </c>
      <c r="I3" s="266" t="s">
        <v>487</v>
      </c>
      <c r="J3" s="342" t="s">
        <v>157</v>
      </c>
      <c r="K3" s="342" t="s">
        <v>251</v>
      </c>
      <c r="L3" s="322">
        <v>5.87</v>
      </c>
      <c r="M3" s="322">
        <v>5.87</v>
      </c>
      <c r="N3" s="316">
        <f t="shared" ref="N3" si="2">3*1.98</f>
        <v>5.9399999999999995</v>
      </c>
      <c r="O3" s="322"/>
      <c r="P3" s="322">
        <f t="shared" ref="P3:P7" si="3">L3+M3</f>
        <v>11.74</v>
      </c>
      <c r="Q3" s="261"/>
      <c r="R3" s="261"/>
      <c r="S3" s="261"/>
      <c r="T3" s="261"/>
      <c r="U3" s="324"/>
      <c r="V3" s="73"/>
      <c r="W3" s="325" t="s">
        <v>397</v>
      </c>
      <c r="X3" s="73"/>
      <c r="Y3" s="325" t="s">
        <v>9</v>
      </c>
      <c r="Z3" s="326"/>
      <c r="AA3" s="73"/>
      <c r="AB3" s="73"/>
      <c r="AC3" s="73"/>
      <c r="AD3" s="73"/>
      <c r="AE3" s="324"/>
      <c r="AF3" s="73"/>
      <c r="AG3" s="73"/>
      <c r="AH3" s="73"/>
      <c r="AI3" s="73"/>
      <c r="AJ3" s="265"/>
      <c r="AK3" s="265"/>
      <c r="AL3" s="265"/>
      <c r="AM3" s="73"/>
      <c r="AN3" s="73"/>
      <c r="AO3" s="73"/>
      <c r="AP3" s="325" t="s">
        <v>397</v>
      </c>
      <c r="AQ3" s="73"/>
      <c r="AR3" s="325" t="s">
        <v>9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324"/>
      <c r="BI3" s="73"/>
      <c r="BJ3" s="73"/>
    </row>
    <row r="4" spans="1:62" s="5" customFormat="1">
      <c r="A4" s="546">
        <f>'1-συμβολαια'!A4</f>
        <v>0</v>
      </c>
      <c r="B4" s="321" t="str">
        <f>'1-συμβολαια'!C4</f>
        <v>ΧΡΗΣΙΚΤΗΣΙΑ οικοπέδου &amp; οικοδομής = 1992 αδερφού ΚΛΗΡΟΝΟΜΙΑ άτυπη</v>
      </c>
      <c r="C4" s="261">
        <f>'4-πολλυπρ'!D4</f>
        <v>0</v>
      </c>
      <c r="D4" s="261" t="str">
        <f>'4-πολλυπρ'!I4</f>
        <v>219-17</v>
      </c>
      <c r="E4" s="261"/>
      <c r="F4" s="322"/>
      <c r="G4" s="322"/>
      <c r="H4" s="322"/>
      <c r="I4" s="266"/>
      <c r="J4" s="342"/>
      <c r="K4" s="342"/>
      <c r="L4" s="322"/>
      <c r="M4" s="322"/>
      <c r="N4" s="316"/>
      <c r="O4" s="322"/>
      <c r="P4" s="322">
        <f t="shared" si="3"/>
        <v>0</v>
      </c>
      <c r="Q4" s="261"/>
      <c r="R4" s="261"/>
      <c r="S4" s="261"/>
      <c r="T4" s="261"/>
      <c r="U4" s="324"/>
      <c r="V4" s="73"/>
      <c r="W4" s="325" t="s">
        <v>397</v>
      </c>
      <c r="X4" s="73"/>
      <c r="Y4" s="325" t="s">
        <v>9</v>
      </c>
      <c r="Z4" s="326"/>
      <c r="AA4" s="73"/>
      <c r="AB4" s="73"/>
      <c r="AC4" s="73"/>
      <c r="AD4" s="73"/>
      <c r="AE4" s="324"/>
      <c r="AF4" s="73"/>
      <c r="AG4" s="73"/>
      <c r="AH4" s="73"/>
      <c r="AI4" s="73"/>
      <c r="AJ4" s="265"/>
      <c r="AK4" s="265"/>
      <c r="AL4" s="265"/>
      <c r="AM4" s="73"/>
      <c r="AN4" s="73"/>
      <c r="AO4" s="73"/>
      <c r="AP4" s="325" t="s">
        <v>397</v>
      </c>
      <c r="AQ4" s="73"/>
      <c r="AR4" s="325" t="s">
        <v>9</v>
      </c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324"/>
      <c r="BI4" s="73"/>
      <c r="BJ4" s="73"/>
    </row>
    <row r="5" spans="1:62" s="5" customFormat="1">
      <c r="A5" s="547">
        <f>'1-συμβολαια'!A5</f>
        <v>0</v>
      </c>
      <c r="B5" s="369" t="str">
        <f>'1-συμβολαια'!C5</f>
        <v>ΧΡΗΣΙΚΤΗΣΙΑ οικοπέδων 2'-3' = 1992 αδερφού ΚΛΗΡΟΝΟΜΙΑ άτυπη</v>
      </c>
      <c r="C5" s="370">
        <f>'4-πολλυπρ'!D5</f>
        <v>0</v>
      </c>
      <c r="D5" s="370" t="str">
        <f>'4-πολλυπρ'!I5</f>
        <v>219-17</v>
      </c>
      <c r="E5" s="261"/>
      <c r="F5" s="322"/>
      <c r="G5" s="322"/>
      <c r="H5" s="322"/>
      <c r="I5" s="266"/>
      <c r="J5" s="342"/>
      <c r="K5" s="342"/>
      <c r="L5" s="322"/>
      <c r="M5" s="322"/>
      <c r="N5" s="371"/>
      <c r="O5" s="371"/>
      <c r="P5" s="371">
        <f t="shared" si="3"/>
        <v>0</v>
      </c>
      <c r="Q5" s="370"/>
      <c r="R5" s="370"/>
      <c r="S5" s="370"/>
      <c r="T5" s="370"/>
      <c r="U5" s="372"/>
      <c r="V5" s="313"/>
      <c r="W5" s="373" t="s">
        <v>397</v>
      </c>
      <c r="X5" s="313"/>
      <c r="Y5" s="373" t="s">
        <v>9</v>
      </c>
      <c r="Z5" s="374"/>
      <c r="AA5" s="313"/>
      <c r="AB5" s="313"/>
      <c r="AC5" s="313"/>
      <c r="AD5" s="313"/>
      <c r="AE5" s="372"/>
      <c r="AF5" s="313"/>
      <c r="AG5" s="313"/>
      <c r="AH5" s="313"/>
      <c r="AI5" s="313"/>
      <c r="AJ5" s="375"/>
      <c r="AK5" s="375"/>
      <c r="AL5" s="375"/>
      <c r="AM5" s="313"/>
      <c r="AN5" s="313"/>
      <c r="AO5" s="313"/>
      <c r="AP5" s="373" t="s">
        <v>397</v>
      </c>
      <c r="AQ5" s="313"/>
      <c r="AR5" s="373" t="s">
        <v>9</v>
      </c>
      <c r="AS5" s="313"/>
      <c r="AT5" s="313"/>
      <c r="AU5" s="313"/>
      <c r="AV5" s="313"/>
      <c r="AW5" s="313"/>
      <c r="AX5" s="313"/>
      <c r="AY5" s="313"/>
      <c r="AZ5" s="313"/>
      <c r="BA5" s="313"/>
      <c r="BB5" s="313"/>
      <c r="BC5" s="313"/>
      <c r="BD5" s="313"/>
      <c r="BE5" s="313"/>
      <c r="BF5" s="313"/>
      <c r="BG5" s="313"/>
      <c r="BH5" s="372"/>
      <c r="BI5" s="313"/>
      <c r="BJ5" s="313"/>
    </row>
    <row r="6" spans="1:62" s="73" customFormat="1">
      <c r="A6" s="546">
        <f>'1-συμβολαια'!A6</f>
        <v>0</v>
      </c>
      <c r="B6" s="376" t="str">
        <f>'1-συμβολαια'!C6</f>
        <v>ΧΡΗΣΙΚΤΗΣΙΑ αγροτεμαχίου 9' = 1968 μητρός ΚΛΗΡΟΝΟΜΙΑ άτυπη</v>
      </c>
      <c r="C6" s="261">
        <f>'4-πολλυπρ'!D6</f>
        <v>0</v>
      </c>
      <c r="D6" s="261" t="str">
        <f>'4-πολλυπρ'!I6</f>
        <v>219-17</v>
      </c>
      <c r="E6" s="261"/>
      <c r="F6" s="322"/>
      <c r="G6" s="322"/>
      <c r="H6" s="322"/>
      <c r="I6" s="266"/>
      <c r="J6" s="342"/>
      <c r="K6" s="342"/>
      <c r="L6" s="322"/>
      <c r="M6" s="322"/>
      <c r="N6" s="316"/>
      <c r="O6" s="316"/>
      <c r="P6" s="316">
        <f t="shared" si="3"/>
        <v>0</v>
      </c>
      <c r="Q6" s="261"/>
      <c r="R6" s="261"/>
      <c r="S6" s="261"/>
      <c r="T6" s="261"/>
      <c r="U6" s="324"/>
      <c r="W6" s="325" t="s">
        <v>397</v>
      </c>
      <c r="Y6" s="325" t="s">
        <v>9</v>
      </c>
      <c r="Z6" s="326"/>
      <c r="AE6" s="324"/>
      <c r="AJ6" s="265"/>
      <c r="AK6" s="265"/>
      <c r="AL6" s="265"/>
      <c r="AP6" s="325" t="s">
        <v>397</v>
      </c>
      <c r="AR6" s="325" t="s">
        <v>9</v>
      </c>
      <c r="BH6" s="324"/>
    </row>
    <row r="7" spans="1:62" s="73" customFormat="1">
      <c r="A7" s="546">
        <f>'1-συμβολαια'!A7</f>
        <v>0</v>
      </c>
      <c r="B7" s="376" t="str">
        <f>'1-συμβολαια'!C7</f>
        <v>ΧΡΗΣΙΚΤΗΣΙΑ οικοπέδου 4' = 19?? ΑΓΟΡΑΠΩΛΗΣΙΑ άτυπη</v>
      </c>
      <c r="C7" s="261">
        <f>'4-πολλυπρ'!D7</f>
        <v>0</v>
      </c>
      <c r="D7" s="261" t="str">
        <f>'4-πολλυπρ'!I7</f>
        <v>219-17</v>
      </c>
      <c r="E7" s="261"/>
      <c r="F7" s="322"/>
      <c r="G7" s="322"/>
      <c r="H7" s="322"/>
      <c r="I7" s="266"/>
      <c r="J7" s="342"/>
      <c r="K7" s="342"/>
      <c r="L7" s="322"/>
      <c r="M7" s="322"/>
      <c r="N7" s="316"/>
      <c r="O7" s="316"/>
      <c r="P7" s="316">
        <f t="shared" si="3"/>
        <v>0</v>
      </c>
      <c r="Q7" s="261"/>
      <c r="R7" s="261"/>
      <c r="S7" s="261"/>
      <c r="T7" s="261"/>
      <c r="U7" s="324"/>
      <c r="W7" s="325" t="s">
        <v>397</v>
      </c>
      <c r="Y7" s="325" t="s">
        <v>9</v>
      </c>
      <c r="Z7" s="326"/>
      <c r="AE7" s="324"/>
      <c r="AJ7" s="265"/>
      <c r="AK7" s="265"/>
      <c r="AL7" s="265"/>
      <c r="AP7" s="325" t="s">
        <v>397</v>
      </c>
      <c r="AR7" s="325" t="s">
        <v>9</v>
      </c>
      <c r="BH7" s="324"/>
    </row>
    <row r="8" spans="1:62" s="73" customFormat="1" ht="12" thickBot="1">
      <c r="A8" s="550">
        <f>'1-συμβολαια'!A8</f>
        <v>0</v>
      </c>
      <c r="B8" s="551" t="str">
        <f>'1-συμβολαια'!C8</f>
        <v>ΧΡΗΣΙΚΤΗΣΙΑ αγροτεμαχίου 8' = 19??? ΑΓΟΡΑΠΩΛΗΣΙΑ άτυπη</v>
      </c>
      <c r="C8" s="461">
        <f>'4-πολλυπρ'!D8</f>
        <v>0</v>
      </c>
      <c r="D8" s="461" t="str">
        <f>'4-πολλυπρ'!I8</f>
        <v>219-17</v>
      </c>
      <c r="E8" s="461"/>
      <c r="F8" s="414"/>
      <c r="G8" s="414"/>
      <c r="H8" s="414"/>
      <c r="I8" s="552"/>
      <c r="J8" s="553"/>
      <c r="K8" s="553"/>
      <c r="L8" s="414"/>
      <c r="M8" s="414"/>
      <c r="N8" s="414"/>
      <c r="O8" s="414"/>
      <c r="P8" s="414">
        <f t="shared" ref="P8:P29" si="4">L8+M8</f>
        <v>0</v>
      </c>
      <c r="Q8" s="461"/>
      <c r="R8" s="461"/>
      <c r="S8" s="261"/>
      <c r="T8" s="261"/>
      <c r="U8" s="324"/>
      <c r="W8" s="325" t="s">
        <v>397</v>
      </c>
      <c r="Y8" s="325" t="s">
        <v>9</v>
      </c>
      <c r="Z8" s="326"/>
      <c r="AE8" s="324"/>
      <c r="AJ8" s="265"/>
      <c r="AK8" s="265"/>
      <c r="AL8" s="265"/>
      <c r="AP8" s="325" t="s">
        <v>397</v>
      </c>
      <c r="AR8" s="325" t="s">
        <v>9</v>
      </c>
      <c r="BH8" s="324"/>
    </row>
    <row r="9" spans="1:62" s="73" customFormat="1">
      <c r="A9" s="549" t="str">
        <f>'1-συμβολαια'!A9</f>
        <v>11ο</v>
      </c>
      <c r="B9" s="321" t="str">
        <f>'1-συμβολαια'!C9</f>
        <v>κληρονομιάς ΑΠΟΔΟΧΗ</v>
      </c>
      <c r="C9" s="323" t="str">
        <f>'4-πολλυπρ'!D9</f>
        <v>219-17</v>
      </c>
      <c r="D9" s="323" t="str">
        <f>'4-πολλυπρ'!I9</f>
        <v>219-17</v>
      </c>
      <c r="E9" s="322">
        <f>3*3</f>
        <v>9</v>
      </c>
      <c r="F9" s="322">
        <f t="shared" ref="F9:F27" si="5">E9*3.23</f>
        <v>29.07</v>
      </c>
      <c r="G9" s="322">
        <v>3.23</v>
      </c>
      <c r="H9" s="322">
        <f t="shared" ref="H9:H27" si="6">F9+G9</f>
        <v>32.299999999999997</v>
      </c>
      <c r="I9" s="266" t="s">
        <v>487</v>
      </c>
      <c r="J9" s="342" t="s">
        <v>157</v>
      </c>
      <c r="K9" s="342" t="s">
        <v>251</v>
      </c>
      <c r="L9" s="322"/>
      <c r="M9" s="322"/>
      <c r="N9" s="322">
        <f t="shared" ref="N9:N40" si="7">3*1.98</f>
        <v>5.9399999999999995</v>
      </c>
      <c r="O9" s="322"/>
      <c r="P9" s="322">
        <f t="shared" si="4"/>
        <v>0</v>
      </c>
      <c r="Q9" s="323"/>
      <c r="R9" s="323"/>
      <c r="S9" s="261"/>
      <c r="T9" s="261"/>
      <c r="U9" s="324"/>
      <c r="W9" s="325" t="s">
        <v>397</v>
      </c>
      <c r="Y9" s="325" t="s">
        <v>9</v>
      </c>
      <c r="Z9" s="326"/>
      <c r="AE9" s="324"/>
      <c r="AJ9" s="265"/>
      <c r="AK9" s="265"/>
      <c r="AL9" s="265"/>
      <c r="AP9" s="325" t="s">
        <v>397</v>
      </c>
      <c r="AR9" s="325" t="s">
        <v>9</v>
      </c>
      <c r="BH9" s="324"/>
    </row>
    <row r="10" spans="1:62" s="73" customFormat="1">
      <c r="A10" s="548">
        <f>'1-συμβολαια'!A10</f>
        <v>0</v>
      </c>
      <c r="B10" s="376" t="str">
        <f>'1-συμβολαια'!C10</f>
        <v>ΧΡΗΣΙΚΤΗΣΙΑ οικοπέδου &amp; οικοδομής = 1992 αδερφού ΚΛΗΡΟΝΟΜΙΑ άτυπη</v>
      </c>
      <c r="C10" s="261">
        <f>'4-πολλυπρ'!D10</f>
        <v>0</v>
      </c>
      <c r="D10" s="261" t="str">
        <f>'4-πολλυπρ'!I10</f>
        <v>219-17</v>
      </c>
      <c r="E10" s="316"/>
      <c r="F10" s="322"/>
      <c r="G10" s="322"/>
      <c r="H10" s="322"/>
      <c r="I10" s="266"/>
      <c r="J10" s="342"/>
      <c r="K10" s="342"/>
      <c r="L10" s="322"/>
      <c r="M10" s="322"/>
      <c r="N10" s="316"/>
      <c r="O10" s="316"/>
      <c r="P10" s="316">
        <f t="shared" si="4"/>
        <v>0</v>
      </c>
      <c r="Q10" s="261"/>
      <c r="R10" s="261"/>
      <c r="S10" s="261"/>
      <c r="T10" s="261"/>
      <c r="U10" s="324"/>
      <c r="W10" s="325" t="s">
        <v>397</v>
      </c>
      <c r="Y10" s="325" t="s">
        <v>9</v>
      </c>
      <c r="Z10" s="326"/>
      <c r="AE10" s="324"/>
      <c r="AJ10" s="265"/>
      <c r="AK10" s="265"/>
      <c r="AL10" s="265"/>
      <c r="AP10" s="325" t="s">
        <v>397</v>
      </c>
      <c r="AR10" s="325" t="s">
        <v>9</v>
      </c>
      <c r="BH10" s="324"/>
    </row>
    <row r="11" spans="1:62" s="73" customFormat="1">
      <c r="A11" s="548">
        <f>'1-συμβολαια'!A11</f>
        <v>0</v>
      </c>
      <c r="B11" s="376" t="str">
        <f>'1-συμβολαια'!C11</f>
        <v>ΧΡΗΣΙΚΤΗΣΙΑ οικοπέδων 2'-3' = 1992 αδερφού ΚΛΗΡΟΝΟΜΙΑ άτυπη</v>
      </c>
      <c r="C11" s="261">
        <f>'4-πολλυπρ'!D11</f>
        <v>0</v>
      </c>
      <c r="D11" s="261" t="str">
        <f>'4-πολλυπρ'!I11</f>
        <v>219-17</v>
      </c>
      <c r="E11" s="316"/>
      <c r="F11" s="322"/>
      <c r="G11" s="322"/>
      <c r="H11" s="322"/>
      <c r="I11" s="266"/>
      <c r="J11" s="342"/>
      <c r="K11" s="342"/>
      <c r="L11" s="322"/>
      <c r="M11" s="322"/>
      <c r="N11" s="316"/>
      <c r="O11" s="316"/>
      <c r="P11" s="316">
        <f t="shared" si="4"/>
        <v>0</v>
      </c>
      <c r="Q11" s="261"/>
      <c r="R11" s="261"/>
      <c r="S11" s="261"/>
      <c r="T11" s="261"/>
      <c r="U11" s="324"/>
      <c r="W11" s="325" t="s">
        <v>397</v>
      </c>
      <c r="Y11" s="325" t="s">
        <v>9</v>
      </c>
      <c r="Z11" s="326"/>
      <c r="AE11" s="324"/>
      <c r="AJ11" s="265"/>
      <c r="AK11" s="265"/>
      <c r="AL11" s="265"/>
      <c r="AP11" s="325" t="s">
        <v>397</v>
      </c>
      <c r="AR11" s="325" t="s">
        <v>9</v>
      </c>
      <c r="BH11" s="324"/>
    </row>
    <row r="12" spans="1:62" s="73" customFormat="1">
      <c r="A12" s="548">
        <f>'1-συμβολαια'!A12</f>
        <v>0</v>
      </c>
      <c r="B12" s="376" t="str">
        <f>'1-συμβολαια'!C12</f>
        <v>ΧΡΗΣΙΚΤΗΣΙΑ αγροτεμαχίου 9' = 1968 μητρός ΚΛΗΡΟΝΟΜΙΑ άτυπη</v>
      </c>
      <c r="C12" s="261">
        <f>'4-πολλυπρ'!D12</f>
        <v>0</v>
      </c>
      <c r="D12" s="261" t="str">
        <f>'4-πολλυπρ'!I12</f>
        <v>219-17</v>
      </c>
      <c r="E12" s="316"/>
      <c r="F12" s="322"/>
      <c r="G12" s="322"/>
      <c r="H12" s="322"/>
      <c r="I12" s="266"/>
      <c r="J12" s="342"/>
      <c r="K12" s="342"/>
      <c r="L12" s="322"/>
      <c r="M12" s="322"/>
      <c r="N12" s="316"/>
      <c r="O12" s="316"/>
      <c r="P12" s="316">
        <f t="shared" si="4"/>
        <v>0</v>
      </c>
      <c r="Q12" s="261"/>
      <c r="R12" s="261"/>
      <c r="S12" s="261"/>
      <c r="T12" s="261"/>
      <c r="U12" s="324"/>
      <c r="W12" s="325" t="s">
        <v>397</v>
      </c>
      <c r="Y12" s="325" t="s">
        <v>9</v>
      </c>
      <c r="Z12" s="326"/>
      <c r="AE12" s="324"/>
      <c r="AJ12" s="265"/>
      <c r="AK12" s="265"/>
      <c r="AL12" s="265"/>
      <c r="AP12" s="325" t="s">
        <v>397</v>
      </c>
      <c r="AR12" s="325" t="s">
        <v>9</v>
      </c>
      <c r="BH12" s="324"/>
    </row>
    <row r="13" spans="1:62" s="73" customFormat="1">
      <c r="A13" s="548">
        <f>'1-συμβολαια'!A13</f>
        <v>0</v>
      </c>
      <c r="B13" s="376" t="str">
        <f>'1-συμβολαια'!C13</f>
        <v>ΧΡΗΣΙΚΤΗΣΙΑ οικοπέδου 4' = 19?? ΑΓΟΡΑΠΩΛΗΣΙΑ άτυπη</v>
      </c>
      <c r="C13" s="261">
        <f>'4-πολλυπρ'!D13</f>
        <v>0</v>
      </c>
      <c r="D13" s="261" t="str">
        <f>'4-πολλυπρ'!I13</f>
        <v>219-17</v>
      </c>
      <c r="E13" s="316"/>
      <c r="F13" s="322"/>
      <c r="G13" s="322"/>
      <c r="H13" s="322"/>
      <c r="I13" s="266"/>
      <c r="J13" s="342"/>
      <c r="K13" s="342"/>
      <c r="L13" s="322"/>
      <c r="M13" s="322"/>
      <c r="N13" s="316"/>
      <c r="O13" s="316"/>
      <c r="P13" s="316">
        <f t="shared" si="4"/>
        <v>0</v>
      </c>
      <c r="Q13" s="261"/>
      <c r="R13" s="261"/>
      <c r="S13" s="261"/>
      <c r="T13" s="261"/>
      <c r="U13" s="324"/>
      <c r="W13" s="325" t="s">
        <v>397</v>
      </c>
      <c r="Y13" s="325" t="s">
        <v>9</v>
      </c>
      <c r="Z13" s="326"/>
      <c r="AE13" s="324"/>
      <c r="AJ13" s="265"/>
      <c r="AK13" s="265"/>
      <c r="AL13" s="265"/>
      <c r="AP13" s="325" t="s">
        <v>397</v>
      </c>
      <c r="AR13" s="325" t="s">
        <v>9</v>
      </c>
      <c r="BH13" s="324"/>
    </row>
    <row r="14" spans="1:62" s="73" customFormat="1" ht="12" thickBot="1">
      <c r="A14" s="555">
        <f>'1-συμβολαια'!A14</f>
        <v>0</v>
      </c>
      <c r="B14" s="551" t="str">
        <f>'1-συμβολαια'!C14</f>
        <v>ΧΡΗΣΙΚΤΗΣΙΑ αγροτεμαχίου 8' = 19??? ΑΓΟΡΑΠΩΛΗΣΙΑ άτυπη</v>
      </c>
      <c r="C14" s="461">
        <f>'4-πολλυπρ'!D14</f>
        <v>0</v>
      </c>
      <c r="D14" s="461" t="str">
        <f>'4-πολλυπρ'!I14</f>
        <v>219-17</v>
      </c>
      <c r="E14" s="414"/>
      <c r="F14" s="414"/>
      <c r="G14" s="414"/>
      <c r="H14" s="414"/>
      <c r="I14" s="552"/>
      <c r="J14" s="553"/>
      <c r="K14" s="553"/>
      <c r="L14" s="414"/>
      <c r="M14" s="414"/>
      <c r="N14" s="414"/>
      <c r="O14" s="414"/>
      <c r="P14" s="414">
        <f t="shared" si="4"/>
        <v>0</v>
      </c>
      <c r="Q14" s="461"/>
      <c r="R14" s="461"/>
      <c r="S14" s="261"/>
      <c r="T14" s="261"/>
      <c r="U14" s="324"/>
      <c r="W14" s="325" t="s">
        <v>397</v>
      </c>
      <c r="Y14" s="325" t="s">
        <v>9</v>
      </c>
      <c r="Z14" s="326"/>
      <c r="AE14" s="324"/>
      <c r="AJ14" s="265"/>
      <c r="AK14" s="265"/>
      <c r="AL14" s="265"/>
      <c r="AP14" s="325" t="s">
        <v>397</v>
      </c>
      <c r="AR14" s="325" t="s">
        <v>9</v>
      </c>
      <c r="BH14" s="324"/>
    </row>
    <row r="15" spans="1:62" s="73" customFormat="1">
      <c r="A15" s="554" t="str">
        <f>'1-συμβολαια'!A15</f>
        <v>12ο</v>
      </c>
      <c r="B15" s="321" t="str">
        <f>'1-συμβολαια'!C15</f>
        <v>κληρονομιάς ΑΠΟΔΟΧΗ</v>
      </c>
      <c r="C15" s="323" t="str">
        <f>'4-πολλυπρ'!D15</f>
        <v>219-17</v>
      </c>
      <c r="D15" s="323" t="str">
        <f>'4-πολλυπρ'!I15</f>
        <v>219-17</v>
      </c>
      <c r="E15" s="322">
        <f>2*3</f>
        <v>6</v>
      </c>
      <c r="F15" s="322">
        <f t="shared" si="5"/>
        <v>19.38</v>
      </c>
      <c r="G15" s="322">
        <v>3.23</v>
      </c>
      <c r="H15" s="322">
        <f t="shared" si="6"/>
        <v>22.61</v>
      </c>
      <c r="I15" s="266" t="s">
        <v>487</v>
      </c>
      <c r="J15" s="342" t="s">
        <v>157</v>
      </c>
      <c r="K15" s="342" t="s">
        <v>251</v>
      </c>
      <c r="L15" s="322"/>
      <c r="M15" s="322"/>
      <c r="N15" s="322">
        <f t="shared" si="7"/>
        <v>5.9399999999999995</v>
      </c>
      <c r="O15" s="322"/>
      <c r="P15" s="322">
        <f t="shared" si="4"/>
        <v>0</v>
      </c>
      <c r="Q15" s="323"/>
      <c r="R15" s="323"/>
      <c r="S15" s="261"/>
      <c r="T15" s="261"/>
      <c r="U15" s="324"/>
      <c r="W15" s="325" t="s">
        <v>397</v>
      </c>
      <c r="Y15" s="325" t="s">
        <v>9</v>
      </c>
      <c r="Z15" s="326"/>
      <c r="AE15" s="324"/>
      <c r="AJ15" s="265"/>
      <c r="AK15" s="265"/>
      <c r="AL15" s="265"/>
      <c r="AP15" s="325" t="s">
        <v>397</v>
      </c>
      <c r="AR15" s="325" t="s">
        <v>9</v>
      </c>
      <c r="BH15" s="324"/>
    </row>
    <row r="16" spans="1:62" s="73" customFormat="1">
      <c r="A16" s="546">
        <f>'1-συμβολαια'!A16</f>
        <v>0</v>
      </c>
      <c r="B16" s="376" t="str">
        <f>'1-συμβολαια'!C16</f>
        <v>ΧΡΗΣΙΚΤΗΣΙΑ οικοπέδου &amp; οικοδομής = 1992 αδερφού ΚΛΗΡΟΝΟΜΙΑ άτυπη</v>
      </c>
      <c r="C16" s="261">
        <f>'4-πολλυπρ'!D16</f>
        <v>0</v>
      </c>
      <c r="D16" s="261" t="str">
        <f>'4-πολλυπρ'!I16</f>
        <v>219-17</v>
      </c>
      <c r="E16" s="316"/>
      <c r="F16" s="322"/>
      <c r="G16" s="322"/>
      <c r="H16" s="322"/>
      <c r="I16" s="266"/>
      <c r="J16" s="342"/>
      <c r="K16" s="342"/>
      <c r="L16" s="322"/>
      <c r="M16" s="322"/>
      <c r="N16" s="316"/>
      <c r="O16" s="316"/>
      <c r="P16" s="316">
        <f t="shared" si="4"/>
        <v>0</v>
      </c>
      <c r="Q16" s="261"/>
      <c r="R16" s="261"/>
      <c r="S16" s="261"/>
      <c r="T16" s="261"/>
      <c r="U16" s="324"/>
      <c r="W16" s="325" t="s">
        <v>397</v>
      </c>
      <c r="Y16" s="325" t="s">
        <v>9</v>
      </c>
      <c r="Z16" s="326"/>
      <c r="AE16" s="324"/>
      <c r="AJ16" s="265"/>
      <c r="AK16" s="265"/>
      <c r="AL16" s="265"/>
      <c r="AP16" s="325" t="s">
        <v>397</v>
      </c>
      <c r="AR16" s="325" t="s">
        <v>9</v>
      </c>
      <c r="BH16" s="324"/>
    </row>
    <row r="17" spans="1:60" s="73" customFormat="1">
      <c r="A17" s="546">
        <f>'1-συμβολαια'!A17</f>
        <v>0</v>
      </c>
      <c r="B17" s="376" t="str">
        <f>'1-συμβολαια'!C17</f>
        <v>ΧΡΗΣΙΚΤΗΣΙΑ οικοπέδων 2'-3' = 1992 αδερφού ΚΛΗΡΟΝΟΜΙΑ άτυπη</v>
      </c>
      <c r="C17" s="261">
        <f>'4-πολλυπρ'!D17</f>
        <v>0</v>
      </c>
      <c r="D17" s="261" t="str">
        <f>'4-πολλυπρ'!I17</f>
        <v>219-17</v>
      </c>
      <c r="E17" s="316"/>
      <c r="F17" s="322"/>
      <c r="G17" s="322"/>
      <c r="H17" s="322"/>
      <c r="I17" s="266"/>
      <c r="J17" s="342"/>
      <c r="K17" s="342"/>
      <c r="L17" s="322"/>
      <c r="M17" s="322"/>
      <c r="N17" s="316"/>
      <c r="O17" s="316"/>
      <c r="P17" s="316">
        <f t="shared" si="4"/>
        <v>0</v>
      </c>
      <c r="Q17" s="261"/>
      <c r="R17" s="261"/>
      <c r="S17" s="261"/>
      <c r="T17" s="261"/>
      <c r="U17" s="324"/>
      <c r="W17" s="325" t="s">
        <v>397</v>
      </c>
      <c r="Y17" s="325" t="s">
        <v>9</v>
      </c>
      <c r="Z17" s="326"/>
      <c r="AE17" s="324"/>
      <c r="AJ17" s="265"/>
      <c r="AK17" s="265"/>
      <c r="AL17" s="265"/>
      <c r="AP17" s="325" t="s">
        <v>397</v>
      </c>
      <c r="AR17" s="325" t="s">
        <v>9</v>
      </c>
      <c r="BH17" s="324"/>
    </row>
    <row r="18" spans="1:60" s="73" customFormat="1">
      <c r="A18" s="546">
        <f>'1-συμβολαια'!A18</f>
        <v>0</v>
      </c>
      <c r="B18" s="376" t="str">
        <f>'1-συμβολαια'!C18</f>
        <v>ΧΡΗΣΙΚΤΗΣΙΑ αγροτεμαχίου 9' = 1968 μητρός ΚΛΗΡΟΝΟΜΙΑ άτυπη</v>
      </c>
      <c r="C18" s="261">
        <f>'4-πολλυπρ'!D18</f>
        <v>0</v>
      </c>
      <c r="D18" s="261" t="str">
        <f>'4-πολλυπρ'!I18</f>
        <v>219-17</v>
      </c>
      <c r="E18" s="316"/>
      <c r="F18" s="322"/>
      <c r="G18" s="322"/>
      <c r="H18" s="322"/>
      <c r="I18" s="266"/>
      <c r="J18" s="342"/>
      <c r="K18" s="342"/>
      <c r="L18" s="322"/>
      <c r="M18" s="322"/>
      <c r="N18" s="316"/>
      <c r="O18" s="316"/>
      <c r="P18" s="316">
        <f t="shared" si="4"/>
        <v>0</v>
      </c>
      <c r="Q18" s="261"/>
      <c r="R18" s="261"/>
      <c r="S18" s="261"/>
      <c r="T18" s="261"/>
      <c r="U18" s="324"/>
      <c r="W18" s="325" t="s">
        <v>397</v>
      </c>
      <c r="Y18" s="325" t="s">
        <v>9</v>
      </c>
      <c r="Z18" s="326"/>
      <c r="AE18" s="324"/>
      <c r="AJ18" s="265"/>
      <c r="AK18" s="265"/>
      <c r="AL18" s="265"/>
      <c r="AP18" s="325" t="s">
        <v>397</v>
      </c>
      <c r="AR18" s="325" t="s">
        <v>9</v>
      </c>
      <c r="BH18" s="324"/>
    </row>
    <row r="19" spans="1:60" s="73" customFormat="1">
      <c r="A19" s="546">
        <f>'1-συμβολαια'!A19</f>
        <v>0</v>
      </c>
      <c r="B19" s="376" t="str">
        <f>'1-συμβολαια'!C19</f>
        <v>ΧΡΗΣΙΚΤΗΣΙΑ οικοπέδου 4' = 19?? ΑΓΟΡΑΠΩΛΗΣΙΑ άτυπη</v>
      </c>
      <c r="C19" s="261">
        <f>'4-πολλυπρ'!D19</f>
        <v>0</v>
      </c>
      <c r="D19" s="261" t="str">
        <f>'4-πολλυπρ'!I19</f>
        <v>219-17</v>
      </c>
      <c r="E19" s="316"/>
      <c r="F19" s="322"/>
      <c r="G19" s="322"/>
      <c r="H19" s="322"/>
      <c r="I19" s="266"/>
      <c r="J19" s="342"/>
      <c r="K19" s="342"/>
      <c r="L19" s="322"/>
      <c r="M19" s="322"/>
      <c r="N19" s="316"/>
      <c r="O19" s="316"/>
      <c r="P19" s="316">
        <f t="shared" si="4"/>
        <v>0</v>
      </c>
      <c r="Q19" s="261"/>
      <c r="R19" s="261"/>
      <c r="S19" s="261"/>
      <c r="T19" s="261"/>
      <c r="U19" s="324"/>
      <c r="W19" s="325" t="s">
        <v>397</v>
      </c>
      <c r="Y19" s="325" t="s">
        <v>9</v>
      </c>
      <c r="Z19" s="326"/>
      <c r="AE19" s="324"/>
      <c r="AJ19" s="265"/>
      <c r="AK19" s="265"/>
      <c r="AL19" s="265"/>
      <c r="AP19" s="325" t="s">
        <v>397</v>
      </c>
      <c r="AR19" s="325" t="s">
        <v>9</v>
      </c>
      <c r="BH19" s="324"/>
    </row>
    <row r="20" spans="1:60" s="73" customFormat="1" ht="12" thickBot="1">
      <c r="A20" s="550">
        <f>'1-συμβολαια'!A20</f>
        <v>0</v>
      </c>
      <c r="B20" s="551" t="str">
        <f>'1-συμβολαια'!C20</f>
        <v>ΧΡΗΣΙΚΤΗΣΙΑ αγροτεμαχίου 8' = 19??? ΑΓΟΡΑΠΩΛΗΣΙΑ άτυπη</v>
      </c>
      <c r="C20" s="461">
        <f>'4-πολλυπρ'!D20</f>
        <v>0</v>
      </c>
      <c r="D20" s="461" t="str">
        <f>'4-πολλυπρ'!I20</f>
        <v>219-17</v>
      </c>
      <c r="E20" s="414"/>
      <c r="F20" s="414"/>
      <c r="G20" s="414"/>
      <c r="H20" s="414"/>
      <c r="I20" s="552"/>
      <c r="J20" s="553"/>
      <c r="K20" s="553"/>
      <c r="L20" s="414"/>
      <c r="M20" s="414"/>
      <c r="N20" s="414"/>
      <c r="O20" s="414"/>
      <c r="P20" s="414">
        <f t="shared" si="4"/>
        <v>0</v>
      </c>
      <c r="Q20" s="461"/>
      <c r="R20" s="461"/>
      <c r="S20" s="261"/>
      <c r="T20" s="261"/>
      <c r="U20" s="324"/>
      <c r="W20" s="325" t="s">
        <v>397</v>
      </c>
      <c r="Y20" s="325" t="s">
        <v>9</v>
      </c>
      <c r="Z20" s="326"/>
      <c r="AE20" s="324"/>
      <c r="AJ20" s="265"/>
      <c r="AK20" s="265"/>
      <c r="AL20" s="265"/>
      <c r="AP20" s="325" t="s">
        <v>397</v>
      </c>
      <c r="AR20" s="325" t="s">
        <v>9</v>
      </c>
      <c r="BH20" s="324"/>
    </row>
    <row r="21" spans="1:60" s="73" customFormat="1">
      <c r="A21" s="549" t="str">
        <f>'1-συμβολαια'!A21</f>
        <v>13ο</v>
      </c>
      <c r="B21" s="321" t="str">
        <f>'1-συμβολαια'!C21</f>
        <v>κληρονομιάς ΑΠΟΔΟΧΗ</v>
      </c>
      <c r="C21" s="323" t="str">
        <f>'4-πολλυπρ'!D21</f>
        <v>219-17</v>
      </c>
      <c r="D21" s="323" t="str">
        <f>'4-πολλυπρ'!I21</f>
        <v>219-17</v>
      </c>
      <c r="E21" s="322">
        <v>3</v>
      </c>
      <c r="F21" s="322">
        <f t="shared" si="5"/>
        <v>9.69</v>
      </c>
      <c r="G21" s="322">
        <v>3.23</v>
      </c>
      <c r="H21" s="322">
        <f t="shared" si="6"/>
        <v>12.92</v>
      </c>
      <c r="I21" s="266" t="s">
        <v>487</v>
      </c>
      <c r="J21" s="342" t="s">
        <v>157</v>
      </c>
      <c r="K21" s="342" t="s">
        <v>251</v>
      </c>
      <c r="L21" s="322"/>
      <c r="M21" s="322"/>
      <c r="N21" s="322">
        <f t="shared" si="7"/>
        <v>5.9399999999999995</v>
      </c>
      <c r="O21" s="322"/>
      <c r="P21" s="322">
        <f t="shared" si="4"/>
        <v>0</v>
      </c>
      <c r="Q21" s="323"/>
      <c r="R21" s="323"/>
      <c r="S21" s="261"/>
      <c r="T21" s="261"/>
      <c r="U21" s="324"/>
      <c r="W21" s="325" t="s">
        <v>397</v>
      </c>
      <c r="Y21" s="325" t="s">
        <v>9</v>
      </c>
      <c r="Z21" s="326"/>
      <c r="AE21" s="324"/>
      <c r="AJ21" s="265"/>
      <c r="AK21" s="265"/>
      <c r="AL21" s="265"/>
      <c r="AP21" s="325" t="s">
        <v>397</v>
      </c>
      <c r="AR21" s="325" t="s">
        <v>9</v>
      </c>
      <c r="BH21" s="324"/>
    </row>
    <row r="22" spans="1:60" s="73" customFormat="1">
      <c r="A22" s="548">
        <f>'1-συμβολαια'!A22</f>
        <v>0</v>
      </c>
      <c r="B22" s="376" t="str">
        <f>'1-συμβολαια'!C22</f>
        <v>ΧΡΗΣΙΚΤΗΣΙΑ οικοπέδου &amp; οικοδομής = 1992 αδερφού ΚΛΗΡΟΝΟΜΙΑ άτυπη</v>
      </c>
      <c r="C22" s="261">
        <f>'4-πολλυπρ'!D22</f>
        <v>0</v>
      </c>
      <c r="D22" s="261" t="str">
        <f>'4-πολλυπρ'!I22</f>
        <v>219-17</v>
      </c>
      <c r="E22" s="316"/>
      <c r="F22" s="322"/>
      <c r="G22" s="322"/>
      <c r="H22" s="322"/>
      <c r="I22" s="266"/>
      <c r="J22" s="342"/>
      <c r="K22" s="342"/>
      <c r="L22" s="322"/>
      <c r="M22" s="322"/>
      <c r="N22" s="316"/>
      <c r="O22" s="316"/>
      <c r="P22" s="316">
        <f t="shared" si="4"/>
        <v>0</v>
      </c>
      <c r="Q22" s="261"/>
      <c r="R22" s="261"/>
      <c r="S22" s="261"/>
      <c r="T22" s="261"/>
      <c r="U22" s="324"/>
      <c r="W22" s="325" t="s">
        <v>397</v>
      </c>
      <c r="Y22" s="325" t="s">
        <v>9</v>
      </c>
      <c r="Z22" s="326"/>
      <c r="AE22" s="324"/>
      <c r="AJ22" s="265"/>
      <c r="AK22" s="265"/>
      <c r="AL22" s="265"/>
      <c r="AP22" s="325" t="s">
        <v>397</v>
      </c>
      <c r="AR22" s="325" t="s">
        <v>9</v>
      </c>
      <c r="BH22" s="324"/>
    </row>
    <row r="23" spans="1:60" s="73" customFormat="1">
      <c r="A23" s="548">
        <f>'1-συμβολαια'!A23</f>
        <v>0</v>
      </c>
      <c r="B23" s="376" t="str">
        <f>'1-συμβολαια'!C23</f>
        <v>ΧΡΗΣΙΚΤΗΣΙΑ οικοπέδων 2'-3' = 1992 αδερφού ΚΛΗΡΟΝΟΜΙΑ άτυπη</v>
      </c>
      <c r="C23" s="261">
        <f>'4-πολλυπρ'!D23</f>
        <v>0</v>
      </c>
      <c r="D23" s="261" t="str">
        <f>'4-πολλυπρ'!I23</f>
        <v>219-17</v>
      </c>
      <c r="E23" s="316"/>
      <c r="F23" s="322"/>
      <c r="G23" s="322"/>
      <c r="H23" s="322"/>
      <c r="I23" s="266"/>
      <c r="J23" s="342"/>
      <c r="K23" s="342"/>
      <c r="L23" s="322"/>
      <c r="M23" s="322"/>
      <c r="N23" s="316"/>
      <c r="O23" s="316"/>
      <c r="P23" s="316">
        <f t="shared" si="4"/>
        <v>0</v>
      </c>
      <c r="Q23" s="261"/>
      <c r="R23" s="261"/>
      <c r="S23" s="261"/>
      <c r="T23" s="261"/>
      <c r="U23" s="324"/>
      <c r="W23" s="325" t="s">
        <v>397</v>
      </c>
      <c r="Y23" s="325" t="s">
        <v>9</v>
      </c>
      <c r="Z23" s="326"/>
      <c r="AE23" s="324"/>
      <c r="AJ23" s="265"/>
      <c r="AK23" s="265"/>
      <c r="AL23" s="265"/>
      <c r="AP23" s="325" t="s">
        <v>397</v>
      </c>
      <c r="AR23" s="325" t="s">
        <v>9</v>
      </c>
      <c r="BH23" s="324"/>
    </row>
    <row r="24" spans="1:60" s="73" customFormat="1">
      <c r="A24" s="548">
        <f>'1-συμβολαια'!A24</f>
        <v>0</v>
      </c>
      <c r="B24" s="376" t="str">
        <f>'1-συμβολαια'!C24</f>
        <v>ΧΡΗΣΙΚΤΗΣΙΑ αγροτεμαχίου 9' = 1968 μητρός ΚΛΗΡΟΝΟΜΙΑ άτυπη</v>
      </c>
      <c r="C24" s="261">
        <f>'4-πολλυπρ'!D24</f>
        <v>0</v>
      </c>
      <c r="D24" s="261" t="str">
        <f>'4-πολλυπρ'!I24</f>
        <v>219-17</v>
      </c>
      <c r="E24" s="316"/>
      <c r="F24" s="322"/>
      <c r="G24" s="322"/>
      <c r="H24" s="322"/>
      <c r="I24" s="266"/>
      <c r="J24" s="342"/>
      <c r="K24" s="342"/>
      <c r="L24" s="322"/>
      <c r="M24" s="322"/>
      <c r="N24" s="316"/>
      <c r="O24" s="316"/>
      <c r="P24" s="316">
        <f t="shared" si="4"/>
        <v>0</v>
      </c>
      <c r="Q24" s="261"/>
      <c r="R24" s="261"/>
      <c r="S24" s="261"/>
      <c r="T24" s="261"/>
      <c r="U24" s="324"/>
      <c r="W24" s="325" t="s">
        <v>397</v>
      </c>
      <c r="Y24" s="325" t="s">
        <v>9</v>
      </c>
      <c r="Z24" s="326"/>
      <c r="AE24" s="324"/>
      <c r="AJ24" s="265"/>
      <c r="AK24" s="265"/>
      <c r="AL24" s="265"/>
      <c r="AP24" s="325" t="s">
        <v>397</v>
      </c>
      <c r="AR24" s="325" t="s">
        <v>9</v>
      </c>
      <c r="BH24" s="324"/>
    </row>
    <row r="25" spans="1:60" s="73" customFormat="1">
      <c r="A25" s="548">
        <f>'1-συμβολαια'!A25</f>
        <v>0</v>
      </c>
      <c r="B25" s="376" t="str">
        <f>'1-συμβολαια'!C25</f>
        <v>ΧΡΗΣΙΚΤΗΣΙΑ οικοπέδου 4' = 19?? ΑΓΟΡΑΠΩΛΗΣΙΑ άτυπη</v>
      </c>
      <c r="C25" s="261">
        <f>'4-πολλυπρ'!D25</f>
        <v>0</v>
      </c>
      <c r="D25" s="261" t="str">
        <f>'4-πολλυπρ'!I25</f>
        <v>219-17</v>
      </c>
      <c r="E25" s="316"/>
      <c r="F25" s="322"/>
      <c r="G25" s="322"/>
      <c r="H25" s="322"/>
      <c r="I25" s="266"/>
      <c r="J25" s="342"/>
      <c r="K25" s="342"/>
      <c r="L25" s="322"/>
      <c r="M25" s="322"/>
      <c r="N25" s="316"/>
      <c r="O25" s="316"/>
      <c r="P25" s="316">
        <f t="shared" si="4"/>
        <v>0</v>
      </c>
      <c r="Q25" s="261"/>
      <c r="R25" s="261"/>
      <c r="S25" s="261"/>
      <c r="T25" s="261"/>
      <c r="U25" s="324"/>
      <c r="W25" s="325" t="s">
        <v>397</v>
      </c>
      <c r="Y25" s="325" t="s">
        <v>9</v>
      </c>
      <c r="Z25" s="326"/>
      <c r="AE25" s="324"/>
      <c r="AJ25" s="265"/>
      <c r="AK25" s="265"/>
      <c r="AL25" s="265"/>
      <c r="AP25" s="325" t="s">
        <v>397</v>
      </c>
      <c r="AR25" s="325" t="s">
        <v>9</v>
      </c>
      <c r="BH25" s="324"/>
    </row>
    <row r="26" spans="1:60" s="73" customFormat="1" ht="12" thickBot="1">
      <c r="A26" s="555">
        <f>'1-συμβολαια'!A26</f>
        <v>0</v>
      </c>
      <c r="B26" s="551" t="str">
        <f>'1-συμβολαια'!C26</f>
        <v>ΧΡΗΣΙΚΤΗΣΙΑ αγροτεμαχίου 8' = 19??? ΑΓΟΡΑΠΩΛΗΣΙΑ άτυπη</v>
      </c>
      <c r="C26" s="461">
        <f>'4-πολλυπρ'!D26</f>
        <v>0</v>
      </c>
      <c r="D26" s="461" t="str">
        <f>'4-πολλυπρ'!I26</f>
        <v>219-17</v>
      </c>
      <c r="E26" s="414"/>
      <c r="F26" s="414"/>
      <c r="G26" s="414"/>
      <c r="H26" s="414"/>
      <c r="I26" s="552"/>
      <c r="J26" s="553"/>
      <c r="K26" s="553"/>
      <c r="L26" s="414"/>
      <c r="M26" s="414"/>
      <c r="N26" s="414"/>
      <c r="O26" s="414"/>
      <c r="P26" s="414">
        <f t="shared" si="4"/>
        <v>0</v>
      </c>
      <c r="Q26" s="461"/>
      <c r="R26" s="461"/>
      <c r="S26" s="261"/>
      <c r="T26" s="261"/>
      <c r="U26" s="324"/>
      <c r="W26" s="325" t="s">
        <v>397</v>
      </c>
      <c r="Y26" s="325" t="s">
        <v>9</v>
      </c>
      <c r="Z26" s="326"/>
      <c r="AE26" s="324"/>
      <c r="AJ26" s="265"/>
      <c r="AK26" s="265"/>
      <c r="AL26" s="265"/>
      <c r="AP26" s="325" t="s">
        <v>397</v>
      </c>
      <c r="AR26" s="325" t="s">
        <v>9</v>
      </c>
      <c r="BH26" s="324"/>
    </row>
    <row r="27" spans="1:60" s="73" customFormat="1">
      <c r="A27" s="554" t="str">
        <f>'1-συμβολαια'!A27</f>
        <v>14ο</v>
      </c>
      <c r="B27" s="570" t="str">
        <f>'1-συμβολαια'!C27</f>
        <v>κληρονομιάς ΑΠΟΔΟΧΗ</v>
      </c>
      <c r="C27" s="323" t="str">
        <f>'4-πολλυπρ'!D27</f>
        <v>219-17</v>
      </c>
      <c r="D27" s="323" t="str">
        <f>'4-πολλυπρ'!I27</f>
        <v>219-17</v>
      </c>
      <c r="E27" s="322">
        <v>3</v>
      </c>
      <c r="F27" s="322">
        <f t="shared" si="5"/>
        <v>9.69</v>
      </c>
      <c r="G27" s="322">
        <v>3.23</v>
      </c>
      <c r="H27" s="322">
        <f t="shared" si="6"/>
        <v>12.92</v>
      </c>
      <c r="I27" s="266" t="s">
        <v>487</v>
      </c>
      <c r="J27" s="342" t="s">
        <v>157</v>
      </c>
      <c r="K27" s="342" t="s">
        <v>251</v>
      </c>
      <c r="L27" s="322"/>
      <c r="M27" s="322"/>
      <c r="N27" s="322">
        <f t="shared" si="7"/>
        <v>5.9399999999999995</v>
      </c>
      <c r="O27" s="322"/>
      <c r="P27" s="322">
        <f t="shared" si="4"/>
        <v>0</v>
      </c>
      <c r="Q27" s="323"/>
      <c r="R27" s="323"/>
      <c r="S27" s="261"/>
      <c r="T27" s="261"/>
      <c r="U27" s="324"/>
      <c r="W27" s="325" t="s">
        <v>397</v>
      </c>
      <c r="Y27" s="325" t="s">
        <v>9</v>
      </c>
      <c r="Z27" s="326"/>
      <c r="AE27" s="324"/>
      <c r="AJ27" s="265"/>
      <c r="AK27" s="265"/>
      <c r="AL27" s="265"/>
      <c r="AP27" s="325" t="s">
        <v>397</v>
      </c>
      <c r="AR27" s="325" t="s">
        <v>9</v>
      </c>
      <c r="BH27" s="324"/>
    </row>
    <row r="28" spans="1:60" s="73" customFormat="1">
      <c r="A28" s="554">
        <f>'1-συμβολαια'!A28</f>
        <v>0</v>
      </c>
      <c r="B28" s="376" t="str">
        <f>'1-συμβολαια'!C28</f>
        <v>ΧΡΗΣΙΚΤΗΣΙΑ οικοπέδου &amp; οικοδομής = 1935 πατρός ΚΛΗΡΟΝΟΜΙΑ άτυπη</v>
      </c>
      <c r="C28" s="261">
        <f>'4-πολλυπρ'!D28</f>
        <v>0</v>
      </c>
      <c r="D28" s="261" t="str">
        <f>'4-πολλυπρ'!I28</f>
        <v>219-17</v>
      </c>
      <c r="E28" s="316"/>
      <c r="F28" s="322"/>
      <c r="G28" s="322"/>
      <c r="H28" s="322"/>
      <c r="I28" s="266"/>
      <c r="J28" s="342"/>
      <c r="K28" s="342"/>
      <c r="L28" s="322"/>
      <c r="M28" s="322"/>
      <c r="N28" s="316"/>
      <c r="O28" s="316"/>
      <c r="P28" s="316">
        <f t="shared" si="4"/>
        <v>0</v>
      </c>
      <c r="Q28" s="261"/>
      <c r="R28" s="261"/>
      <c r="S28" s="261"/>
      <c r="T28" s="261"/>
      <c r="U28" s="324"/>
      <c r="W28" s="325" t="s">
        <v>397</v>
      </c>
      <c r="Y28" s="325" t="s">
        <v>9</v>
      </c>
      <c r="Z28" s="326"/>
      <c r="AE28" s="324"/>
      <c r="AJ28" s="265"/>
      <c r="AK28" s="265"/>
      <c r="AL28" s="265"/>
      <c r="AP28" s="325" t="s">
        <v>397</v>
      </c>
      <c r="AR28" s="325" t="s">
        <v>9</v>
      </c>
      <c r="BH28" s="324"/>
    </row>
    <row r="29" spans="1:60" s="73" customFormat="1">
      <c r="A29" s="554">
        <f>'1-συμβολαια'!A29</f>
        <v>0</v>
      </c>
      <c r="B29" s="376" t="str">
        <f>'1-συμβολαια'!C29</f>
        <v>ΧΡΗΣΙΚΤΗΣΙΑ οικοπέδων 2'-3' = 1992 αδερφού ΚΛΗΡΟΝΟΜΙΑ άτυπη</v>
      </c>
      <c r="C29" s="261">
        <f>'4-πολλυπρ'!D29</f>
        <v>0</v>
      </c>
      <c r="D29" s="261" t="str">
        <f>'4-πολλυπρ'!I29</f>
        <v>219-17</v>
      </c>
      <c r="E29" s="316"/>
      <c r="F29" s="316"/>
      <c r="G29" s="316"/>
      <c r="H29" s="316"/>
      <c r="I29" s="262"/>
      <c r="J29" s="340"/>
      <c r="K29" s="340"/>
      <c r="L29" s="316"/>
      <c r="M29" s="316"/>
      <c r="N29" s="316"/>
      <c r="O29" s="316"/>
      <c r="P29" s="316">
        <f t="shared" si="4"/>
        <v>0</v>
      </c>
      <c r="Q29" s="261"/>
      <c r="R29" s="261"/>
      <c r="S29" s="261"/>
      <c r="T29" s="261"/>
      <c r="U29" s="324"/>
      <c r="W29" s="325" t="s">
        <v>397</v>
      </c>
      <c r="Y29" s="325" t="s">
        <v>9</v>
      </c>
      <c r="Z29" s="326"/>
      <c r="AE29" s="324"/>
      <c r="AJ29" s="265"/>
      <c r="AK29" s="265"/>
      <c r="AL29" s="265"/>
      <c r="AP29" s="325" t="s">
        <v>397</v>
      </c>
      <c r="AR29" s="325" t="s">
        <v>9</v>
      </c>
      <c r="BH29" s="324"/>
    </row>
    <row r="30" spans="1:60" s="73" customFormat="1">
      <c r="A30" s="554">
        <f>'1-συμβολαια'!A30</f>
        <v>0</v>
      </c>
      <c r="B30" s="376" t="str">
        <f>'1-συμβολαια'!C30</f>
        <v>ΧΡΗΣΙΚΤΗΣΙΑ αγροτεμαχίου 9' = 1968 μητρός ΚΛΗΡΟΝΟΜΙΑ άτυπη</v>
      </c>
      <c r="C30" s="261">
        <f>'4-πολλυπρ'!D30</f>
        <v>0</v>
      </c>
      <c r="D30" s="261" t="str">
        <f>'4-πολλυπρ'!I30</f>
        <v>219-17</v>
      </c>
      <c r="E30" s="316"/>
      <c r="F30" s="316"/>
      <c r="G30" s="316"/>
      <c r="H30" s="316"/>
      <c r="I30" s="262"/>
      <c r="J30" s="340"/>
      <c r="K30" s="340"/>
      <c r="L30" s="316"/>
      <c r="M30" s="316"/>
      <c r="N30" s="316"/>
      <c r="O30" s="316"/>
      <c r="P30" s="316">
        <f t="shared" ref="P30:P42" si="8">L30+M30</f>
        <v>0</v>
      </c>
      <c r="Q30" s="261"/>
      <c r="R30" s="261"/>
      <c r="S30" s="261"/>
      <c r="T30" s="261"/>
      <c r="U30" s="324"/>
      <c r="W30" s="325" t="s">
        <v>397</v>
      </c>
      <c r="Y30" s="325" t="s">
        <v>9</v>
      </c>
      <c r="Z30" s="326"/>
      <c r="AE30" s="324"/>
      <c r="AJ30" s="265"/>
      <c r="AK30" s="265"/>
      <c r="AL30" s="265"/>
      <c r="AP30" s="325" t="s">
        <v>397</v>
      </c>
      <c r="AR30" s="325" t="s">
        <v>9</v>
      </c>
      <c r="BH30" s="324"/>
    </row>
    <row r="31" spans="1:60" s="73" customFormat="1">
      <c r="A31" s="554">
        <f>'1-συμβολαια'!A31</f>
        <v>0</v>
      </c>
      <c r="B31" s="376" t="str">
        <f>'1-συμβολαια'!C31</f>
        <v>ΧΡΗΣΙΚΤΗΣΙΑ οικοπέδου 4' = 19?? ΑΓΟΡΑΠΩΛΗΣΙΑ άτυπη</v>
      </c>
      <c r="C31" s="261">
        <f>'4-πολλυπρ'!D31</f>
        <v>0</v>
      </c>
      <c r="D31" s="261" t="str">
        <f>'4-πολλυπρ'!I31</f>
        <v>219-17</v>
      </c>
      <c r="E31" s="316"/>
      <c r="F31" s="316"/>
      <c r="G31" s="316"/>
      <c r="H31" s="316"/>
      <c r="I31" s="262"/>
      <c r="J31" s="340"/>
      <c r="K31" s="340"/>
      <c r="L31" s="316"/>
      <c r="M31" s="316"/>
      <c r="N31" s="316"/>
      <c r="O31" s="316"/>
      <c r="P31" s="316">
        <f t="shared" si="8"/>
        <v>0</v>
      </c>
      <c r="Q31" s="261"/>
      <c r="R31" s="261"/>
      <c r="S31" s="261"/>
      <c r="T31" s="261"/>
      <c r="U31" s="324"/>
      <c r="W31" s="325" t="s">
        <v>397</v>
      </c>
      <c r="Y31" s="325" t="s">
        <v>9</v>
      </c>
      <c r="Z31" s="326"/>
      <c r="AE31" s="324"/>
      <c r="AJ31" s="265"/>
      <c r="AK31" s="265"/>
      <c r="AL31" s="265"/>
      <c r="AP31" s="325" t="s">
        <v>397</v>
      </c>
      <c r="AR31" s="325" t="s">
        <v>9</v>
      </c>
      <c r="BH31" s="324"/>
    </row>
    <row r="32" spans="1:60" s="73" customFormat="1" ht="12" thickBot="1">
      <c r="A32" s="550">
        <f>'1-συμβολαια'!A32</f>
        <v>0</v>
      </c>
      <c r="B32" s="551" t="str">
        <f>'1-συμβολαια'!C32</f>
        <v>ΧΡΗΣΙΚΤΗΣΙΑ αγροτεμαχίου 8' = 19??? ΑΓΟΡΑΠΩΛΗΣΙΑ άτυπη</v>
      </c>
      <c r="C32" s="461">
        <f>'4-πολλυπρ'!D32</f>
        <v>0</v>
      </c>
      <c r="D32" s="461" t="str">
        <f>'4-πολλυπρ'!I32</f>
        <v>219-17</v>
      </c>
      <c r="E32" s="414"/>
      <c r="F32" s="414"/>
      <c r="G32" s="414"/>
      <c r="H32" s="414"/>
      <c r="I32" s="552"/>
      <c r="J32" s="553"/>
      <c r="K32" s="553"/>
      <c r="L32" s="414"/>
      <c r="M32" s="414"/>
      <c r="N32" s="414"/>
      <c r="O32" s="414"/>
      <c r="P32" s="414">
        <f t="shared" si="8"/>
        <v>0</v>
      </c>
      <c r="Q32" s="461"/>
      <c r="R32" s="461"/>
      <c r="S32" s="261"/>
      <c r="T32" s="261"/>
      <c r="U32" s="324"/>
      <c r="W32" s="325" t="s">
        <v>397</v>
      </c>
      <c r="Y32" s="325" t="s">
        <v>9</v>
      </c>
      <c r="Z32" s="326"/>
      <c r="AE32" s="324"/>
      <c r="AJ32" s="265"/>
      <c r="AK32" s="265"/>
      <c r="AL32" s="265"/>
      <c r="AP32" s="325" t="s">
        <v>397</v>
      </c>
      <c r="AR32" s="325" t="s">
        <v>9</v>
      </c>
      <c r="BH32" s="324"/>
    </row>
    <row r="33" spans="1:62" s="73" customFormat="1">
      <c r="A33" s="556" t="str">
        <f>'1-συμβολαια'!A33</f>
        <v>15ο</v>
      </c>
      <c r="B33" s="321" t="str">
        <f>'1-συμβολαια'!C33</f>
        <v>αγοραπωλησία τίμημα = Δ.Ο.Υ. =</v>
      </c>
      <c r="C33" s="323" t="str">
        <f>'4-πολλυπρ'!D33</f>
        <v>219-17</v>
      </c>
      <c r="D33" s="323" t="str">
        <f>'4-πολλυπρ'!I33</f>
        <v>219-17</v>
      </c>
      <c r="E33" s="322">
        <v>2</v>
      </c>
      <c r="F33" s="322">
        <f t="shared" ref="F33" si="9">E33*3.23</f>
        <v>6.46</v>
      </c>
      <c r="G33" s="322">
        <v>3.23</v>
      </c>
      <c r="H33" s="322">
        <f t="shared" ref="H33" si="10">F33+G33</f>
        <v>9.69</v>
      </c>
      <c r="I33" s="266" t="s">
        <v>487</v>
      </c>
      <c r="J33" s="342" t="s">
        <v>157</v>
      </c>
      <c r="K33" s="342" t="s">
        <v>251</v>
      </c>
      <c r="L33" s="322"/>
      <c r="M33" s="322"/>
      <c r="N33" s="322">
        <f t="shared" si="7"/>
        <v>5.9399999999999995</v>
      </c>
      <c r="O33" s="322"/>
      <c r="P33" s="322">
        <f t="shared" ref="P33" si="11">L33+M33</f>
        <v>0</v>
      </c>
      <c r="Q33" s="323"/>
      <c r="R33" s="323"/>
      <c r="S33" s="261"/>
      <c r="T33" s="261"/>
      <c r="U33" s="324"/>
      <c r="W33" s="325" t="s">
        <v>397</v>
      </c>
      <c r="Y33" s="325" t="s">
        <v>9</v>
      </c>
      <c r="Z33" s="326"/>
      <c r="AE33" s="324"/>
      <c r="AJ33" s="265"/>
      <c r="AK33" s="265"/>
      <c r="AL33" s="265"/>
      <c r="AP33" s="325" t="s">
        <v>397</v>
      </c>
      <c r="AR33" s="325" t="s">
        <v>9</v>
      </c>
      <c r="BH33" s="324"/>
    </row>
    <row r="34" spans="1:62" s="73" customFormat="1">
      <c r="A34" s="556" t="str">
        <f>'1-συμβολαια'!A34</f>
        <v>16ο</v>
      </c>
      <c r="B34" s="376" t="str">
        <f>'1-συμβολαια'!C34</f>
        <v>πληρεξούσιο</v>
      </c>
      <c r="C34" s="261" t="str">
        <f>'4-πολλυπρ'!D34</f>
        <v>219-17</v>
      </c>
      <c r="D34" s="261" t="str">
        <f>'4-πολλυπρ'!I34</f>
        <v>219-17</v>
      </c>
      <c r="E34" s="316"/>
      <c r="F34" s="316"/>
      <c r="G34" s="316"/>
      <c r="H34" s="316"/>
      <c r="I34" s="262"/>
      <c r="J34" s="340"/>
      <c r="K34" s="340"/>
      <c r="L34" s="316"/>
      <c r="M34" s="316"/>
      <c r="N34" s="316"/>
      <c r="O34" s="316"/>
      <c r="P34" s="316">
        <f t="shared" si="8"/>
        <v>0</v>
      </c>
      <c r="Q34" s="261"/>
      <c r="R34" s="261"/>
      <c r="S34" s="261"/>
      <c r="T34" s="261"/>
      <c r="U34" s="324"/>
      <c r="W34" s="325" t="s">
        <v>397</v>
      </c>
      <c r="Y34" s="325" t="s">
        <v>9</v>
      </c>
      <c r="Z34" s="326"/>
      <c r="AE34" s="324"/>
      <c r="AJ34" s="265"/>
      <c r="AK34" s="265"/>
      <c r="AL34" s="265"/>
      <c r="AP34" s="325" t="s">
        <v>397</v>
      </c>
      <c r="AR34" s="325" t="s">
        <v>9</v>
      </c>
      <c r="BH34" s="324"/>
    </row>
    <row r="35" spans="1:62" s="73" customFormat="1" ht="12" thickBot="1">
      <c r="A35" s="557" t="str">
        <f>'1-συμβολαια'!A35</f>
        <v>17ο</v>
      </c>
      <c r="B35" s="551" t="str">
        <f>'1-συμβολαια'!C35</f>
        <v>πληρεξούσιο</v>
      </c>
      <c r="C35" s="461" t="str">
        <f>'4-πολλυπρ'!D35</f>
        <v>219-17</v>
      </c>
      <c r="D35" s="461" t="str">
        <f>'4-πολλυπρ'!I35</f>
        <v>219-17</v>
      </c>
      <c r="E35" s="414"/>
      <c r="F35" s="414"/>
      <c r="G35" s="414"/>
      <c r="H35" s="414"/>
      <c r="I35" s="552"/>
      <c r="J35" s="553"/>
      <c r="K35" s="553"/>
      <c r="L35" s="414"/>
      <c r="M35" s="414"/>
      <c r="N35" s="414"/>
      <c r="O35" s="414"/>
      <c r="P35" s="414">
        <f t="shared" si="8"/>
        <v>0</v>
      </c>
      <c r="Q35" s="461"/>
      <c r="R35" s="461"/>
      <c r="S35" s="261"/>
      <c r="T35" s="261"/>
      <c r="U35" s="324"/>
      <c r="W35" s="325" t="s">
        <v>397</v>
      </c>
      <c r="Y35" s="325" t="s">
        <v>9</v>
      </c>
      <c r="Z35" s="326"/>
      <c r="AE35" s="324"/>
      <c r="AJ35" s="265"/>
      <c r="AK35" s="265"/>
      <c r="AL35" s="265"/>
      <c r="AP35" s="325" t="s">
        <v>397</v>
      </c>
      <c r="AR35" s="325" t="s">
        <v>9</v>
      </c>
      <c r="BH35" s="324"/>
    </row>
    <row r="36" spans="1:62" s="73" customFormat="1">
      <c r="A36" s="554" t="str">
        <f>'1-συμβολαια'!A36</f>
        <v>18ο</v>
      </c>
      <c r="B36" s="321" t="str">
        <f>'1-συμβολαια'!C36</f>
        <v>αποδοχή κληρονομιάς</v>
      </c>
      <c r="C36" s="323" t="str">
        <f>'4-πολλυπρ'!D36</f>
        <v>219-17</v>
      </c>
      <c r="D36" s="323" t="str">
        <f>'4-πολλυπρ'!I36</f>
        <v>219-17</v>
      </c>
      <c r="E36" s="322">
        <v>2</v>
      </c>
      <c r="F36" s="322">
        <f t="shared" ref="F36" si="12">E36*3.23</f>
        <v>6.46</v>
      </c>
      <c r="G36" s="322">
        <v>3.23</v>
      </c>
      <c r="H36" s="322">
        <f t="shared" ref="H36" si="13">F36+G36</f>
        <v>9.69</v>
      </c>
      <c r="I36" s="266" t="s">
        <v>487</v>
      </c>
      <c r="J36" s="342" t="s">
        <v>157</v>
      </c>
      <c r="K36" s="342" t="s">
        <v>251</v>
      </c>
      <c r="L36" s="322">
        <v>5.87</v>
      </c>
      <c r="M36" s="322">
        <v>5.87</v>
      </c>
      <c r="N36" s="322">
        <f t="shared" si="7"/>
        <v>5.9399999999999995</v>
      </c>
      <c r="O36" s="322"/>
      <c r="P36" s="322">
        <f t="shared" si="8"/>
        <v>11.74</v>
      </c>
      <c r="Q36" s="323"/>
      <c r="R36" s="323"/>
      <c r="S36" s="261"/>
      <c r="T36" s="261"/>
      <c r="U36" s="324"/>
      <c r="W36" s="325" t="s">
        <v>397</v>
      </c>
      <c r="Y36" s="325" t="s">
        <v>9</v>
      </c>
      <c r="Z36" s="326"/>
      <c r="AE36" s="324"/>
      <c r="AJ36" s="265"/>
      <c r="AK36" s="265"/>
      <c r="AL36" s="265"/>
      <c r="AP36" s="325" t="s">
        <v>397</v>
      </c>
      <c r="AR36" s="325" t="s">
        <v>9</v>
      </c>
      <c r="BH36" s="324"/>
    </row>
    <row r="37" spans="1:62" s="73" customFormat="1">
      <c r="A37" s="554">
        <f>'1-συμβολαια'!A37</f>
        <v>0</v>
      </c>
      <c r="B37" s="376" t="str">
        <f>'1-συμβολαια'!C37</f>
        <v>ΧΡΗΣΙΚΤΗΣΙΑ  αγροτεμαχίου -1 = αναδασμός ΑΛΛΑ πριν ΑΓΟΡΑΠΩΛΗΣΙΑ άτυπος από ;;;??? το 19???</v>
      </c>
      <c r="C37" s="261" t="str">
        <f>'4-πολλυπρ'!D37</f>
        <v>νιαπουΣτεργιανη</v>
      </c>
      <c r="D37" s="261" t="str">
        <f>'4-πολλυπρ'!I37</f>
        <v>219-17</v>
      </c>
      <c r="E37" s="316"/>
      <c r="F37" s="316"/>
      <c r="G37" s="316"/>
      <c r="H37" s="316"/>
      <c r="I37" s="262"/>
      <c r="J37" s="340"/>
      <c r="K37" s="340"/>
      <c r="L37" s="316"/>
      <c r="M37" s="316"/>
      <c r="N37" s="316"/>
      <c r="O37" s="316"/>
      <c r="P37" s="316">
        <f t="shared" si="8"/>
        <v>0</v>
      </c>
      <c r="Q37" s="261"/>
      <c r="R37" s="261"/>
      <c r="S37" s="261"/>
      <c r="T37" s="261"/>
      <c r="U37" s="324"/>
      <c r="W37" s="325" t="s">
        <v>397</v>
      </c>
      <c r="Y37" s="325" t="s">
        <v>9</v>
      </c>
      <c r="Z37" s="326"/>
      <c r="AE37" s="324"/>
      <c r="AJ37" s="265"/>
      <c r="AK37" s="265"/>
      <c r="AL37" s="265"/>
      <c r="AP37" s="325" t="s">
        <v>397</v>
      </c>
      <c r="AR37" s="325" t="s">
        <v>9</v>
      </c>
      <c r="BH37" s="324"/>
    </row>
    <row r="38" spans="1:62" s="73" customFormat="1">
      <c r="A38" s="554">
        <f>'1-συμβολαια'!A38</f>
        <v>0</v>
      </c>
      <c r="B38" s="376" t="str">
        <f>'1-συμβολαια'!C38</f>
        <v>ΧΡΗΣΙΚΤΗΣΙΑ  οικοπέδου -2 = 19?? ως αγροτεμάχιο με ΑΝΑΔΑΣΜΟ</v>
      </c>
      <c r="C38" s="261">
        <f>'4-πολλυπρ'!D38</f>
        <v>0</v>
      </c>
      <c r="D38" s="261" t="str">
        <f>'4-πολλυπρ'!I38</f>
        <v>219-17</v>
      </c>
      <c r="E38" s="316"/>
      <c r="F38" s="316"/>
      <c r="G38" s="316"/>
      <c r="H38" s="316"/>
      <c r="I38" s="262"/>
      <c r="J38" s="340"/>
      <c r="K38" s="340"/>
      <c r="L38" s="316"/>
      <c r="M38" s="316"/>
      <c r="N38" s="316"/>
      <c r="O38" s="316"/>
      <c r="P38" s="316">
        <f t="shared" si="8"/>
        <v>0</v>
      </c>
      <c r="Q38" s="261"/>
      <c r="R38" s="261"/>
      <c r="S38" s="261"/>
      <c r="T38" s="261"/>
      <c r="U38" s="324"/>
      <c r="W38" s="325" t="s">
        <v>397</v>
      </c>
      <c r="Y38" s="325" t="s">
        <v>9</v>
      </c>
      <c r="Z38" s="326"/>
      <c r="AE38" s="324"/>
      <c r="AJ38" s="265"/>
      <c r="AK38" s="265"/>
      <c r="AL38" s="265"/>
      <c r="AP38" s="325" t="s">
        <v>397</v>
      </c>
      <c r="AR38" s="325" t="s">
        <v>9</v>
      </c>
      <c r="BH38" s="324"/>
    </row>
    <row r="39" spans="1:62" s="73" customFormat="1" ht="12" thickBot="1">
      <c r="A39" s="550">
        <f>'1-συμβολαια'!A39</f>
        <v>0</v>
      </c>
      <c r="B39" s="551" t="str">
        <f>'1-συμβολαια'!C39</f>
        <v>ΧΡΗΣΙΚΤΗΣΙΑ  οικοπέδου -4 = 19?? ;;;???</v>
      </c>
      <c r="C39" s="461">
        <f>'4-πολλυπρ'!D39</f>
        <v>0</v>
      </c>
      <c r="D39" s="461" t="str">
        <f>'4-πολλυπρ'!I39</f>
        <v>219-17</v>
      </c>
      <c r="E39" s="414"/>
      <c r="F39" s="414"/>
      <c r="G39" s="414"/>
      <c r="H39" s="414"/>
      <c r="I39" s="552"/>
      <c r="J39" s="553"/>
      <c r="K39" s="553"/>
      <c r="L39" s="414"/>
      <c r="M39" s="414"/>
      <c r="N39" s="414"/>
      <c r="O39" s="414"/>
      <c r="P39" s="414">
        <f t="shared" si="8"/>
        <v>0</v>
      </c>
      <c r="Q39" s="461"/>
      <c r="R39" s="461"/>
      <c r="S39" s="261"/>
      <c r="T39" s="261"/>
      <c r="U39" s="324"/>
      <c r="W39" s="325" t="s">
        <v>397</v>
      </c>
      <c r="Y39" s="325" t="s">
        <v>9</v>
      </c>
      <c r="Z39" s="326"/>
      <c r="AE39" s="324"/>
      <c r="AJ39" s="265"/>
      <c r="AK39" s="265"/>
      <c r="AL39" s="265"/>
      <c r="AP39" s="325" t="s">
        <v>397</v>
      </c>
      <c r="AR39" s="325" t="s">
        <v>9</v>
      </c>
      <c r="BH39" s="324"/>
    </row>
    <row r="40" spans="1:62" s="73" customFormat="1" ht="12" thickBot="1">
      <c r="A40" s="559" t="str">
        <f>'1-συμβολαια'!A40</f>
        <v>19ο</v>
      </c>
      <c r="B40" s="560" t="str">
        <f>'1-συμβολαια'!C40</f>
        <v>*γονική ΨΙΛΗΣ ΚΥΡΙΟΤΗΤΑΣ</v>
      </c>
      <c r="C40" s="561" t="str">
        <f>'4-πολλυπρ'!D40</f>
        <v>219-17</v>
      </c>
      <c r="D40" s="561" t="str">
        <f>'4-πολλυπρ'!I40</f>
        <v>219-17</v>
      </c>
      <c r="E40" s="491">
        <v>2</v>
      </c>
      <c r="F40" s="491">
        <f t="shared" ref="F40" si="14">E40*3.23</f>
        <v>6.46</v>
      </c>
      <c r="G40" s="491">
        <v>3.23</v>
      </c>
      <c r="H40" s="491">
        <f t="shared" ref="H40" si="15">F40+G40</f>
        <v>9.69</v>
      </c>
      <c r="I40" s="571" t="s">
        <v>487</v>
      </c>
      <c r="J40" s="562" t="s">
        <v>157</v>
      </c>
      <c r="K40" s="562" t="s">
        <v>251</v>
      </c>
      <c r="L40" s="491">
        <v>5.87</v>
      </c>
      <c r="M40" s="491">
        <v>5.87</v>
      </c>
      <c r="N40" s="491">
        <f t="shared" si="7"/>
        <v>5.9399999999999995</v>
      </c>
      <c r="O40" s="491"/>
      <c r="P40" s="491">
        <f t="shared" si="8"/>
        <v>11.74</v>
      </c>
      <c r="Q40" s="561"/>
      <c r="R40" s="561"/>
      <c r="S40" s="261"/>
      <c r="T40" s="261"/>
      <c r="U40" s="324"/>
      <c r="W40" s="325" t="s">
        <v>397</v>
      </c>
      <c r="Y40" s="325" t="s">
        <v>9</v>
      </c>
      <c r="Z40" s="326"/>
      <c r="AE40" s="324"/>
      <c r="AJ40" s="265"/>
      <c r="AK40" s="265"/>
      <c r="AL40" s="265"/>
      <c r="AP40" s="325" t="s">
        <v>397</v>
      </c>
      <c r="AR40" s="325" t="s">
        <v>9</v>
      </c>
      <c r="BH40" s="324"/>
    </row>
    <row r="41" spans="1:62" s="73" customFormat="1">
      <c r="A41" s="554" t="str">
        <f>'1-συμβολαια'!A41</f>
        <v>20ο</v>
      </c>
      <c r="B41" s="321" t="str">
        <f>'1-συμβολαια'!C41</f>
        <v>δωρεά</v>
      </c>
      <c r="C41" s="323" t="str">
        <f>'4-πολλυπρ'!D41</f>
        <v>219-17</v>
      </c>
      <c r="D41" s="323" t="str">
        <f>'4-πολλυπρ'!I41</f>
        <v>219-17</v>
      </c>
      <c r="E41" s="322">
        <v>2</v>
      </c>
      <c r="F41" s="322">
        <f t="shared" ref="F41" si="16">E41*3.23</f>
        <v>6.46</v>
      </c>
      <c r="G41" s="322">
        <v>3.23</v>
      </c>
      <c r="H41" s="322">
        <f t="shared" ref="H41" si="17">F41+G41</f>
        <v>9.69</v>
      </c>
      <c r="I41" s="266" t="s">
        <v>487</v>
      </c>
      <c r="J41" s="342" t="s">
        <v>157</v>
      </c>
      <c r="K41" s="342" t="s">
        <v>251</v>
      </c>
      <c r="L41" s="322"/>
      <c r="M41" s="322"/>
      <c r="N41" s="322">
        <v>5.94</v>
      </c>
      <c r="O41" s="322"/>
      <c r="P41" s="322">
        <f t="shared" si="8"/>
        <v>0</v>
      </c>
      <c r="Q41" s="323"/>
      <c r="R41" s="323"/>
      <c r="S41" s="261"/>
      <c r="T41" s="261"/>
      <c r="U41" s="324"/>
      <c r="W41" s="325" t="s">
        <v>397</v>
      </c>
      <c r="Y41" s="325" t="s">
        <v>9</v>
      </c>
      <c r="Z41" s="326"/>
      <c r="AE41" s="324"/>
      <c r="AJ41" s="265"/>
      <c r="AK41" s="265"/>
      <c r="AL41" s="265"/>
      <c r="AP41" s="325" t="s">
        <v>397</v>
      </c>
      <c r="AR41" s="325" t="s">
        <v>9</v>
      </c>
      <c r="BH41" s="324"/>
    </row>
    <row r="42" spans="1:62" s="73" customFormat="1" ht="12" thickBot="1">
      <c r="A42" s="550">
        <f>'1-συμβολαια'!A42</f>
        <v>0</v>
      </c>
      <c r="B42" s="551" t="str">
        <f>'1-συμβολαια'!C42</f>
        <v>χρησικτησία 1/2 οικοπέδου &amp; οικίας = συζυγου 1972 ΔΩΡΕΑ άτυπος</v>
      </c>
      <c r="C42" s="461">
        <f>'4-πολλυπρ'!D42</f>
        <v>0</v>
      </c>
      <c r="D42" s="461" t="str">
        <f>'4-πολλυπρ'!I42</f>
        <v>κΑναστασια {Γ-Π}</v>
      </c>
      <c r="E42" s="414"/>
      <c r="F42" s="414"/>
      <c r="G42" s="414"/>
      <c r="H42" s="414"/>
      <c r="I42" s="552"/>
      <c r="J42" s="553"/>
      <c r="K42" s="553"/>
      <c r="L42" s="414"/>
      <c r="M42" s="414"/>
      <c r="N42" s="414"/>
      <c r="O42" s="414"/>
      <c r="P42" s="414">
        <f t="shared" si="8"/>
        <v>0</v>
      </c>
      <c r="Q42" s="461"/>
      <c r="R42" s="261"/>
      <c r="S42" s="261"/>
      <c r="T42" s="261"/>
      <c r="U42" s="324"/>
      <c r="W42" s="325" t="s">
        <v>397</v>
      </c>
      <c r="Y42" s="325" t="s">
        <v>9</v>
      </c>
      <c r="Z42" s="326"/>
      <c r="AE42" s="324"/>
      <c r="AJ42" s="265"/>
      <c r="AK42" s="265"/>
      <c r="AL42" s="265"/>
      <c r="AP42" s="325" t="s">
        <v>397</v>
      </c>
      <c r="AR42" s="325" t="s">
        <v>9</v>
      </c>
      <c r="BH42" s="324"/>
    </row>
    <row r="43" spans="1:62">
      <c r="A43" s="760" t="s">
        <v>35</v>
      </c>
      <c r="B43" s="761"/>
      <c r="C43" s="761"/>
      <c r="D43" s="762"/>
      <c r="E43" s="558">
        <f>SUM(E3:E42)</f>
        <v>41</v>
      </c>
      <c r="F43" s="558">
        <f t="shared" ref="F43:P43" si="18">SUM(F3:F42)</f>
        <v>132.42999999999998</v>
      </c>
      <c r="G43" s="558">
        <f t="shared" si="18"/>
        <v>29.07</v>
      </c>
      <c r="H43" s="558">
        <f t="shared" si="18"/>
        <v>161.5</v>
      </c>
      <c r="I43" s="558">
        <f t="shared" si="18"/>
        <v>0</v>
      </c>
      <c r="J43" s="558">
        <f t="shared" si="18"/>
        <v>0</v>
      </c>
      <c r="K43" s="558">
        <f t="shared" si="18"/>
        <v>0</v>
      </c>
      <c r="L43" s="558">
        <f t="shared" si="18"/>
        <v>17.61</v>
      </c>
      <c r="M43" s="558">
        <f t="shared" si="18"/>
        <v>17.61</v>
      </c>
      <c r="N43" s="558">
        <f t="shared" si="18"/>
        <v>53.459999999999987</v>
      </c>
      <c r="O43" s="558">
        <f t="shared" si="18"/>
        <v>0</v>
      </c>
      <c r="P43" s="558">
        <f t="shared" si="18"/>
        <v>35.22</v>
      </c>
      <c r="Q43" s="558">
        <f>SUM(Q3:Q42)</f>
        <v>0</v>
      </c>
      <c r="R43" s="558">
        <f>SUM(R3:R42)</f>
        <v>0</v>
      </c>
      <c r="S43" s="68">
        <f>SUM(S3:S42)</f>
        <v>0</v>
      </c>
      <c r="T43" s="68"/>
      <c r="U43" s="124"/>
      <c r="V43" s="68">
        <f>SUM(V3:V42)</f>
        <v>0</v>
      </c>
      <c r="W43" s="68"/>
      <c r="X43" s="68">
        <f>SUM(X3:X42)</f>
        <v>0</v>
      </c>
      <c r="Y43" s="68"/>
      <c r="Z43" s="68">
        <f>SUM(Z3:Z42)</f>
        <v>0</v>
      </c>
      <c r="AA43" s="68">
        <f>SUM(AA3:AA42)</f>
        <v>0</v>
      </c>
      <c r="AB43" s="68">
        <f>SUM(AB3:AB42)</f>
        <v>0</v>
      </c>
      <c r="AC43" s="68">
        <f>SUM(AC3:AC42)</f>
        <v>0</v>
      </c>
      <c r="AD43" s="68">
        <f>SUM(AD3:AD42)</f>
        <v>0</v>
      </c>
      <c r="AE43" s="124"/>
      <c r="AF43" s="68"/>
      <c r="AG43" s="68"/>
      <c r="AH43" s="68"/>
      <c r="AI43" s="68"/>
      <c r="AJ43" s="71">
        <f>SUM(AJ3:AJ42)</f>
        <v>0</v>
      </c>
      <c r="AK43" s="71">
        <f>SUM(AK3:AK42)</f>
        <v>0</v>
      </c>
      <c r="AL43" s="71"/>
      <c r="AM43" s="68">
        <f>SUM(AM3:AM42)</f>
        <v>0</v>
      </c>
      <c r="AN43" s="68">
        <f>SUM(AN3:AN42)</f>
        <v>0</v>
      </c>
      <c r="AO43" s="68">
        <f>SUM(AO3:AO42)</f>
        <v>0</v>
      </c>
      <c r="AP43" s="68"/>
      <c r="AQ43" s="68">
        <f t="shared" ref="AQ43:BJ43" si="19">SUM(AQ3:AQ42)</f>
        <v>0</v>
      </c>
      <c r="AR43" s="68">
        <f t="shared" si="19"/>
        <v>0</v>
      </c>
      <c r="AS43" s="68">
        <f t="shared" si="19"/>
        <v>0</v>
      </c>
      <c r="AT43" s="68">
        <f t="shared" si="19"/>
        <v>0</v>
      </c>
      <c r="AU43" s="68">
        <f t="shared" si="19"/>
        <v>0</v>
      </c>
      <c r="AV43" s="68">
        <f t="shared" si="19"/>
        <v>0</v>
      </c>
      <c r="AW43" s="68">
        <f t="shared" si="19"/>
        <v>0</v>
      </c>
      <c r="AX43" s="68">
        <f t="shared" si="19"/>
        <v>0</v>
      </c>
      <c r="AY43" s="68">
        <f t="shared" si="19"/>
        <v>0</v>
      </c>
      <c r="AZ43" s="68">
        <f t="shared" si="19"/>
        <v>0</v>
      </c>
      <c r="BA43" s="68">
        <f t="shared" si="19"/>
        <v>0</v>
      </c>
      <c r="BB43" s="68">
        <f t="shared" si="19"/>
        <v>0</v>
      </c>
      <c r="BC43" s="68">
        <f t="shared" si="19"/>
        <v>0</v>
      </c>
      <c r="BD43" s="68">
        <f t="shared" si="19"/>
        <v>0</v>
      </c>
      <c r="BE43" s="68">
        <f t="shared" si="19"/>
        <v>0</v>
      </c>
      <c r="BF43" s="68">
        <f t="shared" si="19"/>
        <v>0</v>
      </c>
      <c r="BG43" s="68">
        <f t="shared" si="19"/>
        <v>0</v>
      </c>
      <c r="BH43" s="68">
        <f t="shared" si="19"/>
        <v>0</v>
      </c>
      <c r="BI43" s="68">
        <f t="shared" si="19"/>
        <v>0</v>
      </c>
      <c r="BJ43" s="68">
        <f t="shared" si="19"/>
        <v>0</v>
      </c>
    </row>
    <row r="44" spans="1:62">
      <c r="L44" s="126" t="s">
        <v>475</v>
      </c>
    </row>
    <row r="45" spans="1:62">
      <c r="G45" s="126"/>
      <c r="H45" s="304" t="s">
        <v>98</v>
      </c>
      <c r="I45" s="126"/>
      <c r="J45" s="126"/>
      <c r="K45" s="126"/>
      <c r="L45" s="126"/>
      <c r="M45" s="126" t="s">
        <v>475</v>
      </c>
      <c r="N45" s="111"/>
      <c r="O45" s="111"/>
      <c r="T45" s="169" t="s">
        <v>159</v>
      </c>
      <c r="AA45" s="2"/>
      <c r="AC45" s="111" t="s">
        <v>99</v>
      </c>
      <c r="AJ45" s="211" t="s">
        <v>100</v>
      </c>
    </row>
    <row r="46" spans="1:62">
      <c r="F46" s="3"/>
      <c r="G46" s="3"/>
      <c r="H46" s="3"/>
      <c r="I46" s="146" t="s">
        <v>153</v>
      </c>
      <c r="J46" s="112"/>
      <c r="K46" s="112"/>
      <c r="M46" s="126"/>
      <c r="N46" s="3"/>
      <c r="O46" s="3"/>
      <c r="P46" s="3"/>
      <c r="Q46" s="146" t="s">
        <v>160</v>
      </c>
      <c r="T46" s="9"/>
    </row>
    <row r="47" spans="1:62">
      <c r="A47" s="357" t="s">
        <v>609</v>
      </c>
      <c r="B47" s="90" t="s">
        <v>547</v>
      </c>
      <c r="F47" s="3"/>
      <c r="G47" s="3"/>
      <c r="H47" s="3"/>
      <c r="I47" s="112" t="s">
        <v>154</v>
      </c>
      <c r="J47" s="112"/>
      <c r="K47" s="112"/>
      <c r="M47" s="3"/>
      <c r="N47" s="3"/>
      <c r="O47" s="3"/>
      <c r="P47" s="3"/>
      <c r="R47" s="112" t="s">
        <v>161</v>
      </c>
      <c r="T47" s="9"/>
    </row>
    <row r="48" spans="1:62">
      <c r="A48" s="385"/>
      <c r="B48" s="361" t="s">
        <v>548</v>
      </c>
      <c r="C48" s="2" t="s">
        <v>557</v>
      </c>
      <c r="I48" s="112"/>
      <c r="J48" s="146" t="s">
        <v>155</v>
      </c>
      <c r="K48" s="112"/>
      <c r="N48" s="141" t="s">
        <v>474</v>
      </c>
      <c r="O48" s="4"/>
      <c r="T48" s="9"/>
    </row>
    <row r="49" spans="1:20">
      <c r="A49" s="357"/>
      <c r="B49" s="361" t="s">
        <v>549</v>
      </c>
      <c r="C49" s="2" t="s">
        <v>558</v>
      </c>
      <c r="J49" s="112" t="s">
        <v>156</v>
      </c>
      <c r="K49" s="112"/>
      <c r="O49" s="2" t="s">
        <v>490</v>
      </c>
      <c r="T49" s="9"/>
    </row>
    <row r="50" spans="1:20">
      <c r="A50" s="2"/>
      <c r="B50" s="361" t="s">
        <v>551</v>
      </c>
      <c r="C50" s="2"/>
      <c r="K50" s="146" t="s">
        <v>258</v>
      </c>
      <c r="T50" s="9"/>
    </row>
    <row r="51" spans="1:20">
      <c r="A51" s="2"/>
      <c r="B51" s="361" t="s">
        <v>550</v>
      </c>
      <c r="C51" s="2"/>
      <c r="K51" s="112" t="s">
        <v>259</v>
      </c>
      <c r="T51" s="9"/>
    </row>
    <row r="52" spans="1:20">
      <c r="A52" s="2"/>
      <c r="B52" s="361" t="s">
        <v>619</v>
      </c>
      <c r="C52" s="2"/>
      <c r="K52" s="112"/>
      <c r="T52" s="9"/>
    </row>
    <row r="53" spans="1:20">
      <c r="A53" s="2"/>
      <c r="B53" s="361" t="s">
        <v>552</v>
      </c>
      <c r="C53" s="2"/>
    </row>
    <row r="54" spans="1:20">
      <c r="A54" s="2"/>
      <c r="B54" s="361" t="s">
        <v>620</v>
      </c>
      <c r="C54" s="2"/>
    </row>
    <row r="55" spans="1:20">
      <c r="A55" s="2"/>
      <c r="B55" s="361" t="s">
        <v>621</v>
      </c>
      <c r="C55" s="2"/>
    </row>
    <row r="56" spans="1:20">
      <c r="A56" s="2"/>
      <c r="B56" s="361" t="s">
        <v>622</v>
      </c>
      <c r="C56" s="2"/>
    </row>
    <row r="57" spans="1:20">
      <c r="A57" s="2"/>
      <c r="B57" s="361" t="s">
        <v>623</v>
      </c>
      <c r="C57" s="2"/>
    </row>
    <row r="58" spans="1:20">
      <c r="A58" s="4"/>
      <c r="B58" s="361" t="s">
        <v>624</v>
      </c>
      <c r="C58" s="2"/>
    </row>
    <row r="59" spans="1:20">
      <c r="A59" s="4"/>
      <c r="B59" s="9"/>
      <c r="C59" s="2"/>
    </row>
    <row r="60" spans="1:20">
      <c r="A60" s="2"/>
      <c r="B60" s="9"/>
      <c r="C60" s="2"/>
    </row>
    <row r="61" spans="1:20">
      <c r="A61" s="357" t="s">
        <v>610</v>
      </c>
      <c r="B61" s="90" t="s">
        <v>547</v>
      </c>
      <c r="C61" s="2"/>
    </row>
    <row r="62" spans="1:20">
      <c r="A62" s="385"/>
      <c r="B62" s="361" t="s">
        <v>548</v>
      </c>
      <c r="C62" s="2" t="s">
        <v>557</v>
      </c>
    </row>
    <row r="63" spans="1:20">
      <c r="A63" s="357"/>
      <c r="B63" s="361" t="s">
        <v>549</v>
      </c>
      <c r="C63" s="2" t="s">
        <v>560</v>
      </c>
    </row>
    <row r="64" spans="1:20">
      <c r="A64" s="2"/>
      <c r="B64" s="361" t="s">
        <v>551</v>
      </c>
      <c r="C64" s="2"/>
    </row>
    <row r="65" spans="1:4">
      <c r="A65" s="2"/>
      <c r="B65" s="361" t="s">
        <v>550</v>
      </c>
      <c r="C65" s="2"/>
    </row>
    <row r="66" spans="1:4">
      <c r="A66" s="2"/>
      <c r="B66" s="361" t="s">
        <v>619</v>
      </c>
      <c r="C66" s="2"/>
    </row>
    <row r="67" spans="1:4">
      <c r="A67" s="2"/>
      <c r="B67" s="361" t="s">
        <v>552</v>
      </c>
      <c r="C67" s="2"/>
    </row>
    <row r="68" spans="1:4">
      <c r="A68" s="2"/>
      <c r="B68" s="361" t="s">
        <v>620</v>
      </c>
      <c r="C68" s="2"/>
    </row>
    <row r="69" spans="1:4">
      <c r="A69" s="2"/>
      <c r="B69" s="361" t="s">
        <v>621</v>
      </c>
      <c r="C69" s="2"/>
    </row>
    <row r="70" spans="1:4">
      <c r="A70" s="2"/>
      <c r="B70" s="361" t="s">
        <v>622</v>
      </c>
      <c r="C70" s="2"/>
    </row>
    <row r="71" spans="1:4">
      <c r="A71" s="2"/>
      <c r="B71" s="361" t="s">
        <v>623</v>
      </c>
      <c r="C71" s="2"/>
    </row>
    <row r="72" spans="1:4">
      <c r="A72" s="2"/>
      <c r="B72" s="361" t="s">
        <v>624</v>
      </c>
      <c r="C72" s="2"/>
    </row>
    <row r="73" spans="1:4">
      <c r="A73" s="2"/>
      <c r="B73" s="3"/>
      <c r="C73" s="2"/>
    </row>
    <row r="74" spans="1:4">
      <c r="A74" s="2"/>
      <c r="B74" s="3"/>
      <c r="C74" s="2"/>
    </row>
    <row r="75" spans="1:4">
      <c r="A75" s="357" t="s">
        <v>611</v>
      </c>
      <c r="B75" s="90" t="s">
        <v>570</v>
      </c>
      <c r="C75" s="2"/>
    </row>
    <row r="76" spans="1:4">
      <c r="A76" s="385"/>
      <c r="B76" s="361" t="s">
        <v>548</v>
      </c>
      <c r="C76" s="2" t="s">
        <v>557</v>
      </c>
    </row>
    <row r="77" spans="1:4">
      <c r="A77" s="357"/>
      <c r="B77" s="361" t="s">
        <v>549</v>
      </c>
      <c r="C77" s="2" t="s">
        <v>571</v>
      </c>
    </row>
    <row r="78" spans="1:4">
      <c r="A78" s="2"/>
      <c r="B78" s="361" t="s">
        <v>551</v>
      </c>
      <c r="C78" s="2"/>
    </row>
    <row r="79" spans="1:4">
      <c r="A79" s="2"/>
      <c r="B79" s="361" t="s">
        <v>550</v>
      </c>
      <c r="C79" s="2"/>
      <c r="D79" s="2"/>
    </row>
    <row r="80" spans="1:4">
      <c r="A80" s="2"/>
      <c r="B80" s="361" t="s">
        <v>619</v>
      </c>
      <c r="C80" s="2"/>
      <c r="D80" s="2"/>
    </row>
    <row r="81" spans="1:4">
      <c r="A81" s="2"/>
      <c r="B81" s="361" t="s">
        <v>552</v>
      </c>
      <c r="C81" s="2"/>
      <c r="D81" s="2"/>
    </row>
    <row r="82" spans="1:4">
      <c r="A82" s="2"/>
      <c r="B82" s="361" t="s">
        <v>620</v>
      </c>
      <c r="C82" s="2"/>
      <c r="D82" s="2"/>
    </row>
    <row r="83" spans="1:4">
      <c r="A83" s="2"/>
      <c r="B83" s="361" t="s">
        <v>621</v>
      </c>
      <c r="C83" s="2"/>
      <c r="D83" s="2"/>
    </row>
    <row r="84" spans="1:4">
      <c r="A84" s="2"/>
      <c r="B84" s="361" t="s">
        <v>622</v>
      </c>
      <c r="C84" s="2"/>
      <c r="D84" s="2"/>
    </row>
    <row r="85" spans="1:4">
      <c r="A85" s="2"/>
      <c r="B85" s="361" t="s">
        <v>623</v>
      </c>
      <c r="C85" s="2"/>
      <c r="D85" s="2"/>
    </row>
    <row r="86" spans="1:4">
      <c r="A86" s="2"/>
      <c r="B86" s="361" t="s">
        <v>624</v>
      </c>
      <c r="C86" s="2"/>
      <c r="D86" s="2"/>
    </row>
    <row r="87" spans="1:4">
      <c r="A87" s="2"/>
      <c r="B87" s="3"/>
      <c r="C87" s="2"/>
      <c r="D87" s="2"/>
    </row>
    <row r="88" spans="1:4">
      <c r="A88" s="2"/>
      <c r="B88" s="3"/>
      <c r="C88" s="2"/>
      <c r="D88" s="2"/>
    </row>
    <row r="89" spans="1:4">
      <c r="A89" s="357" t="s">
        <v>612</v>
      </c>
      <c r="B89" s="90" t="s">
        <v>570</v>
      </c>
      <c r="C89" s="2"/>
      <c r="D89" s="2"/>
    </row>
    <row r="90" spans="1:4">
      <c r="A90" s="385"/>
      <c r="B90" s="361" t="s">
        <v>548</v>
      </c>
      <c r="C90" s="2" t="s">
        <v>557</v>
      </c>
      <c r="D90" s="2"/>
    </row>
    <row r="91" spans="1:4">
      <c r="A91" s="357"/>
      <c r="B91" s="361" t="s">
        <v>549</v>
      </c>
      <c r="C91" s="2" t="s">
        <v>572</v>
      </c>
      <c r="D91" s="2"/>
    </row>
    <row r="92" spans="1:4">
      <c r="A92" s="2"/>
      <c r="B92" s="361" t="s">
        <v>551</v>
      </c>
      <c r="C92" s="2"/>
      <c r="D92" s="2"/>
    </row>
    <row r="93" spans="1:4">
      <c r="A93" s="2"/>
      <c r="B93" s="361" t="s">
        <v>550</v>
      </c>
      <c r="C93" s="2"/>
      <c r="D93" s="2"/>
    </row>
    <row r="94" spans="1:4">
      <c r="A94" s="2"/>
      <c r="B94" s="361" t="s">
        <v>619</v>
      </c>
      <c r="C94" s="2"/>
      <c r="D94" s="2"/>
    </row>
    <row r="95" spans="1:4">
      <c r="A95" s="2"/>
      <c r="B95" s="361" t="s">
        <v>552</v>
      </c>
      <c r="C95" s="2"/>
      <c r="D95" s="2"/>
    </row>
    <row r="96" spans="1:4">
      <c r="A96" s="2"/>
      <c r="B96" s="361" t="s">
        <v>620</v>
      </c>
      <c r="C96" s="2"/>
      <c r="D96" s="2"/>
    </row>
    <row r="97" spans="1:4">
      <c r="A97" s="2"/>
      <c r="B97" s="361" t="s">
        <v>621</v>
      </c>
      <c r="C97" s="2"/>
      <c r="D97" s="2"/>
    </row>
    <row r="98" spans="1:4">
      <c r="A98" s="2"/>
      <c r="B98" s="361" t="s">
        <v>622</v>
      </c>
      <c r="C98" s="2"/>
      <c r="D98" s="2"/>
    </row>
    <row r="99" spans="1:4">
      <c r="A99" s="2"/>
      <c r="B99" s="361" t="s">
        <v>623</v>
      </c>
      <c r="C99" s="2"/>
      <c r="D99" s="2"/>
    </row>
    <row r="100" spans="1:4">
      <c r="A100" s="2"/>
      <c r="B100" s="361" t="s">
        <v>624</v>
      </c>
      <c r="C100" s="2"/>
      <c r="D100" s="2"/>
    </row>
    <row r="101" spans="1:4">
      <c r="A101" s="2"/>
      <c r="B101" s="3"/>
      <c r="C101" s="2"/>
      <c r="D101" s="2"/>
    </row>
    <row r="102" spans="1:4">
      <c r="A102" s="2"/>
      <c r="B102" s="3"/>
      <c r="C102" s="2"/>
      <c r="D102" s="2"/>
    </row>
    <row r="103" spans="1:4">
      <c r="A103" s="357" t="s">
        <v>613</v>
      </c>
      <c r="B103" s="90" t="s">
        <v>570</v>
      </c>
      <c r="C103" s="2"/>
      <c r="D103" s="2"/>
    </row>
    <row r="104" spans="1:4">
      <c r="A104" s="385"/>
      <c r="B104" s="361" t="s">
        <v>548</v>
      </c>
      <c r="C104" s="2" t="s">
        <v>557</v>
      </c>
      <c r="D104" s="2"/>
    </row>
    <row r="105" spans="1:4">
      <c r="A105" s="357"/>
      <c r="B105" s="361" t="s">
        <v>549</v>
      </c>
      <c r="C105" s="2" t="s">
        <v>571</v>
      </c>
      <c r="D105" s="2"/>
    </row>
    <row r="106" spans="1:4">
      <c r="A106" s="2"/>
      <c r="B106" s="361" t="s">
        <v>551</v>
      </c>
      <c r="C106" s="2"/>
      <c r="D106" s="2"/>
    </row>
    <row r="107" spans="1:4">
      <c r="A107" s="2"/>
      <c r="B107" s="361" t="s">
        <v>550</v>
      </c>
      <c r="C107" s="2"/>
      <c r="D107" s="2"/>
    </row>
    <row r="108" spans="1:4">
      <c r="A108" s="2"/>
      <c r="B108" s="361" t="s">
        <v>619</v>
      </c>
      <c r="C108" s="2"/>
      <c r="D108" s="2"/>
    </row>
    <row r="109" spans="1:4">
      <c r="A109" s="2"/>
      <c r="B109" s="361" t="s">
        <v>552</v>
      </c>
      <c r="C109" s="2"/>
      <c r="D109" s="2"/>
    </row>
    <row r="110" spans="1:4">
      <c r="A110" s="2"/>
      <c r="B110" s="361" t="s">
        <v>620</v>
      </c>
      <c r="C110" s="2"/>
      <c r="D110" s="2"/>
    </row>
    <row r="111" spans="1:4">
      <c r="A111" s="2"/>
      <c r="B111" s="361" t="s">
        <v>621</v>
      </c>
      <c r="C111" s="2"/>
      <c r="D111" s="2"/>
    </row>
    <row r="112" spans="1:4">
      <c r="A112" s="2"/>
      <c r="B112" s="361" t="s">
        <v>622</v>
      </c>
      <c r="C112" s="2"/>
      <c r="D112" s="2"/>
    </row>
    <row r="113" spans="1:4">
      <c r="A113" s="2"/>
      <c r="B113" s="361" t="s">
        <v>623</v>
      </c>
      <c r="C113" s="2"/>
      <c r="D113" s="2"/>
    </row>
    <row r="114" spans="1:4">
      <c r="A114" s="2"/>
      <c r="B114" s="361" t="s">
        <v>624</v>
      </c>
      <c r="C114" s="2"/>
      <c r="D114" s="2"/>
    </row>
    <row r="115" spans="1:4">
      <c r="A115" s="2"/>
      <c r="B115" s="3"/>
      <c r="C115" s="2"/>
      <c r="D115" s="2"/>
    </row>
    <row r="116" spans="1:4">
      <c r="A116" s="357" t="s">
        <v>614</v>
      </c>
      <c r="B116" s="3" t="s">
        <v>576</v>
      </c>
      <c r="C116" s="2"/>
      <c r="D116" s="2"/>
    </row>
    <row r="117" spans="1:4">
      <c r="A117" s="2"/>
      <c r="B117" s="361" t="s">
        <v>575</v>
      </c>
      <c r="C117" s="2" t="s">
        <v>578</v>
      </c>
      <c r="D117" s="2"/>
    </row>
    <row r="118" spans="1:4">
      <c r="A118" s="2"/>
      <c r="B118" s="3"/>
      <c r="C118" s="2" t="s">
        <v>579</v>
      </c>
      <c r="D118" s="2"/>
    </row>
    <row r="119" spans="1:4">
      <c r="A119" s="2"/>
      <c r="B119" s="3"/>
      <c r="C119" s="2"/>
      <c r="D119" s="2"/>
    </row>
    <row r="120" spans="1:4">
      <c r="A120" s="2"/>
      <c r="B120" s="3"/>
      <c r="C120" s="2"/>
      <c r="D120" s="2"/>
    </row>
    <row r="121" spans="1:4">
      <c r="A121" s="2"/>
      <c r="B121" s="3"/>
      <c r="C121" s="2"/>
      <c r="D121" s="2"/>
    </row>
    <row r="122" spans="1:4">
      <c r="A122" s="2"/>
      <c r="B122" s="3" t="s">
        <v>582</v>
      </c>
      <c r="C122" s="2" t="s">
        <v>590</v>
      </c>
      <c r="D122" s="2"/>
    </row>
    <row r="123" spans="1:4">
      <c r="A123" s="357" t="s">
        <v>615</v>
      </c>
      <c r="B123" s="361" t="s">
        <v>625</v>
      </c>
      <c r="C123" s="2" t="s">
        <v>591</v>
      </c>
      <c r="D123" s="2"/>
    </row>
    <row r="124" spans="1:4">
      <c r="A124" s="385"/>
      <c r="B124" s="361" t="s">
        <v>626</v>
      </c>
      <c r="C124" s="2"/>
      <c r="D124" s="2"/>
    </row>
    <row r="125" spans="1:4">
      <c r="A125" s="357"/>
      <c r="B125" s="361" t="s">
        <v>583</v>
      </c>
      <c r="C125" s="2"/>
      <c r="D125" s="2"/>
    </row>
    <row r="126" spans="1:4">
      <c r="A126" s="2"/>
      <c r="B126" s="361" t="s">
        <v>584</v>
      </c>
      <c r="C126" s="2"/>
      <c r="D126" s="2"/>
    </row>
    <row r="127" spans="1:4">
      <c r="A127" s="2"/>
      <c r="B127" s="361"/>
      <c r="C127" s="2"/>
      <c r="D127" s="2"/>
    </row>
    <row r="128" spans="1:4">
      <c r="A128" s="2"/>
      <c r="B128" s="361"/>
      <c r="C128" s="2"/>
      <c r="D128" s="2"/>
    </row>
    <row r="129" spans="1:5">
      <c r="A129" s="2"/>
      <c r="B129" s="3"/>
      <c r="C129" s="2" t="s">
        <v>599</v>
      </c>
      <c r="D129" s="2"/>
    </row>
    <row r="130" spans="1:5">
      <c r="A130" s="2"/>
      <c r="B130" s="3"/>
      <c r="C130" s="2" t="s">
        <v>581</v>
      </c>
      <c r="D130" s="2"/>
    </row>
    <row r="131" spans="1:5">
      <c r="A131" s="2"/>
      <c r="B131" s="3"/>
      <c r="C131" s="2" t="s">
        <v>599</v>
      </c>
      <c r="D131" s="2"/>
      <c r="E131" s="2"/>
    </row>
    <row r="132" spans="1:5">
      <c r="A132" s="2"/>
      <c r="B132" s="3"/>
      <c r="C132" s="2" t="s">
        <v>581</v>
      </c>
      <c r="D132" s="2"/>
      <c r="E132" s="2"/>
    </row>
    <row r="133" spans="1:5">
      <c r="A133" s="2"/>
      <c r="B133" s="3"/>
      <c r="C133" s="2"/>
      <c r="D133" s="2"/>
      <c r="E133" s="2"/>
    </row>
    <row r="134" spans="1:5">
      <c r="A134" s="2"/>
      <c r="B134" s="3"/>
      <c r="C134" s="2"/>
      <c r="D134" s="2"/>
      <c r="E134" s="2"/>
    </row>
    <row r="135" spans="1:5">
      <c r="A135" s="357" t="s">
        <v>618</v>
      </c>
      <c r="B135" s="3" t="s">
        <v>627</v>
      </c>
      <c r="C135" s="2" t="s">
        <v>590</v>
      </c>
      <c r="D135" s="2"/>
      <c r="E135" s="2"/>
    </row>
    <row r="136" spans="1:5">
      <c r="A136" s="2"/>
      <c r="B136" s="361" t="s">
        <v>592</v>
      </c>
      <c r="C136" s="2" t="s">
        <v>581</v>
      </c>
      <c r="D136" s="2"/>
      <c r="E136" s="2"/>
    </row>
    <row r="137" spans="1:5">
      <c r="A137" s="2"/>
      <c r="B137" s="3"/>
      <c r="C137" s="2"/>
      <c r="D137" s="2"/>
      <c r="E137" s="2"/>
    </row>
    <row r="138" spans="1:5">
      <c r="A138" s="2"/>
      <c r="B138" s="3"/>
      <c r="C138" s="2"/>
      <c r="D138" s="2"/>
      <c r="E138" s="2"/>
    </row>
    <row r="139" spans="1:5">
      <c r="A139" s="2"/>
      <c r="B139" s="3"/>
      <c r="C139" s="2"/>
      <c r="D139" s="2"/>
      <c r="E139" s="2"/>
    </row>
    <row r="140" spans="1:5">
      <c r="A140" s="357" t="s">
        <v>628</v>
      </c>
      <c r="B140" s="3" t="s">
        <v>627</v>
      </c>
      <c r="C140" s="2"/>
      <c r="D140" s="2"/>
      <c r="E140" s="2"/>
    </row>
    <row r="141" spans="1:5">
      <c r="A141" s="2"/>
      <c r="B141" s="361" t="s">
        <v>595</v>
      </c>
      <c r="C141" s="2" t="s">
        <v>590</v>
      </c>
      <c r="D141" s="2"/>
      <c r="E141" s="2"/>
    </row>
    <row r="142" spans="1:5">
      <c r="A142" s="2"/>
      <c r="B142" s="3"/>
      <c r="C142" s="2" t="s">
        <v>581</v>
      </c>
      <c r="D142" s="2"/>
      <c r="E142" s="2"/>
    </row>
    <row r="143" spans="1:5">
      <c r="A143" s="2"/>
      <c r="B143" s="3"/>
      <c r="C143" s="2"/>
      <c r="D143" s="2"/>
      <c r="E143" s="2"/>
    </row>
    <row r="144" spans="1:5">
      <c r="D144" s="2"/>
      <c r="E144" s="2"/>
    </row>
    <row r="145" spans="1:5">
      <c r="D145" s="2"/>
      <c r="E145" s="2"/>
    </row>
    <row r="146" spans="1:5">
      <c r="B146" s="131"/>
      <c r="C146" s="2"/>
      <c r="D146" s="2"/>
      <c r="E146" s="2"/>
    </row>
    <row r="147" spans="1:5">
      <c r="B147" s="131"/>
      <c r="C147" s="2"/>
      <c r="D147" s="2"/>
      <c r="E147" s="75"/>
    </row>
    <row r="148" spans="1:5">
      <c r="B148" s="131"/>
      <c r="C148" s="2"/>
      <c r="D148" s="2"/>
      <c r="E148" s="2"/>
    </row>
    <row r="149" spans="1:5">
      <c r="B149" s="131"/>
      <c r="C149" s="2"/>
      <c r="D149" s="2"/>
      <c r="E149" s="2"/>
    </row>
    <row r="150" spans="1:5">
      <c r="B150" s="131"/>
      <c r="C150" s="2"/>
      <c r="D150" s="2"/>
      <c r="E150" s="2"/>
    </row>
    <row r="151" spans="1:5">
      <c r="B151" s="131"/>
      <c r="C151" s="2"/>
      <c r="D151" s="2"/>
      <c r="E151" s="75"/>
    </row>
    <row r="152" spans="1:5">
      <c r="B152" s="131"/>
      <c r="C152" s="2"/>
      <c r="D152" s="2"/>
    </row>
    <row r="153" spans="1:5">
      <c r="B153" s="131"/>
      <c r="C153" s="2"/>
      <c r="D153" s="2"/>
    </row>
    <row r="154" spans="1:5">
      <c r="B154" s="131"/>
      <c r="C154" s="2"/>
      <c r="D154" s="2"/>
    </row>
    <row r="155" spans="1:5">
      <c r="B155" s="131"/>
      <c r="C155" s="2"/>
      <c r="D155" s="2"/>
    </row>
    <row r="156" spans="1:5">
      <c r="B156" s="131"/>
      <c r="C156" s="2"/>
      <c r="D156" s="2"/>
    </row>
    <row r="157" spans="1:5">
      <c r="A157" s="2"/>
      <c r="B157" s="3"/>
      <c r="C157" s="2"/>
      <c r="D157" s="2"/>
    </row>
    <row r="158" spans="1:5">
      <c r="A158" s="2"/>
      <c r="B158" s="3"/>
      <c r="C158" s="2"/>
      <c r="D158" s="2"/>
    </row>
    <row r="159" spans="1:5">
      <c r="A159" s="350"/>
      <c r="B159" s="3"/>
      <c r="C159" s="2"/>
      <c r="D159" s="2"/>
    </row>
    <row r="160" spans="1:5">
      <c r="A160" s="350"/>
      <c r="B160" s="3"/>
      <c r="C160" s="2"/>
      <c r="D160" s="2"/>
    </row>
    <row r="161" spans="3:4">
      <c r="C161" s="2"/>
      <c r="D161" s="2"/>
    </row>
    <row r="162" spans="3:4">
      <c r="C162" s="2"/>
      <c r="D162" s="2"/>
    </row>
    <row r="163" spans="3:4">
      <c r="C163" s="2"/>
      <c r="D163" s="2"/>
    </row>
    <row r="164" spans="3:4">
      <c r="C164" s="2"/>
      <c r="D164" s="2"/>
    </row>
    <row r="165" spans="3:4">
      <c r="C165" s="2"/>
      <c r="D165" s="2"/>
    </row>
    <row r="166" spans="3:4">
      <c r="C166" s="2"/>
      <c r="D166" s="2"/>
    </row>
    <row r="167" spans="3:4">
      <c r="C167" s="2"/>
      <c r="D167" s="2"/>
    </row>
    <row r="168" spans="3:4">
      <c r="C168" s="2"/>
      <c r="D168" s="2"/>
    </row>
    <row r="169" spans="3:4">
      <c r="C169" s="2"/>
      <c r="D169" s="8"/>
    </row>
    <row r="170" spans="3:4">
      <c r="C170" s="2"/>
      <c r="D170" s="8"/>
    </row>
    <row r="171" spans="3:4">
      <c r="C171" s="2"/>
      <c r="D171" s="8"/>
    </row>
    <row r="172" spans="3:4">
      <c r="C172" s="2"/>
      <c r="D172" s="8"/>
    </row>
    <row r="173" spans="3:4">
      <c r="C173" s="2"/>
      <c r="D173" s="8"/>
    </row>
    <row r="174" spans="3:4">
      <c r="C174" s="2"/>
      <c r="D174" s="8"/>
    </row>
    <row r="175" spans="3:4">
      <c r="C175" s="2"/>
      <c r="D175" s="8"/>
    </row>
    <row r="176" spans="3:4">
      <c r="C176" s="2"/>
      <c r="D176" s="8"/>
    </row>
    <row r="177" spans="3:4">
      <c r="C177" s="2"/>
      <c r="D177" s="8"/>
    </row>
    <row r="178" spans="3:4">
      <c r="C178" s="2"/>
      <c r="D178" s="8"/>
    </row>
    <row r="179" spans="3:4">
      <c r="C179" s="2"/>
      <c r="D179" s="8"/>
    </row>
    <row r="180" spans="3:4">
      <c r="C180" s="2"/>
      <c r="D180" s="8"/>
    </row>
    <row r="181" spans="3:4">
      <c r="C181" s="2"/>
      <c r="D181" s="8"/>
    </row>
    <row r="182" spans="3:4">
      <c r="C182" s="2"/>
      <c r="D182" s="8"/>
    </row>
    <row r="183" spans="3:4">
      <c r="C183" s="2"/>
      <c r="D183" s="8"/>
    </row>
    <row r="184" spans="3:4">
      <c r="C184" s="2"/>
      <c r="D184" s="8"/>
    </row>
    <row r="185" spans="3:4">
      <c r="C185" s="2"/>
      <c r="D185" s="8"/>
    </row>
    <row r="186" spans="3:4">
      <c r="C186" s="2"/>
      <c r="D186" s="8"/>
    </row>
    <row r="187" spans="3:4">
      <c r="C187" s="2"/>
      <c r="D187" s="8"/>
    </row>
    <row r="188" spans="3:4">
      <c r="C188" s="2"/>
    </row>
    <row r="189" spans="3:4">
      <c r="C189" s="2"/>
    </row>
    <row r="190" spans="3:4">
      <c r="C190" s="2"/>
    </row>
    <row r="191" spans="3:4">
      <c r="C191" s="2"/>
    </row>
    <row r="192" spans="3:4">
      <c r="C192" s="2"/>
    </row>
    <row r="193" spans="3:3">
      <c r="C193" s="2"/>
    </row>
    <row r="194" spans="3:3">
      <c r="C194" s="2"/>
    </row>
    <row r="195" spans="3:3">
      <c r="C195" s="2"/>
    </row>
    <row r="196" spans="3:3">
      <c r="C196" s="2"/>
    </row>
    <row r="197" spans="3:3">
      <c r="C197" s="2"/>
    </row>
    <row r="198" spans="3:3">
      <c r="C198" s="2"/>
    </row>
    <row r="199" spans="3:3">
      <c r="C199" s="2"/>
    </row>
    <row r="200" spans="3:3">
      <c r="C200" s="2"/>
    </row>
    <row r="201" spans="3:3">
      <c r="C201" s="2"/>
    </row>
    <row r="202" spans="3:3">
      <c r="C202" s="2"/>
    </row>
    <row r="203" spans="3:3">
      <c r="C203" s="2"/>
    </row>
    <row r="204" spans="3:3">
      <c r="C204" s="2"/>
    </row>
    <row r="205" spans="3:3">
      <c r="C205" s="2"/>
    </row>
    <row r="206" spans="3:3">
      <c r="C206" s="2"/>
    </row>
    <row r="207" spans="3:3">
      <c r="C207" s="2"/>
    </row>
    <row r="208" spans="3:3">
      <c r="C208" s="2"/>
    </row>
    <row r="209" spans="3:3">
      <c r="C209" s="2"/>
    </row>
    <row r="210" spans="3:3">
      <c r="C210" s="2"/>
    </row>
  </sheetData>
  <mergeCells count="15">
    <mergeCell ref="AN1:AW1"/>
    <mergeCell ref="AX1:BE1"/>
    <mergeCell ref="BF1:BJ1"/>
    <mergeCell ref="U1:AD1"/>
    <mergeCell ref="BI2:BJ2"/>
    <mergeCell ref="AV2:AW2"/>
    <mergeCell ref="A43:D43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68"/>
  <sheetViews>
    <sheetView workbookViewId="0">
      <pane ySplit="2" topLeftCell="A112" activePane="bottomLeft" state="frozen"/>
      <selection pane="bottomLeft" activeCell="A49" sqref="A49:C158"/>
    </sheetView>
  </sheetViews>
  <sheetFormatPr defaultRowHeight="11.25"/>
  <cols>
    <col min="1" max="1" width="7.5703125" style="8" customWidth="1"/>
    <col min="2" max="2" width="84.140625" style="88" customWidth="1"/>
    <col min="3" max="3" width="7.5703125" style="3" customWidth="1"/>
    <col min="4" max="4" width="7.2851562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9" width="8.85546875" style="2" customWidth="1"/>
    <col min="20" max="20" width="9.85546875" style="2" customWidth="1"/>
    <col min="21" max="21" width="8.85546875" style="2" customWidth="1"/>
    <col min="22" max="22" width="12" style="2" customWidth="1"/>
    <col min="23" max="23" width="62.7109375" style="81" customWidth="1"/>
    <col min="24" max="24" width="7.42578125" style="81" customWidth="1"/>
    <col min="25" max="25" width="11.42578125" style="81" bestFit="1" customWidth="1"/>
    <col min="26" max="26" width="13" style="81" customWidth="1"/>
    <col min="27" max="16384" width="9.140625" style="3"/>
  </cols>
  <sheetData>
    <row r="1" spans="1:26" s="4" customFormat="1" ht="15.75" customHeight="1">
      <c r="A1" s="789" t="s">
        <v>31</v>
      </c>
      <c r="B1" s="790"/>
      <c r="C1" s="790"/>
      <c r="D1" s="791"/>
      <c r="E1" s="792" t="s">
        <v>164</v>
      </c>
      <c r="F1" s="793"/>
      <c r="G1" s="793"/>
      <c r="H1" s="793"/>
      <c r="I1" s="784" t="s">
        <v>158</v>
      </c>
      <c r="J1" s="784"/>
      <c r="K1" s="784"/>
      <c r="L1" s="784"/>
      <c r="M1" s="784"/>
      <c r="N1" s="784"/>
      <c r="O1" s="784"/>
      <c r="P1" s="784"/>
      <c r="Q1" s="784"/>
      <c r="R1" s="784"/>
      <c r="S1" s="784"/>
      <c r="T1" s="784"/>
      <c r="U1" s="784"/>
      <c r="V1" s="784"/>
      <c r="W1" s="785" t="s">
        <v>29</v>
      </c>
      <c r="X1" s="786"/>
      <c r="Y1" s="786"/>
      <c r="Z1" s="786"/>
    </row>
    <row r="2" spans="1:26" s="4" customFormat="1" ht="23.25" thickBot="1">
      <c r="A2" s="10" t="s">
        <v>19</v>
      </c>
      <c r="B2" s="138" t="s">
        <v>0</v>
      </c>
      <c r="C2" s="55" t="s">
        <v>11</v>
      </c>
      <c r="D2" s="139" t="s">
        <v>12</v>
      </c>
      <c r="E2" s="41" t="s">
        <v>476</v>
      </c>
      <c r="F2" s="794" t="s">
        <v>29</v>
      </c>
      <c r="G2" s="795"/>
      <c r="H2" s="796"/>
      <c r="I2" s="41" t="s">
        <v>87</v>
      </c>
      <c r="J2" s="55" t="s">
        <v>88</v>
      </c>
      <c r="K2" s="55"/>
      <c r="L2" s="41" t="s">
        <v>232</v>
      </c>
      <c r="M2" s="41" t="s">
        <v>233</v>
      </c>
      <c r="N2" s="41" t="s">
        <v>234</v>
      </c>
      <c r="O2" s="55" t="s">
        <v>519</v>
      </c>
      <c r="P2" s="55" t="s">
        <v>36</v>
      </c>
      <c r="Q2" s="55" t="s">
        <v>520</v>
      </c>
      <c r="R2" s="55"/>
      <c r="S2" s="55" t="s">
        <v>521</v>
      </c>
      <c r="T2" s="55" t="s">
        <v>522</v>
      </c>
      <c r="U2" s="55" t="s">
        <v>523</v>
      </c>
      <c r="V2" s="55" t="s">
        <v>47</v>
      </c>
      <c r="W2" s="787"/>
      <c r="X2" s="788"/>
      <c r="Y2" s="788"/>
      <c r="Z2" s="788"/>
    </row>
    <row r="3" spans="1:26" s="5" customFormat="1">
      <c r="A3" s="546" t="str">
        <f>'1-συμβολαια'!A3</f>
        <v>10ο</v>
      </c>
      <c r="B3" s="321" t="str">
        <f>'1-συμβολαια'!C3</f>
        <v>κληρονομιάς ΑΠΟΔΟΧΗ</v>
      </c>
      <c r="C3" s="261" t="str">
        <f>'4-πολλυπρ'!D3</f>
        <v>219-17</v>
      </c>
      <c r="D3" s="261" t="str">
        <f>'4-πολλυπρ'!I3</f>
        <v>219-17</v>
      </c>
      <c r="E3" s="322">
        <v>6.46</v>
      </c>
      <c r="F3" s="342" t="s">
        <v>529</v>
      </c>
      <c r="G3" s="342" t="s">
        <v>530</v>
      </c>
      <c r="H3" s="322"/>
      <c r="I3" s="322">
        <v>5.87</v>
      </c>
      <c r="J3" s="322">
        <v>5.87</v>
      </c>
      <c r="K3" s="322"/>
      <c r="L3" s="322">
        <f>5*5*3.23</f>
        <v>80.75</v>
      </c>
      <c r="M3" s="322"/>
      <c r="N3" s="322"/>
      <c r="O3" s="322">
        <f>4*5*3.23</f>
        <v>64.599999999999994</v>
      </c>
      <c r="P3" s="316">
        <f t="shared" ref="P3:Q4" si="0">5*3.23</f>
        <v>16.149999999999999</v>
      </c>
      <c r="Q3" s="316">
        <f t="shared" si="0"/>
        <v>16.149999999999999</v>
      </c>
      <c r="R3" s="322"/>
      <c r="S3" s="322">
        <f>12*1.47</f>
        <v>17.64</v>
      </c>
      <c r="T3" s="322">
        <f>69*3.23</f>
        <v>222.87</v>
      </c>
      <c r="U3" s="322"/>
      <c r="V3" s="322">
        <f>SUM(I3:U3)</f>
        <v>429.9</v>
      </c>
      <c r="W3" s="328"/>
      <c r="X3" s="328"/>
      <c r="Y3" s="396"/>
      <c r="Z3" s="263"/>
    </row>
    <row r="4" spans="1:26" s="5" customFormat="1">
      <c r="A4" s="546">
        <f>'1-συμβολαια'!A4</f>
        <v>0</v>
      </c>
      <c r="B4" s="321" t="str">
        <f>'1-συμβολαια'!C4</f>
        <v>ΧΡΗΣΙΚΤΗΣΙΑ οικοπέδου &amp; οικοδομής = 1992 αδερφού ΚΛΗΡΟΝΟΜΙΑ άτυπη</v>
      </c>
      <c r="C4" s="261">
        <f>'4-πολλυπρ'!D4</f>
        <v>0</v>
      </c>
      <c r="D4" s="261" t="str">
        <f>'4-πολλυπρ'!I4</f>
        <v>219-17</v>
      </c>
      <c r="E4" s="316">
        <v>6.46</v>
      </c>
      <c r="F4" s="340" t="s">
        <v>529</v>
      </c>
      <c r="G4" s="340" t="s">
        <v>530</v>
      </c>
      <c r="H4" s="316"/>
      <c r="I4" s="316"/>
      <c r="J4" s="316"/>
      <c r="K4" s="316"/>
      <c r="L4" s="316"/>
      <c r="M4" s="316"/>
      <c r="N4" s="316"/>
      <c r="O4" s="316">
        <f>5*3.23</f>
        <v>16.149999999999999</v>
      </c>
      <c r="P4" s="316">
        <f t="shared" si="0"/>
        <v>16.149999999999999</v>
      </c>
      <c r="Q4" s="316">
        <f t="shared" si="0"/>
        <v>16.149999999999999</v>
      </c>
      <c r="R4" s="316"/>
      <c r="S4" s="316">
        <f>4*1.47</f>
        <v>5.88</v>
      </c>
      <c r="T4" s="322">
        <f>34*3.23</f>
        <v>109.82</v>
      </c>
      <c r="U4" s="322"/>
      <c r="V4" s="322">
        <f t="shared" ref="V4:V42" si="1">SUM(I4:U4)</f>
        <v>164.14999999999998</v>
      </c>
      <c r="W4" s="328"/>
      <c r="X4" s="328"/>
      <c r="Y4" s="396"/>
      <c r="Z4" s="263"/>
    </row>
    <row r="5" spans="1:26" s="5" customFormat="1">
      <c r="A5" s="546">
        <f>'1-συμβολαια'!A5</f>
        <v>0</v>
      </c>
      <c r="B5" s="321" t="str">
        <f>'1-συμβολαια'!C5</f>
        <v>ΧΡΗΣΙΚΤΗΣΙΑ οικοπέδων 2'-3' = 1992 αδερφού ΚΛΗΡΟΝΟΜΙΑ άτυπη</v>
      </c>
      <c r="C5" s="261">
        <f>'4-πολλυπρ'!D5</f>
        <v>0</v>
      </c>
      <c r="D5" s="261" t="str">
        <f>'4-πολλυπρ'!I5</f>
        <v>219-17</v>
      </c>
      <c r="E5" s="316">
        <v>6.46</v>
      </c>
      <c r="F5" s="340" t="s">
        <v>529</v>
      </c>
      <c r="G5" s="340" t="s">
        <v>530</v>
      </c>
      <c r="H5" s="316"/>
      <c r="I5" s="316"/>
      <c r="J5" s="316"/>
      <c r="K5" s="316"/>
      <c r="L5" s="316"/>
      <c r="M5" s="316"/>
      <c r="N5" s="316"/>
      <c r="O5" s="316">
        <f>10*3.23</f>
        <v>32.299999999999997</v>
      </c>
      <c r="P5" s="316">
        <f>10*3.23</f>
        <v>32.299999999999997</v>
      </c>
      <c r="Q5" s="316"/>
      <c r="R5" s="316"/>
      <c r="S5" s="316">
        <f>5*1.47</f>
        <v>7.35</v>
      </c>
      <c r="T5" s="316">
        <f>24*3.23</f>
        <v>77.52</v>
      </c>
      <c r="U5" s="322"/>
      <c r="V5" s="322">
        <f t="shared" si="1"/>
        <v>149.46999999999997</v>
      </c>
      <c r="W5" s="328"/>
      <c r="X5" s="328"/>
      <c r="Y5" s="396"/>
      <c r="Z5" s="263"/>
    </row>
    <row r="6" spans="1:26" s="5" customFormat="1">
      <c r="A6" s="546">
        <f>'1-συμβολαια'!A6</f>
        <v>0</v>
      </c>
      <c r="B6" s="321" t="str">
        <f>'1-συμβολαια'!C6</f>
        <v>ΧΡΗΣΙΚΤΗΣΙΑ αγροτεμαχίου 9' = 1968 μητρός ΚΛΗΡΟΝΟΜΙΑ άτυπη</v>
      </c>
      <c r="C6" s="261">
        <f>'4-πολλυπρ'!D6</f>
        <v>0</v>
      </c>
      <c r="D6" s="261" t="str">
        <f>'4-πολλυπρ'!I6</f>
        <v>219-17</v>
      </c>
      <c r="E6" s="316">
        <v>6.46</v>
      </c>
      <c r="F6" s="340" t="s">
        <v>529</v>
      </c>
      <c r="G6" s="340" t="s">
        <v>530</v>
      </c>
      <c r="H6" s="316"/>
      <c r="I6" s="316"/>
      <c r="J6" s="316"/>
      <c r="K6" s="316"/>
      <c r="L6" s="316">
        <f>5*3.23</f>
        <v>16.149999999999999</v>
      </c>
      <c r="M6" s="316"/>
      <c r="N6" s="316"/>
      <c r="O6" s="316"/>
      <c r="P6" s="316"/>
      <c r="Q6" s="316"/>
      <c r="R6" s="316"/>
      <c r="S6" s="316">
        <f>2*1.47</f>
        <v>2.94</v>
      </c>
      <c r="T6" s="316">
        <f>14*3.23</f>
        <v>45.22</v>
      </c>
      <c r="U6" s="322"/>
      <c r="V6" s="322">
        <f t="shared" si="1"/>
        <v>64.31</v>
      </c>
      <c r="W6" s="328"/>
      <c r="X6" s="328"/>
      <c r="Y6" s="396"/>
      <c r="Z6" s="263"/>
    </row>
    <row r="7" spans="1:26" s="5" customFormat="1">
      <c r="A7" s="546">
        <f>'1-συμβολαια'!A7</f>
        <v>0</v>
      </c>
      <c r="B7" s="321" t="str">
        <f>'1-συμβολαια'!C7</f>
        <v>ΧΡΗΣΙΚΤΗΣΙΑ οικοπέδου 4' = 19?? ΑΓΟΡΑΠΩΛΗΣΙΑ άτυπη</v>
      </c>
      <c r="C7" s="261">
        <f>'4-πολλυπρ'!D7</f>
        <v>0</v>
      </c>
      <c r="D7" s="261" t="str">
        <f>'4-πολλυπρ'!I7</f>
        <v>219-17</v>
      </c>
      <c r="E7" s="316">
        <v>6.46</v>
      </c>
      <c r="F7" s="340" t="s">
        <v>529</v>
      </c>
      <c r="G7" s="340" t="s">
        <v>530</v>
      </c>
      <c r="H7" s="316"/>
      <c r="I7" s="316"/>
      <c r="J7" s="316"/>
      <c r="K7" s="316"/>
      <c r="L7" s="316"/>
      <c r="M7" s="316"/>
      <c r="N7" s="316"/>
      <c r="O7" s="316">
        <f>5*3.23</f>
        <v>16.149999999999999</v>
      </c>
      <c r="P7" s="316">
        <f t="shared" ref="P7" si="2">5*3.23</f>
        <v>16.149999999999999</v>
      </c>
      <c r="Q7" s="316"/>
      <c r="R7" s="316"/>
      <c r="S7" s="316">
        <f>3*1.47</f>
        <v>4.41</v>
      </c>
      <c r="T7" s="316">
        <f>24*3.23</f>
        <v>77.52</v>
      </c>
      <c r="U7" s="322"/>
      <c r="V7" s="322">
        <f t="shared" si="1"/>
        <v>114.22999999999999</v>
      </c>
      <c r="W7" s="328"/>
      <c r="X7" s="328"/>
      <c r="Y7" s="396"/>
      <c r="Z7" s="263"/>
    </row>
    <row r="8" spans="1:26" s="5" customFormat="1" ht="12" thickBot="1">
      <c r="A8" s="550">
        <f>'1-συμβολαια'!A8</f>
        <v>0</v>
      </c>
      <c r="B8" s="551" t="str">
        <f>'1-συμβολαια'!C8</f>
        <v>ΧΡΗΣΙΚΤΗΣΙΑ αγροτεμαχίου 8' = 19??? ΑΓΟΡΑΠΩΛΗΣΙΑ άτυπη</v>
      </c>
      <c r="C8" s="461">
        <f>'4-πολλυπρ'!D8</f>
        <v>0</v>
      </c>
      <c r="D8" s="461" t="str">
        <f>'4-πολλυπρ'!I8</f>
        <v>219-17</v>
      </c>
      <c r="E8" s="414">
        <v>6.46</v>
      </c>
      <c r="F8" s="553" t="s">
        <v>529</v>
      </c>
      <c r="G8" s="553" t="s">
        <v>530</v>
      </c>
      <c r="H8" s="414"/>
      <c r="I8" s="414"/>
      <c r="J8" s="414"/>
      <c r="K8" s="414"/>
      <c r="L8" s="414">
        <f>5*3.23</f>
        <v>16.149999999999999</v>
      </c>
      <c r="M8" s="414"/>
      <c r="N8" s="414"/>
      <c r="O8" s="414"/>
      <c r="P8" s="414"/>
      <c r="Q8" s="414"/>
      <c r="R8" s="414"/>
      <c r="S8" s="414">
        <f>2*1.47</f>
        <v>2.94</v>
      </c>
      <c r="T8" s="414">
        <f>14*3.23</f>
        <v>45.22</v>
      </c>
      <c r="U8" s="414"/>
      <c r="V8" s="414">
        <f t="shared" si="1"/>
        <v>64.31</v>
      </c>
      <c r="W8" s="504"/>
      <c r="X8" s="328"/>
      <c r="Y8" s="396"/>
      <c r="Z8" s="263"/>
    </row>
    <row r="9" spans="1:26" s="5" customFormat="1">
      <c r="A9" s="549" t="str">
        <f>'1-συμβολαια'!A9</f>
        <v>11ο</v>
      </c>
      <c r="B9" s="321" t="str">
        <f>'1-συμβολαια'!C9</f>
        <v>κληρονομιάς ΑΠΟΔΟΧΗ</v>
      </c>
      <c r="C9" s="323" t="str">
        <f>'4-πολλυπρ'!D9</f>
        <v>219-17</v>
      </c>
      <c r="D9" s="323" t="str">
        <f>'4-πολλυπρ'!I9</f>
        <v>219-17</v>
      </c>
      <c r="E9" s="322">
        <v>6.46</v>
      </c>
      <c r="F9" s="342" t="s">
        <v>529</v>
      </c>
      <c r="G9" s="342" t="s">
        <v>530</v>
      </c>
      <c r="H9" s="322"/>
      <c r="I9" s="322"/>
      <c r="J9" s="322"/>
      <c r="K9" s="322"/>
      <c r="L9" s="322">
        <f>5*5*3.23</f>
        <v>80.75</v>
      </c>
      <c r="M9" s="322"/>
      <c r="N9" s="322"/>
      <c r="O9" s="322">
        <f>4*5*3.23</f>
        <v>64.599999999999994</v>
      </c>
      <c r="P9" s="316">
        <f t="shared" ref="P9:Q9" si="3">5*3.23</f>
        <v>16.149999999999999</v>
      </c>
      <c r="Q9" s="316">
        <f t="shared" si="3"/>
        <v>16.149999999999999</v>
      </c>
      <c r="R9" s="322"/>
      <c r="S9" s="322">
        <f>12*1.47</f>
        <v>17.64</v>
      </c>
      <c r="T9" s="322">
        <f>69*3.23</f>
        <v>222.87</v>
      </c>
      <c r="U9" s="322"/>
      <c r="V9" s="322">
        <f t="shared" si="1"/>
        <v>418.16</v>
      </c>
      <c r="W9" s="502"/>
      <c r="X9" s="328"/>
      <c r="Y9" s="396"/>
      <c r="Z9" s="263"/>
    </row>
    <row r="10" spans="1:26" s="5" customFormat="1">
      <c r="A10" s="548">
        <f>'1-συμβολαια'!A10</f>
        <v>0</v>
      </c>
      <c r="B10" s="321" t="str">
        <f>'1-συμβολαια'!C10</f>
        <v>ΧΡΗΣΙΚΤΗΣΙΑ οικοπέδου &amp; οικοδομής = 1992 αδερφού ΚΛΗΡΟΝΟΜΙΑ άτυπη</v>
      </c>
      <c r="C10" s="261">
        <f>'4-πολλυπρ'!D10</f>
        <v>0</v>
      </c>
      <c r="D10" s="261" t="str">
        <f>'4-πολλυπρ'!I10</f>
        <v>219-17</v>
      </c>
      <c r="E10" s="316"/>
      <c r="F10" s="340" t="s">
        <v>529</v>
      </c>
      <c r="G10" s="340" t="s">
        <v>530</v>
      </c>
      <c r="H10" s="316"/>
      <c r="I10" s="316"/>
      <c r="J10" s="316"/>
      <c r="K10" s="316"/>
      <c r="L10" s="316"/>
      <c r="M10" s="316"/>
      <c r="N10" s="316"/>
      <c r="O10" s="316"/>
      <c r="P10" s="316"/>
      <c r="Q10" s="316"/>
      <c r="R10" s="316"/>
      <c r="S10" s="316"/>
      <c r="T10" s="316"/>
      <c r="U10" s="322"/>
      <c r="V10" s="322">
        <f t="shared" si="1"/>
        <v>0</v>
      </c>
      <c r="W10" s="328"/>
      <c r="X10" s="328"/>
      <c r="Y10" s="396"/>
      <c r="Z10" s="263"/>
    </row>
    <row r="11" spans="1:26" s="5" customFormat="1">
      <c r="A11" s="548">
        <f>'1-συμβολαια'!A11</f>
        <v>0</v>
      </c>
      <c r="B11" s="321" t="str">
        <f>'1-συμβολαια'!C11</f>
        <v>ΧΡΗΣΙΚΤΗΣΙΑ οικοπέδων 2'-3' = 1992 αδερφού ΚΛΗΡΟΝΟΜΙΑ άτυπη</v>
      </c>
      <c r="C11" s="261">
        <f>'4-πολλυπρ'!D11</f>
        <v>0</v>
      </c>
      <c r="D11" s="261" t="str">
        <f>'4-πολλυπρ'!I11</f>
        <v>219-17</v>
      </c>
      <c r="E11" s="316"/>
      <c r="F11" s="340" t="s">
        <v>529</v>
      </c>
      <c r="G11" s="340" t="s">
        <v>530</v>
      </c>
      <c r="H11" s="316"/>
      <c r="I11" s="316"/>
      <c r="J11" s="316"/>
      <c r="K11" s="316"/>
      <c r="L11" s="316"/>
      <c r="M11" s="316"/>
      <c r="N11" s="316"/>
      <c r="O11" s="316"/>
      <c r="P11" s="316"/>
      <c r="Q11" s="316"/>
      <c r="R11" s="316"/>
      <c r="S11" s="316"/>
      <c r="T11" s="316"/>
      <c r="U11" s="322"/>
      <c r="V11" s="322">
        <f t="shared" si="1"/>
        <v>0</v>
      </c>
      <c r="W11" s="328"/>
      <c r="X11" s="328"/>
      <c r="Y11" s="396"/>
      <c r="Z11" s="263"/>
    </row>
    <row r="12" spans="1:26" s="5" customFormat="1">
      <c r="A12" s="548">
        <f>'1-συμβολαια'!A12</f>
        <v>0</v>
      </c>
      <c r="B12" s="321" t="str">
        <f>'1-συμβολαια'!C12</f>
        <v>ΧΡΗΣΙΚΤΗΣΙΑ αγροτεμαχίου 9' = 1968 μητρός ΚΛΗΡΟΝΟΜΙΑ άτυπη</v>
      </c>
      <c r="C12" s="261">
        <f>'4-πολλυπρ'!D12</f>
        <v>0</v>
      </c>
      <c r="D12" s="261" t="str">
        <f>'4-πολλυπρ'!I12</f>
        <v>219-17</v>
      </c>
      <c r="E12" s="316"/>
      <c r="F12" s="340" t="s">
        <v>529</v>
      </c>
      <c r="G12" s="340" t="s">
        <v>530</v>
      </c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22"/>
      <c r="V12" s="322">
        <f t="shared" si="1"/>
        <v>0</v>
      </c>
      <c r="W12" s="328"/>
      <c r="X12" s="328"/>
      <c r="Y12" s="396"/>
      <c r="Z12" s="263"/>
    </row>
    <row r="13" spans="1:26" s="5" customFormat="1">
      <c r="A13" s="548">
        <f>'1-συμβολαια'!A13</f>
        <v>0</v>
      </c>
      <c r="B13" s="321" t="str">
        <f>'1-συμβολαια'!C13</f>
        <v>ΧΡΗΣΙΚΤΗΣΙΑ οικοπέδου 4' = 19?? ΑΓΟΡΑΠΩΛΗΣΙΑ άτυπη</v>
      </c>
      <c r="C13" s="261">
        <f>'4-πολλυπρ'!D13</f>
        <v>0</v>
      </c>
      <c r="D13" s="261" t="str">
        <f>'4-πολλυπρ'!I13</f>
        <v>219-17</v>
      </c>
      <c r="E13" s="316"/>
      <c r="F13" s="340" t="s">
        <v>529</v>
      </c>
      <c r="G13" s="340" t="s">
        <v>530</v>
      </c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22"/>
      <c r="V13" s="322">
        <f t="shared" si="1"/>
        <v>0</v>
      </c>
      <c r="W13" s="328"/>
      <c r="X13" s="328"/>
      <c r="Y13" s="396"/>
      <c r="Z13" s="263"/>
    </row>
    <row r="14" spans="1:26" s="5" customFormat="1" ht="12" thickBot="1">
      <c r="A14" s="555">
        <f>'1-συμβολαια'!A14</f>
        <v>0</v>
      </c>
      <c r="B14" s="551" t="str">
        <f>'1-συμβολαια'!C14</f>
        <v>ΧΡΗΣΙΚΤΗΣΙΑ αγροτεμαχίου 8' = 19??? ΑΓΟΡΑΠΩΛΗΣΙΑ άτυπη</v>
      </c>
      <c r="C14" s="461">
        <f>'4-πολλυπρ'!D14</f>
        <v>0</v>
      </c>
      <c r="D14" s="461" t="str">
        <f>'4-πολλυπρ'!I14</f>
        <v>219-17</v>
      </c>
      <c r="E14" s="414"/>
      <c r="F14" s="553" t="s">
        <v>529</v>
      </c>
      <c r="G14" s="553" t="s">
        <v>530</v>
      </c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414"/>
      <c r="S14" s="414"/>
      <c r="T14" s="414"/>
      <c r="U14" s="414"/>
      <c r="V14" s="414">
        <f t="shared" si="1"/>
        <v>0</v>
      </c>
      <c r="W14" s="504"/>
      <c r="X14" s="328"/>
      <c r="Y14" s="396"/>
      <c r="Z14" s="263"/>
    </row>
    <row r="15" spans="1:26" s="5" customFormat="1">
      <c r="A15" s="554" t="str">
        <f>'1-συμβολαια'!A15</f>
        <v>12ο</v>
      </c>
      <c r="B15" s="321" t="str">
        <f>'1-συμβολαια'!C15</f>
        <v>κληρονομιάς ΑΠΟΔΟΧΗ</v>
      </c>
      <c r="C15" s="323" t="str">
        <f>'4-πολλυπρ'!D15</f>
        <v>219-17</v>
      </c>
      <c r="D15" s="323" t="str">
        <f>'4-πολλυπρ'!I15</f>
        <v>219-17</v>
      </c>
      <c r="E15" s="322">
        <v>6.46</v>
      </c>
      <c r="F15" s="342" t="s">
        <v>529</v>
      </c>
      <c r="G15" s="342" t="s">
        <v>530</v>
      </c>
      <c r="H15" s="322"/>
      <c r="I15" s="322"/>
      <c r="J15" s="322"/>
      <c r="K15" s="322"/>
      <c r="L15" s="322">
        <f>5*5*3.23</f>
        <v>80.75</v>
      </c>
      <c r="M15" s="322"/>
      <c r="N15" s="322"/>
      <c r="O15" s="322">
        <f>4*5*3.23</f>
        <v>64.599999999999994</v>
      </c>
      <c r="P15" s="316">
        <f t="shared" ref="P15:Q15" si="4">5*3.23</f>
        <v>16.149999999999999</v>
      </c>
      <c r="Q15" s="316">
        <f t="shared" si="4"/>
        <v>16.149999999999999</v>
      </c>
      <c r="R15" s="322"/>
      <c r="S15" s="322">
        <f>12*1.47</f>
        <v>17.64</v>
      </c>
      <c r="T15" s="322">
        <f>69*3.23</f>
        <v>222.87</v>
      </c>
      <c r="U15" s="322"/>
      <c r="V15" s="322">
        <f t="shared" si="1"/>
        <v>418.16</v>
      </c>
      <c r="W15" s="502"/>
      <c r="X15" s="328"/>
      <c r="Y15" s="396"/>
      <c r="Z15" s="263"/>
    </row>
    <row r="16" spans="1:26" s="5" customFormat="1">
      <c r="A16" s="546">
        <f>'1-συμβολαια'!A16</f>
        <v>0</v>
      </c>
      <c r="B16" s="321" t="str">
        <f>'1-συμβολαια'!C16</f>
        <v>ΧΡΗΣΙΚΤΗΣΙΑ οικοπέδου &amp; οικοδομής = 1992 αδερφού ΚΛΗΡΟΝΟΜΙΑ άτυπη</v>
      </c>
      <c r="C16" s="261">
        <f>'4-πολλυπρ'!D16</f>
        <v>0</v>
      </c>
      <c r="D16" s="261" t="str">
        <f>'4-πολλυπρ'!I16</f>
        <v>219-17</v>
      </c>
      <c r="E16" s="316"/>
      <c r="F16" s="340" t="s">
        <v>529</v>
      </c>
      <c r="G16" s="340" t="s">
        <v>530</v>
      </c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22"/>
      <c r="V16" s="322">
        <f t="shared" si="1"/>
        <v>0</v>
      </c>
      <c r="W16" s="328"/>
      <c r="X16" s="328"/>
      <c r="Y16" s="396"/>
      <c r="Z16" s="263"/>
    </row>
    <row r="17" spans="1:26" s="5" customFormat="1">
      <c r="A17" s="546">
        <f>'1-συμβολαια'!A17</f>
        <v>0</v>
      </c>
      <c r="B17" s="321" t="str">
        <f>'1-συμβολαια'!C17</f>
        <v>ΧΡΗΣΙΚΤΗΣΙΑ οικοπέδων 2'-3' = 1992 αδερφού ΚΛΗΡΟΝΟΜΙΑ άτυπη</v>
      </c>
      <c r="C17" s="261">
        <f>'4-πολλυπρ'!D17</f>
        <v>0</v>
      </c>
      <c r="D17" s="261" t="str">
        <f>'4-πολλυπρ'!I17</f>
        <v>219-17</v>
      </c>
      <c r="E17" s="316"/>
      <c r="F17" s="340" t="s">
        <v>529</v>
      </c>
      <c r="G17" s="340" t="s">
        <v>530</v>
      </c>
      <c r="H17" s="316"/>
      <c r="I17" s="316"/>
      <c r="J17" s="316"/>
      <c r="K17" s="316"/>
      <c r="L17" s="316"/>
      <c r="M17" s="316"/>
      <c r="N17" s="316"/>
      <c r="O17" s="316"/>
      <c r="P17" s="316"/>
      <c r="Q17" s="316"/>
      <c r="R17" s="316"/>
      <c r="S17" s="316"/>
      <c r="T17" s="316"/>
      <c r="U17" s="322"/>
      <c r="V17" s="322">
        <f t="shared" si="1"/>
        <v>0</v>
      </c>
      <c r="W17" s="328"/>
      <c r="X17" s="328"/>
      <c r="Y17" s="396"/>
      <c r="Z17" s="263"/>
    </row>
    <row r="18" spans="1:26" s="5" customFormat="1">
      <c r="A18" s="546">
        <f>'1-συμβολαια'!A18</f>
        <v>0</v>
      </c>
      <c r="B18" s="321" t="str">
        <f>'1-συμβολαια'!C18</f>
        <v>ΧΡΗΣΙΚΤΗΣΙΑ αγροτεμαχίου 9' = 1968 μητρός ΚΛΗΡΟΝΟΜΙΑ άτυπη</v>
      </c>
      <c r="C18" s="261">
        <f>'4-πολλυπρ'!D18</f>
        <v>0</v>
      </c>
      <c r="D18" s="261" t="str">
        <f>'4-πολλυπρ'!I18</f>
        <v>219-17</v>
      </c>
      <c r="E18" s="316"/>
      <c r="F18" s="340" t="s">
        <v>529</v>
      </c>
      <c r="G18" s="340" t="s">
        <v>530</v>
      </c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22"/>
      <c r="V18" s="322">
        <f t="shared" si="1"/>
        <v>0</v>
      </c>
      <c r="W18" s="328"/>
      <c r="X18" s="328"/>
      <c r="Y18" s="396"/>
      <c r="Z18" s="263"/>
    </row>
    <row r="19" spans="1:26" s="5" customFormat="1">
      <c r="A19" s="546">
        <f>'1-συμβολαια'!A19</f>
        <v>0</v>
      </c>
      <c r="B19" s="321" t="str">
        <f>'1-συμβολαια'!C19</f>
        <v>ΧΡΗΣΙΚΤΗΣΙΑ οικοπέδου 4' = 19?? ΑΓΟΡΑΠΩΛΗΣΙΑ άτυπη</v>
      </c>
      <c r="C19" s="261">
        <f>'4-πολλυπρ'!D19</f>
        <v>0</v>
      </c>
      <c r="D19" s="261" t="str">
        <f>'4-πολλυπρ'!I19</f>
        <v>219-17</v>
      </c>
      <c r="E19" s="316"/>
      <c r="F19" s="340" t="s">
        <v>529</v>
      </c>
      <c r="G19" s="340" t="s">
        <v>530</v>
      </c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22"/>
      <c r="V19" s="322">
        <f t="shared" si="1"/>
        <v>0</v>
      </c>
      <c r="W19" s="328"/>
      <c r="X19" s="328"/>
      <c r="Y19" s="396"/>
      <c r="Z19" s="263"/>
    </row>
    <row r="20" spans="1:26" s="5" customFormat="1" ht="12" thickBot="1">
      <c r="A20" s="550">
        <f>'1-συμβολαια'!A20</f>
        <v>0</v>
      </c>
      <c r="B20" s="551" t="str">
        <f>'1-συμβολαια'!C20</f>
        <v>ΧΡΗΣΙΚΤΗΣΙΑ αγροτεμαχίου 8' = 19??? ΑΓΟΡΑΠΩΛΗΣΙΑ άτυπη</v>
      </c>
      <c r="C20" s="461">
        <f>'4-πολλυπρ'!D20</f>
        <v>0</v>
      </c>
      <c r="D20" s="461" t="str">
        <f>'4-πολλυπρ'!I20</f>
        <v>219-17</v>
      </c>
      <c r="E20" s="414"/>
      <c r="F20" s="553" t="s">
        <v>529</v>
      </c>
      <c r="G20" s="553" t="s">
        <v>530</v>
      </c>
      <c r="H20" s="414"/>
      <c r="I20" s="414"/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>
        <f t="shared" si="1"/>
        <v>0</v>
      </c>
      <c r="W20" s="504"/>
      <c r="X20" s="328"/>
      <c r="Y20" s="396"/>
      <c r="Z20" s="263"/>
    </row>
    <row r="21" spans="1:26" s="5" customFormat="1">
      <c r="A21" s="549" t="str">
        <f>'1-συμβολαια'!A21</f>
        <v>13ο</v>
      </c>
      <c r="B21" s="321" t="str">
        <f>'1-συμβολαια'!C21</f>
        <v>κληρονομιάς ΑΠΟΔΟΧΗ</v>
      </c>
      <c r="C21" s="323" t="str">
        <f>'4-πολλυπρ'!D21</f>
        <v>219-17</v>
      </c>
      <c r="D21" s="323" t="str">
        <f>'4-πολλυπρ'!I21</f>
        <v>219-17</v>
      </c>
      <c r="E21" s="322">
        <v>6.46</v>
      </c>
      <c r="F21" s="342" t="s">
        <v>529</v>
      </c>
      <c r="G21" s="342" t="s">
        <v>530</v>
      </c>
      <c r="H21" s="322"/>
      <c r="I21" s="322"/>
      <c r="J21" s="322"/>
      <c r="K21" s="322"/>
      <c r="L21" s="322">
        <f>5*5*3.23</f>
        <v>80.75</v>
      </c>
      <c r="M21" s="322"/>
      <c r="N21" s="322"/>
      <c r="O21" s="322">
        <f>4*5*3.23</f>
        <v>64.599999999999994</v>
      </c>
      <c r="P21" s="316">
        <f t="shared" ref="P21:Q21" si="5">5*3.23</f>
        <v>16.149999999999999</v>
      </c>
      <c r="Q21" s="316">
        <f t="shared" si="5"/>
        <v>16.149999999999999</v>
      </c>
      <c r="R21" s="322"/>
      <c r="S21" s="322">
        <f>12*1.47</f>
        <v>17.64</v>
      </c>
      <c r="T21" s="322">
        <f>69*3.23</f>
        <v>222.87</v>
      </c>
      <c r="U21" s="322"/>
      <c r="V21" s="322">
        <f t="shared" si="1"/>
        <v>418.16</v>
      </c>
      <c r="W21" s="502"/>
      <c r="X21" s="328"/>
      <c r="Y21" s="396"/>
      <c r="Z21" s="263"/>
    </row>
    <row r="22" spans="1:26" s="5" customFormat="1">
      <c r="A22" s="548">
        <f>'1-συμβολαια'!A22</f>
        <v>0</v>
      </c>
      <c r="B22" s="321" t="str">
        <f>'1-συμβολαια'!C22</f>
        <v>ΧΡΗΣΙΚΤΗΣΙΑ οικοπέδου &amp; οικοδομής = 1992 αδερφού ΚΛΗΡΟΝΟΜΙΑ άτυπη</v>
      </c>
      <c r="C22" s="261">
        <f>'4-πολλυπρ'!D22</f>
        <v>0</v>
      </c>
      <c r="D22" s="261" t="str">
        <f>'4-πολλυπρ'!I22</f>
        <v>219-17</v>
      </c>
      <c r="E22" s="316"/>
      <c r="F22" s="340" t="s">
        <v>529</v>
      </c>
      <c r="G22" s="340" t="s">
        <v>530</v>
      </c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22"/>
      <c r="V22" s="322">
        <f t="shared" si="1"/>
        <v>0</v>
      </c>
      <c r="W22" s="328"/>
      <c r="X22" s="328"/>
      <c r="Y22" s="396"/>
      <c r="Z22" s="263"/>
    </row>
    <row r="23" spans="1:26" s="5" customFormat="1">
      <c r="A23" s="548">
        <f>'1-συμβολαια'!A23</f>
        <v>0</v>
      </c>
      <c r="B23" s="321" t="str">
        <f>'1-συμβολαια'!C23</f>
        <v>ΧΡΗΣΙΚΤΗΣΙΑ οικοπέδων 2'-3' = 1992 αδερφού ΚΛΗΡΟΝΟΜΙΑ άτυπη</v>
      </c>
      <c r="C23" s="261">
        <f>'4-πολλυπρ'!D23</f>
        <v>0</v>
      </c>
      <c r="D23" s="261" t="str">
        <f>'4-πολλυπρ'!I23</f>
        <v>219-17</v>
      </c>
      <c r="E23" s="316"/>
      <c r="F23" s="340" t="s">
        <v>529</v>
      </c>
      <c r="G23" s="340" t="s">
        <v>530</v>
      </c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  <c r="S23" s="316"/>
      <c r="T23" s="316"/>
      <c r="U23" s="322"/>
      <c r="V23" s="322">
        <f t="shared" si="1"/>
        <v>0</v>
      </c>
      <c r="W23" s="328"/>
      <c r="X23" s="328"/>
      <c r="Y23" s="396"/>
      <c r="Z23" s="263"/>
    </row>
    <row r="24" spans="1:26" s="5" customFormat="1">
      <c r="A24" s="548">
        <f>'1-συμβολαια'!A24</f>
        <v>0</v>
      </c>
      <c r="B24" s="321" t="str">
        <f>'1-συμβολαια'!C24</f>
        <v>ΧΡΗΣΙΚΤΗΣΙΑ αγροτεμαχίου 9' = 1968 μητρός ΚΛΗΡΟΝΟΜΙΑ άτυπη</v>
      </c>
      <c r="C24" s="261">
        <f>'4-πολλυπρ'!D24</f>
        <v>0</v>
      </c>
      <c r="D24" s="261" t="str">
        <f>'4-πολλυπρ'!I24</f>
        <v>219-17</v>
      </c>
      <c r="E24" s="316"/>
      <c r="F24" s="340" t="s">
        <v>529</v>
      </c>
      <c r="G24" s="340" t="s">
        <v>530</v>
      </c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22"/>
      <c r="V24" s="322">
        <f t="shared" si="1"/>
        <v>0</v>
      </c>
      <c r="W24" s="328"/>
      <c r="X24" s="328"/>
      <c r="Y24" s="396"/>
      <c r="Z24" s="263"/>
    </row>
    <row r="25" spans="1:26" s="5" customFormat="1">
      <c r="A25" s="548">
        <f>'1-συμβολαια'!A25</f>
        <v>0</v>
      </c>
      <c r="B25" s="321" t="str">
        <f>'1-συμβολαια'!C25</f>
        <v>ΧΡΗΣΙΚΤΗΣΙΑ οικοπέδου 4' = 19?? ΑΓΟΡΑΠΩΛΗΣΙΑ άτυπη</v>
      </c>
      <c r="C25" s="261">
        <f>'4-πολλυπρ'!D25</f>
        <v>0</v>
      </c>
      <c r="D25" s="261" t="str">
        <f>'4-πολλυπρ'!I25</f>
        <v>219-17</v>
      </c>
      <c r="E25" s="316"/>
      <c r="F25" s="340" t="s">
        <v>529</v>
      </c>
      <c r="G25" s="340" t="s">
        <v>530</v>
      </c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22"/>
      <c r="V25" s="322">
        <f t="shared" si="1"/>
        <v>0</v>
      </c>
      <c r="W25" s="328"/>
      <c r="X25" s="328"/>
      <c r="Y25" s="396"/>
      <c r="Z25" s="263"/>
    </row>
    <row r="26" spans="1:26" s="5" customFormat="1" ht="12" thickBot="1">
      <c r="A26" s="555">
        <f>'1-συμβολαια'!A26</f>
        <v>0</v>
      </c>
      <c r="B26" s="551" t="str">
        <f>'1-συμβολαια'!C26</f>
        <v>ΧΡΗΣΙΚΤΗΣΙΑ αγροτεμαχίου 8' = 19??? ΑΓΟΡΑΠΩΛΗΣΙΑ άτυπη</v>
      </c>
      <c r="C26" s="461">
        <f>'4-πολλυπρ'!D26</f>
        <v>0</v>
      </c>
      <c r="D26" s="461" t="str">
        <f>'4-πολλυπρ'!I26</f>
        <v>219-17</v>
      </c>
      <c r="E26" s="414"/>
      <c r="F26" s="553" t="s">
        <v>529</v>
      </c>
      <c r="G26" s="553" t="s">
        <v>530</v>
      </c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>
        <f t="shared" si="1"/>
        <v>0</v>
      </c>
      <c r="W26" s="504"/>
      <c r="X26" s="328"/>
      <c r="Y26" s="396"/>
      <c r="Z26" s="263"/>
    </row>
    <row r="27" spans="1:26" s="5" customFormat="1">
      <c r="A27" s="554" t="str">
        <f>'1-συμβολαια'!A27</f>
        <v>14ο</v>
      </c>
      <c r="B27" s="321" t="str">
        <f>'1-συμβολαια'!C27</f>
        <v>κληρονομιάς ΑΠΟΔΟΧΗ</v>
      </c>
      <c r="C27" s="323" t="str">
        <f>'4-πολλυπρ'!D27</f>
        <v>219-17</v>
      </c>
      <c r="D27" s="323" t="str">
        <f>'4-πολλυπρ'!I27</f>
        <v>219-17</v>
      </c>
      <c r="E27" s="322">
        <v>6.46</v>
      </c>
      <c r="F27" s="342" t="s">
        <v>529</v>
      </c>
      <c r="G27" s="342" t="s">
        <v>530</v>
      </c>
      <c r="H27" s="322"/>
      <c r="I27" s="322"/>
      <c r="J27" s="322"/>
      <c r="K27" s="322"/>
      <c r="L27" s="322">
        <f>5*5*3.23</f>
        <v>80.75</v>
      </c>
      <c r="M27" s="322"/>
      <c r="N27" s="322"/>
      <c r="O27" s="322">
        <f>4*5*3.23</f>
        <v>64.599999999999994</v>
      </c>
      <c r="P27" s="316">
        <f t="shared" ref="P27:Q27" si="6">5*3.23</f>
        <v>16.149999999999999</v>
      </c>
      <c r="Q27" s="316">
        <f t="shared" si="6"/>
        <v>16.149999999999999</v>
      </c>
      <c r="R27" s="322"/>
      <c r="S27" s="322">
        <f>12*1.47</f>
        <v>17.64</v>
      </c>
      <c r="T27" s="322">
        <f>69*3.23</f>
        <v>222.87</v>
      </c>
      <c r="U27" s="322"/>
      <c r="V27" s="322">
        <f t="shared" si="1"/>
        <v>418.16</v>
      </c>
      <c r="W27" s="502"/>
      <c r="X27" s="328"/>
      <c r="Y27" s="396"/>
      <c r="Z27" s="263"/>
    </row>
    <row r="28" spans="1:26" s="5" customFormat="1">
      <c r="A28" s="546">
        <f>'1-συμβολαια'!A28</f>
        <v>0</v>
      </c>
      <c r="B28" s="321" t="str">
        <f>'1-συμβολαια'!C28</f>
        <v>ΧΡΗΣΙΚΤΗΣΙΑ οικοπέδου &amp; οικοδομής = 1935 πατρός ΚΛΗΡΟΝΟΜΙΑ άτυπη</v>
      </c>
      <c r="C28" s="261">
        <f>'4-πολλυπρ'!D28</f>
        <v>0</v>
      </c>
      <c r="D28" s="261" t="str">
        <f>'4-πολλυπρ'!I28</f>
        <v>219-17</v>
      </c>
      <c r="E28" s="316"/>
      <c r="F28" s="340" t="s">
        <v>529</v>
      </c>
      <c r="G28" s="340" t="s">
        <v>530</v>
      </c>
      <c r="H28" s="316"/>
      <c r="I28" s="316"/>
      <c r="J28" s="316"/>
      <c r="K28" s="316"/>
      <c r="L28" s="316"/>
      <c r="M28" s="316"/>
      <c r="N28" s="316"/>
      <c r="O28" s="316"/>
      <c r="P28" s="316"/>
      <c r="Q28" s="316"/>
      <c r="R28" s="316"/>
      <c r="S28" s="316"/>
      <c r="T28" s="316"/>
      <c r="U28" s="322"/>
      <c r="V28" s="322">
        <f t="shared" si="1"/>
        <v>0</v>
      </c>
      <c r="W28" s="328"/>
      <c r="X28" s="328"/>
      <c r="Y28" s="396"/>
      <c r="Z28" s="263"/>
    </row>
    <row r="29" spans="1:26" s="5" customFormat="1">
      <c r="A29" s="546">
        <f>'1-συμβολαια'!A29</f>
        <v>0</v>
      </c>
      <c r="B29" s="321" t="str">
        <f>'1-συμβολαια'!C29</f>
        <v>ΧΡΗΣΙΚΤΗΣΙΑ οικοπέδων 2'-3' = 1992 αδερφού ΚΛΗΡΟΝΟΜΙΑ άτυπη</v>
      </c>
      <c r="C29" s="261">
        <f>'4-πολλυπρ'!D29</f>
        <v>0</v>
      </c>
      <c r="D29" s="261" t="str">
        <f>'4-πολλυπρ'!I29</f>
        <v>219-17</v>
      </c>
      <c r="E29" s="316"/>
      <c r="F29" s="340" t="s">
        <v>529</v>
      </c>
      <c r="G29" s="340" t="s">
        <v>530</v>
      </c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6"/>
      <c r="S29" s="316"/>
      <c r="T29" s="316"/>
      <c r="U29" s="322"/>
      <c r="V29" s="322">
        <f t="shared" si="1"/>
        <v>0</v>
      </c>
      <c r="W29" s="328"/>
      <c r="X29" s="328"/>
      <c r="Y29" s="396"/>
      <c r="Z29" s="263"/>
    </row>
    <row r="30" spans="1:26" s="5" customFormat="1">
      <c r="A30" s="546">
        <f>'1-συμβολαια'!A30</f>
        <v>0</v>
      </c>
      <c r="B30" s="321" t="str">
        <f>'1-συμβολαια'!C30</f>
        <v>ΧΡΗΣΙΚΤΗΣΙΑ αγροτεμαχίου 9' = 1968 μητρός ΚΛΗΡΟΝΟΜΙΑ άτυπη</v>
      </c>
      <c r="C30" s="261">
        <f>'4-πολλυπρ'!D30</f>
        <v>0</v>
      </c>
      <c r="D30" s="261" t="str">
        <f>'4-πολλυπρ'!I30</f>
        <v>219-17</v>
      </c>
      <c r="E30" s="316"/>
      <c r="F30" s="340" t="s">
        <v>529</v>
      </c>
      <c r="G30" s="340" t="s">
        <v>530</v>
      </c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22"/>
      <c r="V30" s="322">
        <f t="shared" si="1"/>
        <v>0</v>
      </c>
      <c r="W30" s="328"/>
      <c r="X30" s="328"/>
      <c r="Y30" s="396"/>
      <c r="Z30" s="263"/>
    </row>
    <row r="31" spans="1:26" s="5" customFormat="1">
      <c r="A31" s="546">
        <f>'1-συμβολαια'!A31</f>
        <v>0</v>
      </c>
      <c r="B31" s="321" t="str">
        <f>'1-συμβολαια'!C31</f>
        <v>ΧΡΗΣΙΚΤΗΣΙΑ οικοπέδου 4' = 19?? ΑΓΟΡΑΠΩΛΗΣΙΑ άτυπη</v>
      </c>
      <c r="C31" s="261">
        <f>'4-πολλυπρ'!D31</f>
        <v>0</v>
      </c>
      <c r="D31" s="261" t="str">
        <f>'4-πολλυπρ'!I31</f>
        <v>219-17</v>
      </c>
      <c r="E31" s="316"/>
      <c r="F31" s="340" t="s">
        <v>529</v>
      </c>
      <c r="G31" s="340" t="s">
        <v>530</v>
      </c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22"/>
      <c r="V31" s="322">
        <f t="shared" si="1"/>
        <v>0</v>
      </c>
      <c r="W31" s="328"/>
      <c r="X31" s="328"/>
      <c r="Y31" s="396"/>
      <c r="Z31" s="263"/>
    </row>
    <row r="32" spans="1:26" s="5" customFormat="1" ht="12" thickBot="1">
      <c r="A32" s="550">
        <f>'1-συμβολαια'!A32</f>
        <v>0</v>
      </c>
      <c r="B32" s="551" t="str">
        <f>'1-συμβολαια'!C32</f>
        <v>ΧΡΗΣΙΚΤΗΣΙΑ αγροτεμαχίου 8' = 19??? ΑΓΟΡΑΠΩΛΗΣΙΑ άτυπη</v>
      </c>
      <c r="C32" s="461">
        <f>'4-πολλυπρ'!D32</f>
        <v>0</v>
      </c>
      <c r="D32" s="461" t="str">
        <f>'4-πολλυπρ'!I32</f>
        <v>219-17</v>
      </c>
      <c r="E32" s="414"/>
      <c r="F32" s="553" t="s">
        <v>529</v>
      </c>
      <c r="G32" s="553" t="s">
        <v>530</v>
      </c>
      <c r="H32" s="414"/>
      <c r="I32" s="414"/>
      <c r="J32" s="414"/>
      <c r="K32" s="414"/>
      <c r="L32" s="414"/>
      <c r="M32" s="414"/>
      <c r="N32" s="414"/>
      <c r="O32" s="414"/>
      <c r="P32" s="414"/>
      <c r="Q32" s="414"/>
      <c r="R32" s="414"/>
      <c r="S32" s="414"/>
      <c r="T32" s="414"/>
      <c r="U32" s="414"/>
      <c r="V32" s="414">
        <f t="shared" si="1"/>
        <v>0</v>
      </c>
      <c r="W32" s="504"/>
      <c r="X32" s="328"/>
      <c r="Y32" s="396"/>
      <c r="Z32" s="263"/>
    </row>
    <row r="33" spans="1:26" s="5" customFormat="1">
      <c r="A33" s="556" t="str">
        <f>'1-συμβολαια'!A33</f>
        <v>15ο</v>
      </c>
      <c r="B33" s="321" t="str">
        <f>'1-συμβολαια'!C33</f>
        <v>αγοραπωλησία τίμημα = Δ.Ο.Υ. =</v>
      </c>
      <c r="C33" s="323" t="str">
        <f>'4-πολλυπρ'!D33</f>
        <v>219-17</v>
      </c>
      <c r="D33" s="323" t="str">
        <f>'4-πολλυπρ'!I33</f>
        <v>219-17</v>
      </c>
      <c r="E33" s="322">
        <v>6.46</v>
      </c>
      <c r="F33" s="342" t="s">
        <v>529</v>
      </c>
      <c r="G33" s="342" t="s">
        <v>530</v>
      </c>
      <c r="H33" s="322"/>
      <c r="I33" s="322"/>
      <c r="J33" s="322"/>
      <c r="K33" s="322"/>
      <c r="L33" s="322"/>
      <c r="M33" s="322"/>
      <c r="N33" s="322"/>
      <c r="O33" s="316">
        <f>5*3.23</f>
        <v>16.149999999999999</v>
      </c>
      <c r="P33" s="316">
        <f t="shared" ref="P33:Q33" si="7">5*3.23</f>
        <v>16.149999999999999</v>
      </c>
      <c r="Q33" s="316">
        <f t="shared" si="7"/>
        <v>16.149999999999999</v>
      </c>
      <c r="R33" s="322"/>
      <c r="S33" s="322">
        <f>4*1.47</f>
        <v>5.88</v>
      </c>
      <c r="T33" s="322">
        <f>34*3.23</f>
        <v>109.82</v>
      </c>
      <c r="U33" s="322"/>
      <c r="V33" s="322">
        <f t="shared" si="1"/>
        <v>164.14999999999998</v>
      </c>
      <c r="W33" s="502"/>
      <c r="X33" s="328"/>
      <c r="Y33" s="396"/>
      <c r="Z33" s="263"/>
    </row>
    <row r="34" spans="1:26" s="5" customFormat="1">
      <c r="A34" s="395" t="str">
        <f>'1-συμβολαια'!A34</f>
        <v>16ο</v>
      </c>
      <c r="B34" s="321" t="str">
        <f>'1-συμβολαια'!C34</f>
        <v>πληρεξούσιο</v>
      </c>
      <c r="C34" s="261" t="str">
        <f>'4-πολλυπρ'!D34</f>
        <v>219-17</v>
      </c>
      <c r="D34" s="261" t="str">
        <f>'4-πολλυπρ'!I34</f>
        <v>219-17</v>
      </c>
      <c r="E34" s="316">
        <v>6.46</v>
      </c>
      <c r="F34" s="340" t="s">
        <v>529</v>
      </c>
      <c r="G34" s="340" t="s">
        <v>530</v>
      </c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22"/>
      <c r="V34" s="322">
        <f t="shared" si="1"/>
        <v>0</v>
      </c>
      <c r="W34" s="328"/>
      <c r="X34" s="328"/>
      <c r="Y34" s="396"/>
      <c r="Z34" s="263"/>
    </row>
    <row r="35" spans="1:26" s="5" customFormat="1" ht="12" thickBot="1">
      <c r="A35" s="557" t="str">
        <f>'1-συμβολαια'!A35</f>
        <v>17ο</v>
      </c>
      <c r="B35" s="551" t="str">
        <f>'1-συμβολαια'!C35</f>
        <v>πληρεξούσιο</v>
      </c>
      <c r="C35" s="461" t="str">
        <f>'4-πολλυπρ'!D35</f>
        <v>219-17</v>
      </c>
      <c r="D35" s="461" t="str">
        <f>'4-πολλυπρ'!I35</f>
        <v>219-17</v>
      </c>
      <c r="E35" s="414">
        <v>6.46</v>
      </c>
      <c r="F35" s="553" t="s">
        <v>529</v>
      </c>
      <c r="G35" s="553" t="s">
        <v>530</v>
      </c>
      <c r="H35" s="414"/>
      <c r="I35" s="414"/>
      <c r="J35" s="414"/>
      <c r="K35" s="414"/>
      <c r="L35" s="414"/>
      <c r="M35" s="414"/>
      <c r="N35" s="414"/>
      <c r="O35" s="414"/>
      <c r="P35" s="414"/>
      <c r="Q35" s="414"/>
      <c r="R35" s="414"/>
      <c r="S35" s="414"/>
      <c r="T35" s="414"/>
      <c r="U35" s="414"/>
      <c r="V35" s="414">
        <f t="shared" si="1"/>
        <v>0</v>
      </c>
      <c r="W35" s="504"/>
      <c r="X35" s="328"/>
      <c r="Y35" s="396"/>
      <c r="Z35" s="263"/>
    </row>
    <row r="36" spans="1:26" s="5" customFormat="1">
      <c r="A36" s="554" t="str">
        <f>'1-συμβολαια'!A36</f>
        <v>18ο</v>
      </c>
      <c r="B36" s="321" t="str">
        <f>'1-συμβολαια'!C36</f>
        <v>αποδοχή κληρονομιάς</v>
      </c>
      <c r="C36" s="323" t="str">
        <f>'4-πολλυπρ'!D36</f>
        <v>219-17</v>
      </c>
      <c r="D36" s="323" t="str">
        <f>'4-πολλυπρ'!I36</f>
        <v>219-17</v>
      </c>
      <c r="E36" s="322">
        <v>6.46</v>
      </c>
      <c r="F36" s="342" t="s">
        <v>529</v>
      </c>
      <c r="G36" s="342" t="s">
        <v>530</v>
      </c>
      <c r="H36" s="322"/>
      <c r="I36" s="322">
        <v>5.87</v>
      </c>
      <c r="J36" s="322">
        <v>5.87</v>
      </c>
      <c r="K36" s="322"/>
      <c r="L36" s="322">
        <f>5*3.23</f>
        <v>16.149999999999999</v>
      </c>
      <c r="M36" s="322"/>
      <c r="N36" s="322"/>
      <c r="O36" s="322">
        <f>3*5*3.23</f>
        <v>48.45</v>
      </c>
      <c r="P36" s="316">
        <f t="shared" ref="P36:Q36" si="8">5*3.23</f>
        <v>16.149999999999999</v>
      </c>
      <c r="Q36" s="316">
        <f t="shared" si="8"/>
        <v>16.149999999999999</v>
      </c>
      <c r="R36" s="322"/>
      <c r="S36" s="322">
        <f>4*1.47</f>
        <v>5.88</v>
      </c>
      <c r="T36" s="322">
        <f>64*3.23</f>
        <v>206.72</v>
      </c>
      <c r="U36" s="322"/>
      <c r="V36" s="322">
        <f t="shared" si="1"/>
        <v>321.24</v>
      </c>
      <c r="W36" s="502"/>
      <c r="X36" s="328"/>
      <c r="Y36" s="396"/>
      <c r="Z36" s="263"/>
    </row>
    <row r="37" spans="1:26" s="5" customFormat="1">
      <c r="A37" s="546">
        <f>'1-συμβολαια'!A37</f>
        <v>0</v>
      </c>
      <c r="B37" s="321" t="str">
        <f>'1-συμβολαια'!C37</f>
        <v>ΧΡΗΣΙΚΤΗΣΙΑ  αγροτεμαχίου -1 = αναδασμός ΑΛΛΑ πριν ΑΓΟΡΑΠΩΛΗΣΙΑ άτυπος από ;;;??? το 19???</v>
      </c>
      <c r="C37" s="261" t="str">
        <f>'4-πολλυπρ'!D37</f>
        <v>νιαπουΣτεργιανη</v>
      </c>
      <c r="D37" s="261" t="str">
        <f>'4-πολλυπρ'!I37</f>
        <v>219-17</v>
      </c>
      <c r="E37" s="316">
        <v>6.46</v>
      </c>
      <c r="F37" s="340" t="s">
        <v>529</v>
      </c>
      <c r="G37" s="340" t="s">
        <v>530</v>
      </c>
      <c r="H37" s="316"/>
      <c r="I37" s="316"/>
      <c r="J37" s="316"/>
      <c r="K37" s="316"/>
      <c r="L37" s="316">
        <f>5*3.23</f>
        <v>16.149999999999999</v>
      </c>
      <c r="M37" s="316"/>
      <c r="N37" s="316"/>
      <c r="O37" s="316"/>
      <c r="P37" s="316"/>
      <c r="Q37" s="316"/>
      <c r="R37" s="316"/>
      <c r="S37" s="316">
        <f>2*1.47</f>
        <v>2.94</v>
      </c>
      <c r="T37" s="316">
        <f>14*3.23</f>
        <v>45.22</v>
      </c>
      <c r="U37" s="322"/>
      <c r="V37" s="322">
        <f t="shared" si="1"/>
        <v>64.31</v>
      </c>
      <c r="W37" s="328"/>
      <c r="X37" s="328"/>
      <c r="Y37" s="396"/>
      <c r="Z37" s="263"/>
    </row>
    <row r="38" spans="1:26" s="5" customFormat="1">
      <c r="A38" s="546">
        <f>'1-συμβολαια'!A38</f>
        <v>0</v>
      </c>
      <c r="B38" s="321" t="str">
        <f>'1-συμβολαια'!C38</f>
        <v>ΧΡΗΣΙΚΤΗΣΙΑ  οικοπέδου -2 = 19?? ως αγροτεμάχιο με ΑΝΑΔΑΣΜΟ</v>
      </c>
      <c r="C38" s="261">
        <f>'4-πολλυπρ'!D38</f>
        <v>0</v>
      </c>
      <c r="D38" s="261" t="str">
        <f>'4-πολλυπρ'!I38</f>
        <v>219-17</v>
      </c>
      <c r="E38" s="316">
        <v>6.46</v>
      </c>
      <c r="F38" s="340" t="s">
        <v>529</v>
      </c>
      <c r="G38" s="340" t="s">
        <v>530</v>
      </c>
      <c r="H38" s="316"/>
      <c r="I38" s="316"/>
      <c r="J38" s="316"/>
      <c r="K38" s="316"/>
      <c r="L38" s="316"/>
      <c r="M38" s="316"/>
      <c r="N38" s="316"/>
      <c r="O38" s="316">
        <f>5*3.23</f>
        <v>16.149999999999999</v>
      </c>
      <c r="P38" s="316">
        <f t="shared" ref="P38:Q42" si="9">5*3.23</f>
        <v>16.149999999999999</v>
      </c>
      <c r="Q38" s="316"/>
      <c r="R38" s="316"/>
      <c r="S38" s="316">
        <f>3*1.47</f>
        <v>4.41</v>
      </c>
      <c r="T38" s="316">
        <f>24*3.23</f>
        <v>77.52</v>
      </c>
      <c r="U38" s="322"/>
      <c r="V38" s="322">
        <f t="shared" si="1"/>
        <v>114.22999999999999</v>
      </c>
      <c r="W38" s="328"/>
      <c r="X38" s="328"/>
      <c r="Y38" s="396"/>
      <c r="Z38" s="263"/>
    </row>
    <row r="39" spans="1:26" s="5" customFormat="1" ht="12" thickBot="1">
      <c r="A39" s="550">
        <f>'1-συμβολαια'!A39</f>
        <v>0</v>
      </c>
      <c r="B39" s="551" t="str">
        <f>'1-συμβολαια'!C39</f>
        <v>ΧΡΗΣΙΚΤΗΣΙΑ  οικοπέδου -4 = 19?? ;;;???</v>
      </c>
      <c r="C39" s="461">
        <f>'4-πολλυπρ'!D39</f>
        <v>0</v>
      </c>
      <c r="D39" s="461" t="str">
        <f>'4-πολλυπρ'!I39</f>
        <v>219-17</v>
      </c>
      <c r="E39" s="414">
        <v>6.46</v>
      </c>
      <c r="F39" s="553" t="s">
        <v>529</v>
      </c>
      <c r="G39" s="553" t="s">
        <v>530</v>
      </c>
      <c r="H39" s="414"/>
      <c r="I39" s="414"/>
      <c r="J39" s="414"/>
      <c r="K39" s="414"/>
      <c r="L39" s="414">
        <f>5*3.23</f>
        <v>16.149999999999999</v>
      </c>
      <c r="M39" s="414"/>
      <c r="N39" s="414"/>
      <c r="O39" s="414"/>
      <c r="P39" s="414">
        <f t="shared" si="9"/>
        <v>16.149999999999999</v>
      </c>
      <c r="Q39" s="414"/>
      <c r="R39" s="414"/>
      <c r="S39" s="414">
        <f>3*1.47</f>
        <v>4.41</v>
      </c>
      <c r="T39" s="414">
        <f>24*3.23</f>
        <v>77.52</v>
      </c>
      <c r="U39" s="414"/>
      <c r="V39" s="414">
        <f t="shared" si="1"/>
        <v>114.22999999999999</v>
      </c>
      <c r="W39" s="504"/>
      <c r="X39" s="328"/>
      <c r="Y39" s="396"/>
      <c r="Z39" s="263"/>
    </row>
    <row r="40" spans="1:26" s="5" customFormat="1" ht="12" thickBot="1">
      <c r="A40" s="559" t="str">
        <f>'1-συμβολαια'!A40</f>
        <v>19ο</v>
      </c>
      <c r="B40" s="560" t="str">
        <f>'1-συμβολαια'!C40</f>
        <v>*γονική ΨΙΛΗΣ ΚΥΡΙΟΤΗΤΑΣ</v>
      </c>
      <c r="C40" s="561" t="str">
        <f>'4-πολλυπρ'!D40</f>
        <v>219-17</v>
      </c>
      <c r="D40" s="561" t="str">
        <f>'4-πολλυπρ'!I40</f>
        <v>219-17</v>
      </c>
      <c r="E40" s="491">
        <v>6.46</v>
      </c>
      <c r="F40" s="562" t="s">
        <v>529</v>
      </c>
      <c r="G40" s="562" t="s">
        <v>530</v>
      </c>
      <c r="H40" s="491"/>
      <c r="I40" s="491">
        <v>5.87</v>
      </c>
      <c r="J40" s="491">
        <v>5.87</v>
      </c>
      <c r="K40" s="491"/>
      <c r="L40" s="491"/>
      <c r="M40" s="491"/>
      <c r="N40" s="491"/>
      <c r="O40" s="491">
        <f>5*3.23</f>
        <v>16.149999999999999</v>
      </c>
      <c r="P40" s="491">
        <f t="shared" si="9"/>
        <v>16.149999999999999</v>
      </c>
      <c r="Q40" s="491">
        <f t="shared" si="9"/>
        <v>16.149999999999999</v>
      </c>
      <c r="R40" s="491"/>
      <c r="S40" s="491">
        <f>4*1.47</f>
        <v>5.88</v>
      </c>
      <c r="T40" s="491">
        <f>34*3.23</f>
        <v>109.82</v>
      </c>
      <c r="U40" s="491"/>
      <c r="V40" s="491">
        <f t="shared" si="1"/>
        <v>175.89</v>
      </c>
      <c r="W40" s="563"/>
      <c r="X40" s="328"/>
      <c r="Y40" s="396"/>
      <c r="Z40" s="263"/>
    </row>
    <row r="41" spans="1:26" s="5" customFormat="1">
      <c r="A41" s="554" t="str">
        <f>'1-συμβολαια'!A41</f>
        <v>20ο</v>
      </c>
      <c r="B41" s="321" t="str">
        <f>'1-συμβολαια'!C41</f>
        <v>δωρεά</v>
      </c>
      <c r="C41" s="323" t="str">
        <f>'4-πολλυπρ'!D41</f>
        <v>219-17</v>
      </c>
      <c r="D41" s="323" t="str">
        <f>'4-πολλυπρ'!I41</f>
        <v>219-17</v>
      </c>
      <c r="E41" s="322">
        <v>6.46</v>
      </c>
      <c r="F41" s="342" t="s">
        <v>529</v>
      </c>
      <c r="G41" s="342" t="s">
        <v>530</v>
      </c>
      <c r="H41" s="322"/>
      <c r="I41" s="322"/>
      <c r="J41" s="322"/>
      <c r="K41" s="322"/>
      <c r="L41" s="322"/>
      <c r="M41" s="322"/>
      <c r="N41" s="322"/>
      <c r="O41" s="322">
        <f>5*3.23</f>
        <v>16.149999999999999</v>
      </c>
      <c r="P41" s="322">
        <f t="shared" si="9"/>
        <v>16.149999999999999</v>
      </c>
      <c r="Q41" s="322">
        <f t="shared" si="9"/>
        <v>16.149999999999999</v>
      </c>
      <c r="R41" s="322"/>
      <c r="S41" s="322">
        <f>4*1.47</f>
        <v>5.88</v>
      </c>
      <c r="T41" s="322">
        <f>34*3.23</f>
        <v>109.82</v>
      </c>
      <c r="U41" s="322"/>
      <c r="V41" s="322">
        <f t="shared" si="1"/>
        <v>164.14999999999998</v>
      </c>
      <c r="W41" s="502"/>
      <c r="X41" s="328"/>
      <c r="Y41" s="396"/>
      <c r="Z41" s="263"/>
    </row>
    <row r="42" spans="1:26" s="5" customFormat="1" ht="12" thickBot="1">
      <c r="A42" s="550">
        <f>'1-συμβολαια'!A42</f>
        <v>0</v>
      </c>
      <c r="B42" s="551" t="str">
        <f>'1-συμβολαια'!C42</f>
        <v>χρησικτησία 1/2 οικοπέδου &amp; οικίας = συζυγου 1972 ΔΩΡΕΑ άτυπος</v>
      </c>
      <c r="C42" s="461">
        <f>'4-πολλυπρ'!D42</f>
        <v>0</v>
      </c>
      <c r="D42" s="461" t="str">
        <f>'4-πολλυπρ'!I42</f>
        <v>κΑναστασια {Γ-Π}</v>
      </c>
      <c r="E42" s="414">
        <v>6.46</v>
      </c>
      <c r="F42" s="553" t="s">
        <v>529</v>
      </c>
      <c r="G42" s="553" t="s">
        <v>530</v>
      </c>
      <c r="H42" s="414"/>
      <c r="I42" s="414"/>
      <c r="J42" s="414"/>
      <c r="K42" s="414"/>
      <c r="L42" s="414"/>
      <c r="M42" s="414"/>
      <c r="N42" s="414"/>
      <c r="O42" s="414">
        <f>5*3.23</f>
        <v>16.149999999999999</v>
      </c>
      <c r="P42" s="414">
        <f t="shared" si="9"/>
        <v>16.149999999999999</v>
      </c>
      <c r="Q42" s="414">
        <f t="shared" si="9"/>
        <v>16.149999999999999</v>
      </c>
      <c r="R42" s="414"/>
      <c r="S42" s="414">
        <f>4*1.47</f>
        <v>5.88</v>
      </c>
      <c r="T42" s="414">
        <f>34*3.23</f>
        <v>109.82</v>
      </c>
      <c r="U42" s="414"/>
      <c r="V42" s="414">
        <f t="shared" si="1"/>
        <v>164.14999999999998</v>
      </c>
      <c r="W42" s="504"/>
      <c r="X42" s="328"/>
      <c r="Y42" s="396"/>
      <c r="Z42" s="263"/>
    </row>
    <row r="43" spans="1:26">
      <c r="A43" s="760" t="s">
        <v>35</v>
      </c>
      <c r="B43" s="761"/>
      <c r="C43" s="761"/>
      <c r="D43" s="762"/>
      <c r="E43" s="558">
        <f>SUM(E3:E42)</f>
        <v>129.19999999999993</v>
      </c>
      <c r="F43" s="558"/>
      <c r="G43" s="558"/>
      <c r="H43" s="558"/>
      <c r="I43" s="558">
        <f t="shared" ref="I43:N43" si="10">SUM(I3:I42)</f>
        <v>17.61</v>
      </c>
      <c r="J43" s="558">
        <f t="shared" si="10"/>
        <v>17.61</v>
      </c>
      <c r="K43" s="558">
        <f t="shared" si="10"/>
        <v>0</v>
      </c>
      <c r="L43" s="558">
        <f t="shared" si="10"/>
        <v>484.49999999999994</v>
      </c>
      <c r="M43" s="558">
        <f t="shared" si="10"/>
        <v>0</v>
      </c>
      <c r="N43" s="558">
        <f t="shared" si="10"/>
        <v>0</v>
      </c>
      <c r="O43" s="558">
        <f t="shared" ref="O43:U43" si="11">SUM(O3:O42)</f>
        <v>516.79999999999995</v>
      </c>
      <c r="P43" s="558">
        <f t="shared" si="11"/>
        <v>258.40000000000003</v>
      </c>
      <c r="Q43" s="558">
        <f t="shared" si="11"/>
        <v>177.65000000000003</v>
      </c>
      <c r="R43" s="558">
        <f t="shared" si="11"/>
        <v>0</v>
      </c>
      <c r="S43" s="558">
        <f t="shared" si="11"/>
        <v>152.87999999999997</v>
      </c>
      <c r="T43" s="558">
        <f t="shared" si="11"/>
        <v>2315.9100000000003</v>
      </c>
      <c r="U43" s="558">
        <f t="shared" si="11"/>
        <v>0</v>
      </c>
      <c r="V43" s="558">
        <f>SUM(V3:V42)</f>
        <v>3941.3599999999997</v>
      </c>
      <c r="W43" s="564">
        <f>SUM(W3:W42)</f>
        <v>0</v>
      </c>
      <c r="X43" s="129"/>
      <c r="Y43" s="3"/>
      <c r="Z43" s="3"/>
    </row>
    <row r="45" spans="1:26" ht="15.75" customHeight="1">
      <c r="I45" s="126" t="s">
        <v>475</v>
      </c>
      <c r="L45" s="123" t="s">
        <v>477</v>
      </c>
      <c r="X45" s="140"/>
      <c r="Y45" s="85"/>
      <c r="Z45" s="140"/>
    </row>
    <row r="46" spans="1:26">
      <c r="F46" s="146" t="s">
        <v>162</v>
      </c>
      <c r="G46" s="112"/>
      <c r="H46" s="81"/>
      <c r="L46" s="161" t="s">
        <v>202</v>
      </c>
      <c r="X46" s="2"/>
    </row>
    <row r="47" spans="1:26">
      <c r="F47" s="81"/>
      <c r="G47" s="112" t="s">
        <v>163</v>
      </c>
      <c r="M47" s="160" t="s">
        <v>203</v>
      </c>
      <c r="W47" s="2"/>
      <c r="X47" s="2"/>
    </row>
    <row r="48" spans="1:26">
      <c r="N48" s="141" t="s">
        <v>204</v>
      </c>
      <c r="W48" s="2"/>
      <c r="X48" s="2"/>
    </row>
    <row r="49" spans="1:24" ht="12.75">
      <c r="A49" s="357" t="s">
        <v>609</v>
      </c>
      <c r="B49" s="90" t="s">
        <v>547</v>
      </c>
      <c r="O49" s="397" t="s">
        <v>524</v>
      </c>
      <c r="P49" s="398"/>
      <c r="Q49" s="398"/>
      <c r="R49" s="398"/>
      <c r="S49" s="398"/>
      <c r="T49" s="398"/>
      <c r="W49" s="2"/>
      <c r="X49" s="2"/>
    </row>
    <row r="50" spans="1:24" ht="12.75">
      <c r="A50" s="385"/>
      <c r="B50" s="361" t="s">
        <v>548</v>
      </c>
      <c r="C50" s="2" t="s">
        <v>557</v>
      </c>
      <c r="D50" s="357" t="s">
        <v>609</v>
      </c>
      <c r="E50" s="357" t="s">
        <v>609</v>
      </c>
      <c r="O50" s="398"/>
      <c r="P50" s="397" t="s">
        <v>525</v>
      </c>
      <c r="Q50" s="398"/>
      <c r="R50" s="398"/>
      <c r="S50" s="398"/>
      <c r="T50" s="398"/>
    </row>
    <row r="51" spans="1:24" ht="12.75">
      <c r="A51" s="357"/>
      <c r="B51" s="361" t="s">
        <v>549</v>
      </c>
      <c r="C51" s="2" t="s">
        <v>558</v>
      </c>
      <c r="D51" s="385" t="s">
        <v>600</v>
      </c>
      <c r="E51" s="385" t="s">
        <v>600</v>
      </c>
      <c r="O51" s="398"/>
      <c r="P51" s="398"/>
      <c r="Q51" s="397" t="s">
        <v>526</v>
      </c>
      <c r="R51" s="398"/>
      <c r="S51" s="398"/>
      <c r="T51" s="398"/>
    </row>
    <row r="52" spans="1:24" ht="12.75">
      <c r="A52" s="2"/>
      <c r="B52" s="361" t="s">
        <v>551</v>
      </c>
      <c r="C52" s="2"/>
      <c r="D52" s="565" t="s">
        <v>601</v>
      </c>
      <c r="E52" s="565" t="s">
        <v>601</v>
      </c>
      <c r="O52" s="398"/>
      <c r="P52" s="398"/>
      <c r="Q52" s="398"/>
      <c r="R52" s="398"/>
      <c r="S52" s="398" t="s">
        <v>527</v>
      </c>
      <c r="T52" s="398"/>
    </row>
    <row r="53" spans="1:24" ht="12.75">
      <c r="A53" s="2"/>
      <c r="B53" s="361" t="s">
        <v>550</v>
      </c>
      <c r="C53" s="2"/>
      <c r="D53" s="2"/>
      <c r="E53" s="2" t="s">
        <v>606</v>
      </c>
      <c r="O53" s="398"/>
      <c r="P53" s="398"/>
      <c r="Q53" s="398"/>
      <c r="R53" s="398"/>
      <c r="S53" s="398"/>
      <c r="T53" s="398" t="s">
        <v>528</v>
      </c>
    </row>
    <row r="54" spans="1:24">
      <c r="A54" s="2"/>
      <c r="B54" s="361" t="s">
        <v>619</v>
      </c>
      <c r="C54" s="2"/>
      <c r="D54" s="2"/>
      <c r="E54" s="357" t="s">
        <v>610</v>
      </c>
    </row>
    <row r="55" spans="1:24">
      <c r="A55" s="2"/>
      <c r="B55" s="361" t="s">
        <v>552</v>
      </c>
      <c r="C55" s="2"/>
      <c r="D55" s="2"/>
      <c r="E55" s="385" t="s">
        <v>600</v>
      </c>
    </row>
    <row r="56" spans="1:24">
      <c r="A56" s="2"/>
      <c r="B56" s="361" t="s">
        <v>620</v>
      </c>
      <c r="C56" s="2"/>
      <c r="D56" s="2"/>
      <c r="E56" s="565" t="s">
        <v>601</v>
      </c>
    </row>
    <row r="57" spans="1:24">
      <c r="A57" s="2"/>
      <c r="B57" s="361" t="s">
        <v>621</v>
      </c>
      <c r="C57" s="2"/>
      <c r="D57" s="2"/>
      <c r="E57" s="2" t="s">
        <v>606</v>
      </c>
    </row>
    <row r="58" spans="1:24">
      <c r="A58" s="2"/>
      <c r="B58" s="361" t="s">
        <v>622</v>
      </c>
      <c r="C58" s="2"/>
      <c r="D58" s="2"/>
      <c r="E58" s="357" t="s">
        <v>611</v>
      </c>
    </row>
    <row r="59" spans="1:24">
      <c r="A59" s="2"/>
      <c r="B59" s="361" t="s">
        <v>623</v>
      </c>
      <c r="C59" s="2"/>
      <c r="D59" s="2"/>
      <c r="E59" s="385" t="s">
        <v>600</v>
      </c>
    </row>
    <row r="60" spans="1:24">
      <c r="A60" s="4"/>
      <c r="B60" s="361" t="s">
        <v>624</v>
      </c>
      <c r="C60" s="2"/>
      <c r="D60" s="2"/>
      <c r="E60" s="565" t="s">
        <v>601</v>
      </c>
    </row>
    <row r="61" spans="1:24">
      <c r="A61" s="4"/>
      <c r="B61" s="9"/>
      <c r="C61" s="2"/>
      <c r="D61" s="4"/>
      <c r="E61" s="2" t="s">
        <v>606</v>
      </c>
    </row>
    <row r="62" spans="1:24">
      <c r="A62" s="2"/>
      <c r="B62" s="9"/>
      <c r="C62" s="2"/>
      <c r="D62" s="4"/>
      <c r="E62" s="357" t="s">
        <v>612</v>
      </c>
    </row>
    <row r="63" spans="1:24">
      <c r="A63" s="357" t="s">
        <v>610</v>
      </c>
      <c r="B63" s="90" t="s">
        <v>547</v>
      </c>
      <c r="C63" s="2"/>
      <c r="D63" s="2"/>
      <c r="E63" s="385" t="s">
        <v>600</v>
      </c>
    </row>
    <row r="64" spans="1:24">
      <c r="A64" s="385"/>
      <c r="B64" s="361" t="s">
        <v>548</v>
      </c>
      <c r="C64" s="2" t="s">
        <v>557</v>
      </c>
      <c r="D64" s="357" t="s">
        <v>610</v>
      </c>
      <c r="E64" s="565" t="s">
        <v>601</v>
      </c>
    </row>
    <row r="65" spans="1:5">
      <c r="A65" s="357"/>
      <c r="B65" s="361" t="s">
        <v>549</v>
      </c>
      <c r="C65" s="2" t="s">
        <v>560</v>
      </c>
      <c r="D65" s="385" t="s">
        <v>600</v>
      </c>
    </row>
    <row r="66" spans="1:5">
      <c r="A66" s="2"/>
      <c r="B66" s="361" t="s">
        <v>551</v>
      </c>
      <c r="C66" s="2"/>
      <c r="D66" s="565" t="s">
        <v>601</v>
      </c>
      <c r="E66" s="357" t="s">
        <v>613</v>
      </c>
    </row>
    <row r="67" spans="1:5">
      <c r="A67" s="2"/>
      <c r="B67" s="361" t="s">
        <v>550</v>
      </c>
      <c r="C67" s="2"/>
      <c r="D67" s="2"/>
      <c r="E67" s="385" t="s">
        <v>600</v>
      </c>
    </row>
    <row r="68" spans="1:5">
      <c r="A68" s="2"/>
      <c r="B68" s="361" t="s">
        <v>619</v>
      </c>
      <c r="C68" s="2"/>
      <c r="D68" s="2"/>
      <c r="E68" s="565" t="s">
        <v>601</v>
      </c>
    </row>
    <row r="69" spans="1:5">
      <c r="A69" s="2"/>
      <c r="B69" s="361" t="s">
        <v>552</v>
      </c>
      <c r="C69" s="2"/>
      <c r="D69" s="2"/>
      <c r="E69" s="2" t="s">
        <v>606</v>
      </c>
    </row>
    <row r="70" spans="1:5">
      <c r="A70" s="2"/>
      <c r="B70" s="361" t="s">
        <v>620</v>
      </c>
      <c r="C70" s="2"/>
      <c r="D70" s="2"/>
      <c r="E70" s="357" t="s">
        <v>614</v>
      </c>
    </row>
    <row r="71" spans="1:5">
      <c r="A71" s="2"/>
      <c r="B71" s="361" t="s">
        <v>621</v>
      </c>
      <c r="C71" s="2"/>
      <c r="D71" s="2"/>
      <c r="E71" s="2" t="s">
        <v>602</v>
      </c>
    </row>
    <row r="72" spans="1:5">
      <c r="A72" s="2"/>
      <c r="B72" s="361" t="s">
        <v>622</v>
      </c>
      <c r="C72" s="2"/>
      <c r="D72" s="2"/>
      <c r="E72" s="2" t="s">
        <v>603</v>
      </c>
    </row>
    <row r="73" spans="1:5">
      <c r="A73" s="2"/>
      <c r="B73" s="361" t="s">
        <v>623</v>
      </c>
      <c r="C73" s="2"/>
      <c r="D73" s="2"/>
    </row>
    <row r="74" spans="1:5">
      <c r="A74" s="2"/>
      <c r="B74" s="361" t="s">
        <v>624</v>
      </c>
      <c r="C74" s="2"/>
      <c r="D74" s="2"/>
      <c r="E74" s="357" t="s">
        <v>615</v>
      </c>
    </row>
    <row r="75" spans="1:5">
      <c r="A75" s="2"/>
      <c r="B75" s="3"/>
      <c r="C75" s="2"/>
      <c r="D75" s="2"/>
      <c r="E75" s="385" t="s">
        <v>604</v>
      </c>
    </row>
    <row r="76" spans="1:5">
      <c r="A76" s="2"/>
      <c r="B76" s="3"/>
      <c r="C76" s="2"/>
      <c r="D76" s="2"/>
      <c r="E76" s="565" t="s">
        <v>603</v>
      </c>
    </row>
    <row r="77" spans="1:5">
      <c r="A77" s="357" t="s">
        <v>611</v>
      </c>
      <c r="B77" s="90" t="s">
        <v>570</v>
      </c>
      <c r="C77" s="2"/>
      <c r="D77" s="2"/>
      <c r="E77" s="2" t="s">
        <v>605</v>
      </c>
    </row>
    <row r="78" spans="1:5">
      <c r="A78" s="385"/>
      <c r="B78" s="361" t="s">
        <v>548</v>
      </c>
      <c r="C78" s="2" t="s">
        <v>557</v>
      </c>
      <c r="D78" s="357" t="s">
        <v>611</v>
      </c>
    </row>
    <row r="79" spans="1:5">
      <c r="A79" s="357"/>
      <c r="B79" s="361" t="s">
        <v>549</v>
      </c>
      <c r="C79" s="2" t="s">
        <v>571</v>
      </c>
      <c r="D79" s="385" t="s">
        <v>600</v>
      </c>
      <c r="E79" s="357" t="s">
        <v>618</v>
      </c>
    </row>
    <row r="80" spans="1:5">
      <c r="A80" s="2"/>
      <c r="B80" s="361" t="s">
        <v>551</v>
      </c>
      <c r="C80" s="2"/>
      <c r="D80" s="565" t="s">
        <v>601</v>
      </c>
      <c r="E80" s="2" t="s">
        <v>602</v>
      </c>
    </row>
    <row r="81" spans="1:5">
      <c r="A81" s="2"/>
      <c r="B81" s="361" t="s">
        <v>550</v>
      </c>
      <c r="C81" s="2"/>
      <c r="D81" s="2"/>
      <c r="E81" s="2" t="s">
        <v>603</v>
      </c>
    </row>
    <row r="82" spans="1:5">
      <c r="A82" s="2"/>
      <c r="B82" s="361" t="s">
        <v>619</v>
      </c>
      <c r="C82" s="2"/>
      <c r="D82" s="2"/>
    </row>
    <row r="83" spans="1:5">
      <c r="A83" s="2"/>
      <c r="B83" s="361" t="s">
        <v>552</v>
      </c>
      <c r="C83" s="2"/>
      <c r="D83" s="2"/>
      <c r="E83" s="357" t="s">
        <v>628</v>
      </c>
    </row>
    <row r="84" spans="1:5">
      <c r="A84" s="2"/>
      <c r="B84" s="361" t="s">
        <v>620</v>
      </c>
      <c r="C84" s="2"/>
      <c r="D84" s="2"/>
      <c r="E84" s="2" t="s">
        <v>602</v>
      </c>
    </row>
    <row r="85" spans="1:5">
      <c r="A85" s="2"/>
      <c r="B85" s="361" t="s">
        <v>621</v>
      </c>
      <c r="C85" s="2"/>
      <c r="D85" s="2"/>
      <c r="E85" s="2" t="s">
        <v>603</v>
      </c>
    </row>
    <row r="86" spans="1:5">
      <c r="A86" s="2"/>
      <c r="B86" s="361" t="s">
        <v>622</v>
      </c>
      <c r="C86" s="2"/>
      <c r="D86" s="2"/>
    </row>
    <row r="87" spans="1:5">
      <c r="A87" s="2"/>
      <c r="B87" s="361" t="s">
        <v>623</v>
      </c>
      <c r="C87" s="2"/>
      <c r="D87" s="2"/>
    </row>
    <row r="88" spans="1:5">
      <c r="A88" s="2"/>
      <c r="B88" s="361" t="s">
        <v>624</v>
      </c>
      <c r="C88" s="2"/>
      <c r="D88" s="2"/>
    </row>
    <row r="89" spans="1:5">
      <c r="A89" s="2"/>
      <c r="B89" s="3"/>
      <c r="C89" s="2"/>
      <c r="D89" s="2"/>
    </row>
    <row r="90" spans="1:5">
      <c r="A90" s="2"/>
      <c r="B90" s="3"/>
      <c r="C90" s="2"/>
      <c r="D90" s="2"/>
    </row>
    <row r="91" spans="1:5">
      <c r="A91" s="357" t="s">
        <v>612</v>
      </c>
      <c r="B91" s="90" t="s">
        <v>570</v>
      </c>
      <c r="C91" s="2"/>
      <c r="D91" s="2"/>
    </row>
    <row r="92" spans="1:5">
      <c r="A92" s="385"/>
      <c r="B92" s="361" t="s">
        <v>548</v>
      </c>
      <c r="C92" s="2" t="s">
        <v>557</v>
      </c>
      <c r="D92" s="357" t="s">
        <v>612</v>
      </c>
    </row>
    <row r="93" spans="1:5">
      <c r="A93" s="357"/>
      <c r="B93" s="361" t="s">
        <v>549</v>
      </c>
      <c r="C93" s="2" t="s">
        <v>572</v>
      </c>
      <c r="D93" s="385" t="s">
        <v>600</v>
      </c>
    </row>
    <row r="94" spans="1:5">
      <c r="A94" s="2"/>
      <c r="B94" s="361" t="s">
        <v>551</v>
      </c>
      <c r="C94" s="2"/>
      <c r="D94" s="565" t="s">
        <v>601</v>
      </c>
    </row>
    <row r="95" spans="1:5">
      <c r="A95" s="2"/>
      <c r="B95" s="361" t="s">
        <v>550</v>
      </c>
      <c r="C95" s="2"/>
      <c r="D95" s="2"/>
    </row>
    <row r="96" spans="1:5">
      <c r="A96" s="2"/>
      <c r="B96" s="361" t="s">
        <v>619</v>
      </c>
      <c r="C96" s="2"/>
      <c r="D96" s="2"/>
    </row>
    <row r="97" spans="1:4">
      <c r="A97" s="2"/>
      <c r="B97" s="361" t="s">
        <v>552</v>
      </c>
      <c r="C97" s="2"/>
      <c r="D97" s="2"/>
    </row>
    <row r="98" spans="1:4">
      <c r="A98" s="2"/>
      <c r="B98" s="361" t="s">
        <v>620</v>
      </c>
      <c r="C98" s="2"/>
      <c r="D98" s="2"/>
    </row>
    <row r="99" spans="1:4">
      <c r="A99" s="2"/>
      <c r="B99" s="361" t="s">
        <v>621</v>
      </c>
      <c r="C99" s="2"/>
      <c r="D99" s="2"/>
    </row>
    <row r="100" spans="1:4">
      <c r="A100" s="2"/>
      <c r="B100" s="361" t="s">
        <v>622</v>
      </c>
      <c r="C100" s="2"/>
      <c r="D100" s="2"/>
    </row>
    <row r="101" spans="1:4">
      <c r="A101" s="2"/>
      <c r="B101" s="361" t="s">
        <v>623</v>
      </c>
      <c r="C101" s="2"/>
      <c r="D101" s="2"/>
    </row>
    <row r="102" spans="1:4">
      <c r="A102" s="2"/>
      <c r="B102" s="361" t="s">
        <v>624</v>
      </c>
      <c r="C102" s="2"/>
      <c r="D102" s="2"/>
    </row>
    <row r="103" spans="1:4">
      <c r="A103" s="2"/>
      <c r="B103" s="3"/>
      <c r="C103" s="2"/>
      <c r="D103" s="2"/>
    </row>
    <row r="104" spans="1:4">
      <c r="A104" s="2"/>
      <c r="B104" s="3"/>
      <c r="C104" s="2"/>
      <c r="D104" s="2"/>
    </row>
    <row r="105" spans="1:4">
      <c r="A105" s="357" t="s">
        <v>613</v>
      </c>
      <c r="B105" s="90" t="s">
        <v>570</v>
      </c>
      <c r="C105" s="2"/>
      <c r="D105" s="2"/>
    </row>
    <row r="106" spans="1:4">
      <c r="A106" s="385"/>
      <c r="B106" s="361" t="s">
        <v>548</v>
      </c>
      <c r="C106" s="2" t="s">
        <v>557</v>
      </c>
      <c r="D106" s="357" t="s">
        <v>613</v>
      </c>
    </row>
    <row r="107" spans="1:4">
      <c r="A107" s="357"/>
      <c r="B107" s="361" t="s">
        <v>549</v>
      </c>
      <c r="C107" s="2" t="s">
        <v>571</v>
      </c>
      <c r="D107" s="385" t="s">
        <v>600</v>
      </c>
    </row>
    <row r="108" spans="1:4">
      <c r="A108" s="2"/>
      <c r="B108" s="361" t="s">
        <v>551</v>
      </c>
      <c r="C108" s="2"/>
      <c r="D108" s="565" t="s">
        <v>601</v>
      </c>
    </row>
    <row r="109" spans="1:4">
      <c r="A109" s="2"/>
      <c r="B109" s="361" t="s">
        <v>550</v>
      </c>
      <c r="C109" s="2"/>
      <c r="D109" s="2"/>
    </row>
    <row r="110" spans="1:4">
      <c r="A110" s="2"/>
      <c r="B110" s="361" t="s">
        <v>619</v>
      </c>
      <c r="C110" s="2"/>
      <c r="D110" s="2"/>
    </row>
    <row r="111" spans="1:4">
      <c r="A111" s="2"/>
      <c r="B111" s="361" t="s">
        <v>552</v>
      </c>
      <c r="C111" s="2"/>
      <c r="D111" s="2"/>
    </row>
    <row r="112" spans="1:4">
      <c r="A112" s="2"/>
      <c r="B112" s="361" t="s">
        <v>620</v>
      </c>
      <c r="C112" s="2"/>
      <c r="D112" s="2"/>
    </row>
    <row r="113" spans="1:4">
      <c r="A113" s="2"/>
      <c r="B113" s="361" t="s">
        <v>621</v>
      </c>
      <c r="C113" s="2"/>
      <c r="D113" s="2"/>
    </row>
    <row r="114" spans="1:4">
      <c r="A114" s="2"/>
      <c r="B114" s="361" t="s">
        <v>622</v>
      </c>
      <c r="C114" s="2"/>
      <c r="D114" s="2"/>
    </row>
    <row r="115" spans="1:4">
      <c r="A115" s="2"/>
      <c r="B115" s="361" t="s">
        <v>623</v>
      </c>
      <c r="C115" s="2"/>
      <c r="D115" s="2"/>
    </row>
    <row r="116" spans="1:4">
      <c r="A116" s="2"/>
      <c r="B116" s="361" t="s">
        <v>624</v>
      </c>
      <c r="C116" s="2"/>
      <c r="D116" s="2"/>
    </row>
    <row r="117" spans="1:4">
      <c r="A117" s="2"/>
      <c r="B117" s="3"/>
      <c r="C117" s="2"/>
      <c r="D117" s="2"/>
    </row>
    <row r="118" spans="1:4">
      <c r="A118" s="357" t="s">
        <v>614</v>
      </c>
      <c r="B118" s="3" t="s">
        <v>576</v>
      </c>
      <c r="C118" s="2"/>
      <c r="D118" s="2"/>
    </row>
    <row r="119" spans="1:4">
      <c r="A119" s="2"/>
      <c r="B119" s="361" t="s">
        <v>575</v>
      </c>
      <c r="C119" s="2" t="s">
        <v>578</v>
      </c>
      <c r="D119" s="357" t="s">
        <v>614</v>
      </c>
    </row>
    <row r="120" spans="1:4">
      <c r="A120" s="2"/>
      <c r="B120" s="3"/>
      <c r="C120" s="2" t="s">
        <v>579</v>
      </c>
      <c r="D120" s="2" t="s">
        <v>602</v>
      </c>
    </row>
    <row r="121" spans="1:4">
      <c r="A121" s="2"/>
      <c r="B121" s="3"/>
      <c r="C121" s="2"/>
      <c r="D121" s="2" t="s">
        <v>603</v>
      </c>
    </row>
    <row r="122" spans="1:4">
      <c r="A122" s="2"/>
      <c r="B122" s="3"/>
      <c r="C122" s="2"/>
      <c r="D122" s="2"/>
    </row>
    <row r="123" spans="1:4">
      <c r="A123" s="2"/>
      <c r="B123" s="3"/>
      <c r="C123" s="2"/>
      <c r="D123" s="2"/>
    </row>
    <row r="124" spans="1:4">
      <c r="A124" s="2"/>
      <c r="B124" s="3" t="s">
        <v>582</v>
      </c>
      <c r="C124" s="2" t="s">
        <v>590</v>
      </c>
      <c r="D124" s="2"/>
    </row>
    <row r="125" spans="1:4">
      <c r="A125" s="357" t="s">
        <v>615</v>
      </c>
      <c r="B125" s="361" t="s">
        <v>625</v>
      </c>
      <c r="C125" s="2" t="s">
        <v>591</v>
      </c>
      <c r="D125" s="2"/>
    </row>
    <row r="126" spans="1:4">
      <c r="A126" s="385"/>
      <c r="B126" s="361" t="s">
        <v>626</v>
      </c>
      <c r="C126" s="2"/>
      <c r="D126" s="357" t="s">
        <v>615</v>
      </c>
    </row>
    <row r="127" spans="1:4">
      <c r="A127" s="357"/>
      <c r="B127" s="361" t="s">
        <v>583</v>
      </c>
      <c r="C127" s="2"/>
      <c r="D127" s="385" t="s">
        <v>604</v>
      </c>
    </row>
    <row r="128" spans="1:4">
      <c r="A128" s="2"/>
      <c r="B128" s="361" t="s">
        <v>584</v>
      </c>
      <c r="C128" s="2"/>
      <c r="D128" s="565" t="s">
        <v>603</v>
      </c>
    </row>
    <row r="129" spans="1:4">
      <c r="A129" s="2"/>
      <c r="B129" s="361"/>
      <c r="C129" s="2"/>
      <c r="D129" s="2" t="s">
        <v>605</v>
      </c>
    </row>
    <row r="130" spans="1:4">
      <c r="A130" s="2"/>
      <c r="B130" s="361"/>
      <c r="C130" s="2"/>
      <c r="D130" s="2"/>
    </row>
    <row r="131" spans="1:4">
      <c r="A131" s="2"/>
      <c r="B131" s="3"/>
      <c r="C131" s="2" t="s">
        <v>599</v>
      </c>
      <c r="D131" s="8" t="s">
        <v>616</v>
      </c>
    </row>
    <row r="132" spans="1:4">
      <c r="A132" s="2"/>
      <c r="B132" s="3"/>
      <c r="C132" s="2" t="s">
        <v>581</v>
      </c>
      <c r="D132" s="2"/>
    </row>
    <row r="133" spans="1:4">
      <c r="A133" s="2"/>
      <c r="B133" s="3"/>
      <c r="C133" s="2" t="s">
        <v>599</v>
      </c>
      <c r="D133" s="8" t="s">
        <v>617</v>
      </c>
    </row>
    <row r="134" spans="1:4">
      <c r="A134" s="2"/>
      <c r="B134" s="3"/>
      <c r="C134" s="2" t="s">
        <v>581</v>
      </c>
      <c r="D134" s="2"/>
    </row>
    <row r="135" spans="1:4">
      <c r="A135" s="2"/>
      <c r="B135" s="3"/>
      <c r="C135" s="2"/>
      <c r="D135" s="2"/>
    </row>
    <row r="136" spans="1:4">
      <c r="A136" s="2"/>
      <c r="B136" s="3"/>
      <c r="C136" s="2"/>
      <c r="D136" s="2"/>
    </row>
    <row r="137" spans="1:4">
      <c r="A137" s="357" t="s">
        <v>618</v>
      </c>
      <c r="B137" s="3" t="s">
        <v>627</v>
      </c>
      <c r="C137" s="2" t="s">
        <v>590</v>
      </c>
      <c r="D137" s="2"/>
    </row>
    <row r="138" spans="1:4">
      <c r="A138" s="2"/>
      <c r="B138" s="361" t="s">
        <v>592</v>
      </c>
      <c r="C138" s="2" t="s">
        <v>581</v>
      </c>
      <c r="D138" s="357" t="s">
        <v>618</v>
      </c>
    </row>
    <row r="139" spans="1:4">
      <c r="A139" s="2"/>
      <c r="B139" s="3"/>
      <c r="C139" s="2"/>
      <c r="D139" s="2" t="s">
        <v>602</v>
      </c>
    </row>
    <row r="140" spans="1:4">
      <c r="A140" s="2"/>
      <c r="B140" s="3"/>
      <c r="C140" s="2"/>
      <c r="D140" s="2" t="s">
        <v>603</v>
      </c>
    </row>
    <row r="141" spans="1:4">
      <c r="A141" s="2"/>
      <c r="B141" s="3"/>
      <c r="C141" s="2"/>
      <c r="D141" s="2"/>
    </row>
    <row r="142" spans="1:4">
      <c r="A142" s="357" t="s">
        <v>628</v>
      </c>
      <c r="B142" s="3" t="s">
        <v>627</v>
      </c>
      <c r="C142" s="2"/>
      <c r="D142" s="2"/>
    </row>
    <row r="143" spans="1:4">
      <c r="A143" s="2"/>
      <c r="B143" s="361" t="s">
        <v>595</v>
      </c>
      <c r="C143" s="2" t="s">
        <v>590</v>
      </c>
      <c r="D143" s="357" t="s">
        <v>628</v>
      </c>
    </row>
    <row r="144" spans="1:4">
      <c r="A144" s="2"/>
      <c r="B144" s="3"/>
      <c r="C144" s="2" t="s">
        <v>581</v>
      </c>
      <c r="D144" s="2" t="s">
        <v>602</v>
      </c>
    </row>
    <row r="145" spans="1:5">
      <c r="A145" s="2"/>
      <c r="B145" s="3"/>
      <c r="C145" s="2"/>
      <c r="D145" s="2" t="s">
        <v>603</v>
      </c>
    </row>
    <row r="148" spans="1:5">
      <c r="B148" s="131"/>
      <c r="C148" s="2"/>
      <c r="D148" s="2"/>
      <c r="E148" s="81"/>
    </row>
    <row r="149" spans="1:5">
      <c r="B149" s="131"/>
      <c r="C149" s="2"/>
      <c r="D149" s="2"/>
      <c r="E149" s="81"/>
    </row>
    <row r="150" spans="1:5">
      <c r="B150" s="131"/>
      <c r="C150" s="2"/>
      <c r="D150" s="2"/>
      <c r="E150" s="81"/>
    </row>
    <row r="151" spans="1:5">
      <c r="B151" s="131"/>
      <c r="C151" s="2"/>
      <c r="D151" s="2"/>
      <c r="E151" s="81"/>
    </row>
    <row r="152" spans="1:5">
      <c r="B152" s="131"/>
      <c r="C152" s="2"/>
      <c r="D152" s="2"/>
      <c r="E152" s="81"/>
    </row>
    <row r="153" spans="1:5">
      <c r="B153" s="131"/>
      <c r="C153" s="2"/>
      <c r="D153" s="2"/>
      <c r="E153" s="81"/>
    </row>
    <row r="154" spans="1:5">
      <c r="B154" s="131"/>
      <c r="C154" s="2"/>
      <c r="D154" s="2"/>
      <c r="E154" s="81"/>
    </row>
    <row r="155" spans="1:5">
      <c r="B155" s="131"/>
      <c r="C155" s="2"/>
      <c r="D155" s="2"/>
      <c r="E155" s="81"/>
    </row>
    <row r="156" spans="1:5">
      <c r="B156" s="131"/>
      <c r="C156" s="2"/>
      <c r="D156" s="2"/>
      <c r="E156" s="81"/>
    </row>
    <row r="157" spans="1:5">
      <c r="B157" s="131"/>
      <c r="C157" s="2"/>
      <c r="D157" s="2"/>
      <c r="E157" s="81"/>
    </row>
    <row r="158" spans="1:5">
      <c r="B158" s="131"/>
      <c r="C158" s="2"/>
      <c r="D158" s="2"/>
      <c r="E158" s="81"/>
    </row>
    <row r="159" spans="1:5">
      <c r="B159" s="131"/>
      <c r="C159" s="2"/>
      <c r="D159" s="2"/>
      <c r="E159" s="81"/>
    </row>
    <row r="160" spans="1:5">
      <c r="B160" s="131"/>
      <c r="C160" s="2"/>
      <c r="D160" s="2"/>
      <c r="E160" s="81"/>
    </row>
    <row r="161" spans="2:6">
      <c r="B161" s="131"/>
      <c r="C161" s="2"/>
      <c r="D161" s="2"/>
      <c r="E161" s="81"/>
    </row>
    <row r="162" spans="2:6">
      <c r="B162" s="131"/>
      <c r="C162" s="2"/>
      <c r="D162" s="2"/>
      <c r="E162" s="81"/>
      <c r="F162" s="81"/>
    </row>
    <row r="163" spans="2:6">
      <c r="B163" s="131"/>
      <c r="C163" s="2"/>
      <c r="D163" s="2"/>
      <c r="E163" s="81"/>
      <c r="F163" s="81"/>
    </row>
    <row r="164" spans="2:6">
      <c r="B164" s="131"/>
      <c r="C164" s="2"/>
      <c r="D164" s="2"/>
      <c r="E164" s="81"/>
      <c r="F164" s="81"/>
    </row>
    <row r="165" spans="2:6">
      <c r="B165" s="131"/>
      <c r="C165" s="2"/>
      <c r="D165" s="2"/>
      <c r="E165" s="81"/>
      <c r="F165" s="81"/>
    </row>
    <row r="166" spans="2:6">
      <c r="B166" s="131"/>
      <c r="C166" s="2"/>
      <c r="D166" s="2"/>
      <c r="E166" s="81"/>
      <c r="F166" s="81"/>
    </row>
    <row r="167" spans="2:6">
      <c r="B167" s="131"/>
      <c r="C167" s="2"/>
      <c r="D167" s="2"/>
      <c r="E167" s="81"/>
      <c r="F167" s="81"/>
    </row>
    <row r="168" spans="2:6">
      <c r="B168" s="131"/>
      <c r="C168" s="2"/>
      <c r="D168" s="2"/>
      <c r="E168" s="81"/>
      <c r="F168" s="81"/>
    </row>
  </sheetData>
  <mergeCells count="6">
    <mergeCell ref="I1:V1"/>
    <mergeCell ref="W1:Z2"/>
    <mergeCell ref="A1:D1"/>
    <mergeCell ref="A43:D43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54"/>
  <sheetViews>
    <sheetView topLeftCell="L1" workbookViewId="0">
      <pane ySplit="2" topLeftCell="A3" activePane="bottomLeft" state="frozen"/>
      <selection pane="bottomLeft" activeCell="M47" sqref="M47"/>
    </sheetView>
  </sheetViews>
  <sheetFormatPr defaultRowHeight="11.25"/>
  <cols>
    <col min="1" max="1" width="9.42578125" style="3" bestFit="1" customWidth="1"/>
    <col min="2" max="2" width="55.42578125" style="3" bestFit="1" customWidth="1"/>
    <col min="3" max="3" width="11.140625" style="3" bestFit="1" customWidth="1"/>
    <col min="4" max="4" width="10.28515625" style="3" customWidth="1"/>
    <col min="5" max="5" width="10" style="3" customWidth="1"/>
    <col min="6" max="10" width="9.140625" style="3" customWidth="1"/>
    <col min="11" max="11" width="8.28515625" style="3" customWidth="1"/>
    <col min="12" max="12" width="9.1406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9.85546875" style="3" bestFit="1" customWidth="1"/>
    <col min="24" max="29" width="9.140625" style="3"/>
    <col min="30" max="30" width="5.85546875" style="3" customWidth="1"/>
    <col min="31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808" t="s">
        <v>324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  <c r="P1" s="809"/>
      <c r="Q1" s="809"/>
      <c r="R1" s="809"/>
      <c r="S1" s="809"/>
      <c r="T1" s="809"/>
      <c r="U1" s="809"/>
      <c r="V1" s="809"/>
      <c r="W1" s="809"/>
      <c r="X1" s="809"/>
      <c r="Y1" s="809"/>
      <c r="Z1" s="809"/>
      <c r="AA1" s="809"/>
      <c r="AB1" s="809"/>
      <c r="AC1" s="809"/>
      <c r="AD1" s="809"/>
      <c r="AE1" s="810" t="s">
        <v>47</v>
      </c>
      <c r="AF1" s="812" t="s">
        <v>9</v>
      </c>
      <c r="AG1" s="814" t="s">
        <v>504</v>
      </c>
      <c r="AH1" s="797" t="s">
        <v>334</v>
      </c>
      <c r="AI1" s="799" t="s">
        <v>83</v>
      </c>
      <c r="AJ1" s="800"/>
      <c r="AK1" s="800"/>
      <c r="AL1" s="801"/>
    </row>
    <row r="2" spans="1:38" ht="12" thickBot="1">
      <c r="A2" s="185"/>
      <c r="B2" s="186" t="s">
        <v>333</v>
      </c>
      <c r="C2" s="186" t="s">
        <v>84</v>
      </c>
      <c r="D2" s="187" t="s">
        <v>325</v>
      </c>
      <c r="E2" s="164" t="s">
        <v>31</v>
      </c>
      <c r="F2" s="164" t="s">
        <v>326</v>
      </c>
      <c r="G2" s="164" t="s">
        <v>327</v>
      </c>
      <c r="H2" s="164" t="s">
        <v>328</v>
      </c>
      <c r="I2" s="164" t="s">
        <v>329</v>
      </c>
      <c r="J2" s="164" t="s">
        <v>330</v>
      </c>
      <c r="K2" s="771" t="s">
        <v>29</v>
      </c>
      <c r="L2" s="772"/>
      <c r="M2" s="173" t="s">
        <v>331</v>
      </c>
      <c r="N2" s="173" t="s">
        <v>31</v>
      </c>
      <c r="O2" s="173" t="s">
        <v>326</v>
      </c>
      <c r="P2" s="173" t="s">
        <v>327</v>
      </c>
      <c r="Q2" s="173" t="s">
        <v>328</v>
      </c>
      <c r="R2" s="173" t="s">
        <v>329</v>
      </c>
      <c r="S2" s="173" t="s">
        <v>330</v>
      </c>
      <c r="T2" s="773" t="s">
        <v>29</v>
      </c>
      <c r="U2" s="774"/>
      <c r="V2" s="164" t="s">
        <v>332</v>
      </c>
      <c r="W2" s="164" t="s">
        <v>31</v>
      </c>
      <c r="X2" s="164" t="s">
        <v>326</v>
      </c>
      <c r="Y2" s="164" t="s">
        <v>327</v>
      </c>
      <c r="Z2" s="164" t="s">
        <v>328</v>
      </c>
      <c r="AA2" s="164" t="s">
        <v>329</v>
      </c>
      <c r="AB2" s="164" t="s">
        <v>330</v>
      </c>
      <c r="AC2" s="771" t="s">
        <v>29</v>
      </c>
      <c r="AD2" s="772"/>
      <c r="AE2" s="811"/>
      <c r="AF2" s="813"/>
      <c r="AG2" s="815"/>
      <c r="AH2" s="798"/>
      <c r="AI2" s="802"/>
      <c r="AJ2" s="803"/>
      <c r="AK2" s="803"/>
      <c r="AL2" s="804"/>
    </row>
    <row r="3" spans="1:38" s="5" customFormat="1">
      <c r="A3" s="426" t="str">
        <f>'1-συμβολαια'!A3</f>
        <v>10ο</v>
      </c>
      <c r="B3" s="73" t="str">
        <f>'1-συμβολαια'!C3</f>
        <v>κληρονομιάς ΑΠΟΔΟΧΗ</v>
      </c>
      <c r="C3" s="326">
        <f>'1-συμβολαια'!D3</f>
        <v>0</v>
      </c>
      <c r="D3" s="326"/>
      <c r="E3" s="73"/>
      <c r="F3" s="73"/>
      <c r="G3" s="73"/>
      <c r="H3" s="73"/>
      <c r="I3" s="73"/>
      <c r="J3" s="73"/>
      <c r="K3" s="73"/>
      <c r="L3" s="73"/>
      <c r="M3" s="326">
        <f>C3*0.65%</f>
        <v>0</v>
      </c>
      <c r="N3" s="73"/>
      <c r="O3" s="73"/>
      <c r="P3" s="73"/>
      <c r="Q3" s="73"/>
      <c r="R3" s="73"/>
      <c r="S3" s="73"/>
      <c r="T3" s="73"/>
      <c r="U3" s="73"/>
      <c r="V3" s="326">
        <f>C3*0.125%</f>
        <v>0</v>
      </c>
      <c r="W3" s="73"/>
      <c r="X3" s="73"/>
      <c r="Y3" s="73"/>
      <c r="Z3" s="73"/>
      <c r="AA3" s="73"/>
      <c r="AB3" s="73"/>
      <c r="AC3" s="73"/>
      <c r="AD3" s="73"/>
      <c r="AE3" s="319">
        <f t="shared" ref="AE3" si="0">D3+M3+V3</f>
        <v>0</v>
      </c>
      <c r="AF3" s="319"/>
      <c r="AG3" s="319">
        <f t="shared" ref="AG3" si="1">AE3-AF3</f>
        <v>0</v>
      </c>
      <c r="AH3" s="73"/>
      <c r="AI3" s="73"/>
      <c r="AJ3" s="73"/>
      <c r="AK3" s="73"/>
      <c r="AL3" s="73"/>
    </row>
    <row r="4" spans="1:38" s="5" customFormat="1">
      <c r="A4" s="426">
        <f>'1-συμβολαια'!A4</f>
        <v>0</v>
      </c>
      <c r="B4" s="73" t="str">
        <f>'1-συμβολαια'!C4</f>
        <v>ΧΡΗΣΙΚΤΗΣΙΑ οικοπέδου &amp; οικοδομής = 1992 αδερφού ΚΛΗΡΟΝΟΜΙΑ άτυπη</v>
      </c>
      <c r="C4" s="326">
        <f>'1-συμβολαια'!D4</f>
        <v>1111.1099999999999</v>
      </c>
      <c r="D4" s="326"/>
      <c r="E4" s="73"/>
      <c r="F4" s="73"/>
      <c r="G4" s="73"/>
      <c r="H4" s="73"/>
      <c r="I4" s="73"/>
      <c r="J4" s="73"/>
      <c r="K4" s="73"/>
      <c r="L4" s="73"/>
      <c r="M4" s="326">
        <f t="shared" ref="M4:M29" si="2">C4*0.65%</f>
        <v>7.2222150000000003</v>
      </c>
      <c r="N4" s="73"/>
      <c r="O4" s="73"/>
      <c r="P4" s="73"/>
      <c r="Q4" s="73"/>
      <c r="R4" s="73"/>
      <c r="S4" s="73"/>
      <c r="T4" s="73"/>
      <c r="U4" s="73"/>
      <c r="V4" s="326">
        <f t="shared" ref="V4:V29" si="3">C4*0.125%</f>
        <v>1.3888874999999998</v>
      </c>
      <c r="W4" s="73"/>
      <c r="X4" s="73"/>
      <c r="Y4" s="73"/>
      <c r="Z4" s="73"/>
      <c r="AA4" s="73"/>
      <c r="AB4" s="73"/>
      <c r="AC4" s="73"/>
      <c r="AD4" s="73"/>
      <c r="AE4" s="319">
        <f t="shared" ref="AE4:AE29" si="4">D4+M4+V4</f>
        <v>8.6111024999999994</v>
      </c>
      <c r="AF4" s="319"/>
      <c r="AG4" s="319">
        <f t="shared" ref="AG4:AG29" si="5">AE4-AF4</f>
        <v>8.6111024999999994</v>
      </c>
      <c r="AH4" s="73"/>
      <c r="AI4" s="73"/>
      <c r="AJ4" s="73"/>
      <c r="AK4" s="73"/>
      <c r="AL4" s="73"/>
    </row>
    <row r="5" spans="1:38" s="5" customFormat="1">
      <c r="A5" s="426">
        <f>'1-συμβολαια'!A5</f>
        <v>0</v>
      </c>
      <c r="B5" s="73" t="str">
        <f>'1-συμβολαια'!C5</f>
        <v>ΧΡΗΣΙΚΤΗΣΙΑ οικοπέδων 2'-3' = 1992 αδερφού ΚΛΗΡΟΝΟΜΙΑ άτυπη</v>
      </c>
      <c r="C5" s="326">
        <f>'1-συμβολαια'!D5</f>
        <v>1111.1099999999999</v>
      </c>
      <c r="D5" s="326"/>
      <c r="E5" s="73"/>
      <c r="F5" s="73"/>
      <c r="G5" s="73"/>
      <c r="H5" s="73"/>
      <c r="I5" s="73"/>
      <c r="J5" s="73"/>
      <c r="K5" s="73"/>
      <c r="L5" s="73"/>
      <c r="M5" s="326">
        <f t="shared" si="2"/>
        <v>7.2222150000000003</v>
      </c>
      <c r="N5" s="73"/>
      <c r="O5" s="73"/>
      <c r="P5" s="73"/>
      <c r="Q5" s="73"/>
      <c r="R5" s="73"/>
      <c r="S5" s="73"/>
      <c r="T5" s="73"/>
      <c r="U5" s="73"/>
      <c r="V5" s="326">
        <f t="shared" si="3"/>
        <v>1.3888874999999998</v>
      </c>
      <c r="W5" s="73"/>
      <c r="X5" s="73"/>
      <c r="Y5" s="73"/>
      <c r="Z5" s="73"/>
      <c r="AA5" s="73"/>
      <c r="AB5" s="73"/>
      <c r="AC5" s="73"/>
      <c r="AD5" s="73"/>
      <c r="AE5" s="319">
        <f t="shared" si="4"/>
        <v>8.6111024999999994</v>
      </c>
      <c r="AF5" s="319"/>
      <c r="AG5" s="319">
        <f t="shared" si="5"/>
        <v>8.6111024999999994</v>
      </c>
      <c r="AH5" s="73"/>
      <c r="AI5" s="73"/>
      <c r="AJ5" s="73"/>
      <c r="AK5" s="73"/>
      <c r="AL5" s="73"/>
    </row>
    <row r="6" spans="1:38" s="5" customFormat="1">
      <c r="A6" s="426">
        <f>'1-συμβολαια'!A6</f>
        <v>0</v>
      </c>
      <c r="B6" s="73" t="str">
        <f>'1-συμβολαια'!C6</f>
        <v>ΧΡΗΣΙΚΤΗΣΙΑ αγροτεμαχίου 9' = 1968 μητρός ΚΛΗΡΟΝΟΜΙΑ άτυπη</v>
      </c>
      <c r="C6" s="326">
        <f>'1-συμβολαια'!D6</f>
        <v>111.11</v>
      </c>
      <c r="D6" s="326"/>
      <c r="E6" s="73"/>
      <c r="F6" s="73"/>
      <c r="G6" s="73"/>
      <c r="H6" s="73"/>
      <c r="I6" s="73"/>
      <c r="J6" s="73"/>
      <c r="K6" s="73"/>
      <c r="L6" s="73"/>
      <c r="M6" s="326">
        <f t="shared" si="2"/>
        <v>0.72221500000000005</v>
      </c>
      <c r="N6" s="73"/>
      <c r="O6" s="73"/>
      <c r="P6" s="73"/>
      <c r="Q6" s="73"/>
      <c r="R6" s="73"/>
      <c r="S6" s="73"/>
      <c r="T6" s="73"/>
      <c r="U6" s="73"/>
      <c r="V6" s="326">
        <f t="shared" si="3"/>
        <v>0.1388875</v>
      </c>
      <c r="W6" s="73"/>
      <c r="X6" s="73"/>
      <c r="Y6" s="73"/>
      <c r="Z6" s="73"/>
      <c r="AA6" s="73"/>
      <c r="AB6" s="73"/>
      <c r="AC6" s="73"/>
      <c r="AD6" s="73"/>
      <c r="AE6" s="319">
        <f t="shared" si="4"/>
        <v>0.8611025000000001</v>
      </c>
      <c r="AF6" s="319"/>
      <c r="AG6" s="319">
        <f t="shared" si="5"/>
        <v>0.8611025000000001</v>
      </c>
      <c r="AH6" s="73"/>
      <c r="AI6" s="73"/>
      <c r="AJ6" s="73"/>
      <c r="AK6" s="73"/>
      <c r="AL6" s="73"/>
    </row>
    <row r="7" spans="1:38" s="5" customFormat="1">
      <c r="A7" s="426">
        <f>'1-συμβολαια'!A7</f>
        <v>0</v>
      </c>
      <c r="B7" s="73" t="str">
        <f>'1-συμβολαια'!C7</f>
        <v>ΧΡΗΣΙΚΤΗΣΙΑ οικοπέδου 4' = 19?? ΑΓΟΡΑΠΩΛΗΣΙΑ άτυπη</v>
      </c>
      <c r="C7" s="326">
        <f>'1-συμβολαια'!D7</f>
        <v>111.11</v>
      </c>
      <c r="D7" s="326"/>
      <c r="E7" s="73"/>
      <c r="F7" s="73"/>
      <c r="G7" s="73"/>
      <c r="H7" s="73"/>
      <c r="I7" s="73"/>
      <c r="J7" s="73"/>
      <c r="K7" s="73"/>
      <c r="L7" s="73"/>
      <c r="M7" s="326">
        <f t="shared" si="2"/>
        <v>0.72221500000000005</v>
      </c>
      <c r="N7" s="73"/>
      <c r="O7" s="73"/>
      <c r="P7" s="73"/>
      <c r="Q7" s="73"/>
      <c r="R7" s="73"/>
      <c r="S7" s="73"/>
      <c r="T7" s="73"/>
      <c r="U7" s="73"/>
      <c r="V7" s="326">
        <f t="shared" si="3"/>
        <v>0.1388875</v>
      </c>
      <c r="W7" s="73"/>
      <c r="X7" s="73"/>
      <c r="Y7" s="73"/>
      <c r="Z7" s="73"/>
      <c r="AA7" s="73"/>
      <c r="AB7" s="73"/>
      <c r="AC7" s="73"/>
      <c r="AD7" s="73"/>
      <c r="AE7" s="319">
        <f t="shared" si="4"/>
        <v>0.8611025000000001</v>
      </c>
      <c r="AF7" s="319"/>
      <c r="AG7" s="319">
        <f t="shared" si="5"/>
        <v>0.8611025000000001</v>
      </c>
      <c r="AH7" s="73"/>
      <c r="AI7" s="73"/>
      <c r="AJ7" s="73"/>
      <c r="AK7" s="73"/>
      <c r="AL7" s="73"/>
    </row>
    <row r="8" spans="1:38" s="5" customFormat="1" ht="12" thickBot="1">
      <c r="A8" s="429">
        <f>'1-συμβολαια'!A8</f>
        <v>0</v>
      </c>
      <c r="B8" s="430" t="str">
        <f>'1-συμβολαια'!C8</f>
        <v>ΧΡΗΣΙΚΤΗΣΙΑ αγροτεμαχίου 8' = 19??? ΑΓΟΡΑΠΩΛΗΣΙΑ άτυπη</v>
      </c>
      <c r="C8" s="431">
        <f>'1-συμβολαια'!D8</f>
        <v>1111.1099999999999</v>
      </c>
      <c r="D8" s="431"/>
      <c r="E8" s="430"/>
      <c r="F8" s="430"/>
      <c r="G8" s="430"/>
      <c r="H8" s="430"/>
      <c r="I8" s="430"/>
      <c r="J8" s="430"/>
      <c r="K8" s="430"/>
      <c r="L8" s="430"/>
      <c r="M8" s="431">
        <f t="shared" si="2"/>
        <v>7.2222150000000003</v>
      </c>
      <c r="N8" s="430"/>
      <c r="O8" s="430"/>
      <c r="P8" s="430"/>
      <c r="Q8" s="430"/>
      <c r="R8" s="430"/>
      <c r="S8" s="430"/>
      <c r="T8" s="430"/>
      <c r="U8" s="430"/>
      <c r="V8" s="431">
        <f t="shared" si="3"/>
        <v>1.3888874999999998</v>
      </c>
      <c r="W8" s="430"/>
      <c r="X8" s="430"/>
      <c r="Y8" s="430"/>
      <c r="Z8" s="430"/>
      <c r="AA8" s="430"/>
      <c r="AB8" s="430"/>
      <c r="AC8" s="430"/>
      <c r="AD8" s="430"/>
      <c r="AE8" s="431">
        <f t="shared" si="4"/>
        <v>8.6111024999999994</v>
      </c>
      <c r="AF8" s="431"/>
      <c r="AG8" s="431">
        <f t="shared" si="5"/>
        <v>8.6111024999999994</v>
      </c>
      <c r="AH8" s="430"/>
      <c r="AI8" s="430"/>
      <c r="AJ8" s="430"/>
      <c r="AK8" s="430"/>
      <c r="AL8" s="430"/>
    </row>
    <row r="9" spans="1:38" s="5" customFormat="1">
      <c r="A9" s="452" t="str">
        <f>'1-συμβολαια'!A9</f>
        <v>11ο</v>
      </c>
      <c r="B9" s="428" t="str">
        <f>'1-συμβολαια'!C9</f>
        <v>κληρονομιάς ΑΠΟΔΟΧΗ</v>
      </c>
      <c r="C9" s="319">
        <f>'1-συμβολαια'!D9</f>
        <v>0</v>
      </c>
      <c r="D9" s="319"/>
      <c r="E9" s="428"/>
      <c r="F9" s="428"/>
      <c r="G9" s="428"/>
      <c r="H9" s="428"/>
      <c r="I9" s="428"/>
      <c r="J9" s="428"/>
      <c r="K9" s="428"/>
      <c r="L9" s="428"/>
      <c r="M9" s="319">
        <f t="shared" si="2"/>
        <v>0</v>
      </c>
      <c r="N9" s="428"/>
      <c r="O9" s="428"/>
      <c r="P9" s="428"/>
      <c r="Q9" s="428"/>
      <c r="R9" s="428"/>
      <c r="S9" s="428"/>
      <c r="T9" s="428"/>
      <c r="U9" s="428"/>
      <c r="V9" s="319">
        <f t="shared" si="3"/>
        <v>0</v>
      </c>
      <c r="W9" s="428"/>
      <c r="X9" s="428"/>
      <c r="Y9" s="428"/>
      <c r="Z9" s="428"/>
      <c r="AA9" s="428"/>
      <c r="AB9" s="428"/>
      <c r="AC9" s="428"/>
      <c r="AD9" s="428"/>
      <c r="AE9" s="319">
        <f t="shared" si="4"/>
        <v>0</v>
      </c>
      <c r="AF9" s="319"/>
      <c r="AG9" s="319">
        <f t="shared" si="5"/>
        <v>0</v>
      </c>
      <c r="AH9" s="428"/>
      <c r="AI9" s="428"/>
      <c r="AJ9" s="428"/>
      <c r="AK9" s="428"/>
      <c r="AL9" s="428"/>
    </row>
    <row r="10" spans="1:38" s="5" customFormat="1">
      <c r="A10" s="453">
        <f>'1-συμβολαια'!A10</f>
        <v>0</v>
      </c>
      <c r="B10" s="73" t="str">
        <f>'1-συμβολαια'!C10</f>
        <v>ΧΡΗΣΙΚΤΗΣΙΑ οικοπέδου &amp; οικοδομής = 1992 αδερφού ΚΛΗΡΟΝΟΜΙΑ άτυπη</v>
      </c>
      <c r="C10" s="326">
        <f>'1-συμβολαια'!D10</f>
        <v>1111.1099999999999</v>
      </c>
      <c r="D10" s="326"/>
      <c r="E10" s="73"/>
      <c r="F10" s="73"/>
      <c r="G10" s="73"/>
      <c r="H10" s="73"/>
      <c r="I10" s="73"/>
      <c r="J10" s="73"/>
      <c r="K10" s="73"/>
      <c r="L10" s="73"/>
      <c r="M10" s="326">
        <f t="shared" si="2"/>
        <v>7.2222150000000003</v>
      </c>
      <c r="N10" s="73"/>
      <c r="O10" s="73"/>
      <c r="P10" s="73"/>
      <c r="Q10" s="73"/>
      <c r="R10" s="73"/>
      <c r="S10" s="73"/>
      <c r="T10" s="73"/>
      <c r="U10" s="73"/>
      <c r="V10" s="326">
        <f t="shared" si="3"/>
        <v>1.3888874999999998</v>
      </c>
      <c r="W10" s="73"/>
      <c r="X10" s="73"/>
      <c r="Y10" s="73"/>
      <c r="Z10" s="73"/>
      <c r="AA10" s="73"/>
      <c r="AB10" s="73"/>
      <c r="AC10" s="73"/>
      <c r="AD10" s="73"/>
      <c r="AE10" s="319">
        <f t="shared" si="4"/>
        <v>8.6111024999999994</v>
      </c>
      <c r="AF10" s="319"/>
      <c r="AG10" s="319">
        <f t="shared" si="5"/>
        <v>8.6111024999999994</v>
      </c>
      <c r="AH10" s="73"/>
      <c r="AI10" s="73"/>
      <c r="AJ10" s="73"/>
      <c r="AK10" s="73"/>
      <c r="AL10" s="73"/>
    </row>
    <row r="11" spans="1:38" s="5" customFormat="1">
      <c r="A11" s="453">
        <f>'1-συμβολαια'!A11</f>
        <v>0</v>
      </c>
      <c r="B11" s="73" t="str">
        <f>'1-συμβολαια'!C11</f>
        <v>ΧΡΗΣΙΚΤΗΣΙΑ οικοπέδων 2'-3' = 1992 αδερφού ΚΛΗΡΟΝΟΜΙΑ άτυπη</v>
      </c>
      <c r="C11" s="326">
        <f>'1-συμβολαια'!D11</f>
        <v>1111.1099999999999</v>
      </c>
      <c r="D11" s="326"/>
      <c r="E11" s="73"/>
      <c r="F11" s="73"/>
      <c r="G11" s="73"/>
      <c r="H11" s="73"/>
      <c r="I11" s="73"/>
      <c r="J11" s="73"/>
      <c r="K11" s="73"/>
      <c r="L11" s="73"/>
      <c r="M11" s="326">
        <f t="shared" si="2"/>
        <v>7.2222150000000003</v>
      </c>
      <c r="N11" s="73"/>
      <c r="O11" s="73"/>
      <c r="P11" s="73"/>
      <c r="Q11" s="73"/>
      <c r="R11" s="73"/>
      <c r="S11" s="73"/>
      <c r="T11" s="73"/>
      <c r="U11" s="73"/>
      <c r="V11" s="326">
        <f t="shared" si="3"/>
        <v>1.3888874999999998</v>
      </c>
      <c r="W11" s="73"/>
      <c r="X11" s="73"/>
      <c r="Y11" s="73"/>
      <c r="Z11" s="73"/>
      <c r="AA11" s="73"/>
      <c r="AB11" s="73"/>
      <c r="AC11" s="73"/>
      <c r="AD11" s="73"/>
      <c r="AE11" s="319">
        <f t="shared" si="4"/>
        <v>8.6111024999999994</v>
      </c>
      <c r="AF11" s="319"/>
      <c r="AG11" s="319">
        <f t="shared" si="5"/>
        <v>8.6111024999999994</v>
      </c>
      <c r="AH11" s="73"/>
      <c r="AI11" s="73"/>
      <c r="AJ11" s="73"/>
      <c r="AK11" s="73"/>
      <c r="AL11" s="73"/>
    </row>
    <row r="12" spans="1:38" s="5" customFormat="1">
      <c r="A12" s="453">
        <f>'1-συμβολαια'!A12</f>
        <v>0</v>
      </c>
      <c r="B12" s="73" t="str">
        <f>'1-συμβολαια'!C12</f>
        <v>ΧΡΗΣΙΚΤΗΣΙΑ αγροτεμαχίου 9' = 1968 μητρός ΚΛΗΡΟΝΟΜΙΑ άτυπη</v>
      </c>
      <c r="C12" s="326">
        <f>'1-συμβολαια'!D12</f>
        <v>111.11</v>
      </c>
      <c r="D12" s="326"/>
      <c r="E12" s="73"/>
      <c r="F12" s="73"/>
      <c r="G12" s="73"/>
      <c r="H12" s="73"/>
      <c r="I12" s="73"/>
      <c r="J12" s="73"/>
      <c r="K12" s="73"/>
      <c r="L12" s="73"/>
      <c r="M12" s="326">
        <f t="shared" si="2"/>
        <v>0.72221500000000005</v>
      </c>
      <c r="N12" s="73"/>
      <c r="O12" s="73"/>
      <c r="P12" s="73"/>
      <c r="Q12" s="73"/>
      <c r="R12" s="73"/>
      <c r="S12" s="73"/>
      <c r="T12" s="73"/>
      <c r="U12" s="73"/>
      <c r="V12" s="326">
        <f t="shared" si="3"/>
        <v>0.1388875</v>
      </c>
      <c r="W12" s="73"/>
      <c r="X12" s="73"/>
      <c r="Y12" s="73"/>
      <c r="Z12" s="73"/>
      <c r="AA12" s="73"/>
      <c r="AB12" s="73"/>
      <c r="AC12" s="73"/>
      <c r="AD12" s="73"/>
      <c r="AE12" s="319">
        <f t="shared" si="4"/>
        <v>0.8611025000000001</v>
      </c>
      <c r="AF12" s="319"/>
      <c r="AG12" s="319">
        <f t="shared" si="5"/>
        <v>0.8611025000000001</v>
      </c>
      <c r="AH12" s="73"/>
      <c r="AI12" s="73"/>
      <c r="AJ12" s="73"/>
      <c r="AK12" s="73"/>
      <c r="AL12" s="73"/>
    </row>
    <row r="13" spans="1:38" s="5" customFormat="1">
      <c r="A13" s="453">
        <f>'1-συμβολαια'!A13</f>
        <v>0</v>
      </c>
      <c r="B13" s="73" t="str">
        <f>'1-συμβολαια'!C13</f>
        <v>ΧΡΗΣΙΚΤΗΣΙΑ οικοπέδου 4' = 19?? ΑΓΟΡΑΠΩΛΗΣΙΑ άτυπη</v>
      </c>
      <c r="C13" s="326">
        <f>'1-συμβολαια'!D13</f>
        <v>111.11</v>
      </c>
      <c r="D13" s="326"/>
      <c r="E13" s="73"/>
      <c r="F13" s="73"/>
      <c r="G13" s="73"/>
      <c r="H13" s="73"/>
      <c r="I13" s="73"/>
      <c r="J13" s="73"/>
      <c r="K13" s="73"/>
      <c r="L13" s="73"/>
      <c r="M13" s="326">
        <f t="shared" si="2"/>
        <v>0.72221500000000005</v>
      </c>
      <c r="N13" s="73"/>
      <c r="O13" s="73"/>
      <c r="P13" s="73"/>
      <c r="Q13" s="73"/>
      <c r="R13" s="73"/>
      <c r="S13" s="73"/>
      <c r="T13" s="73"/>
      <c r="U13" s="73"/>
      <c r="V13" s="326">
        <f t="shared" si="3"/>
        <v>0.1388875</v>
      </c>
      <c r="W13" s="73"/>
      <c r="X13" s="73"/>
      <c r="Y13" s="73"/>
      <c r="Z13" s="73"/>
      <c r="AA13" s="73"/>
      <c r="AB13" s="73"/>
      <c r="AC13" s="73"/>
      <c r="AD13" s="73"/>
      <c r="AE13" s="319">
        <f t="shared" si="4"/>
        <v>0.8611025000000001</v>
      </c>
      <c r="AF13" s="319"/>
      <c r="AG13" s="319">
        <f t="shared" si="5"/>
        <v>0.8611025000000001</v>
      </c>
      <c r="AH13" s="73"/>
      <c r="AI13" s="73"/>
      <c r="AJ13" s="73"/>
      <c r="AK13" s="73"/>
      <c r="AL13" s="73"/>
    </row>
    <row r="14" spans="1:38" s="5" customFormat="1" ht="12" thickBot="1">
      <c r="A14" s="454">
        <f>'1-συμβολαια'!A14</f>
        <v>0</v>
      </c>
      <c r="B14" s="430" t="str">
        <f>'1-συμβολαια'!C14</f>
        <v>ΧΡΗΣΙΚΤΗΣΙΑ αγροτεμαχίου 8' = 19??? ΑΓΟΡΑΠΩΛΗΣΙΑ άτυπη</v>
      </c>
      <c r="C14" s="431">
        <f>'1-συμβολαια'!D14</f>
        <v>1111.1099999999999</v>
      </c>
      <c r="D14" s="431"/>
      <c r="E14" s="430"/>
      <c r="F14" s="430"/>
      <c r="G14" s="430"/>
      <c r="H14" s="430"/>
      <c r="I14" s="430"/>
      <c r="J14" s="430"/>
      <c r="K14" s="430"/>
      <c r="L14" s="430"/>
      <c r="M14" s="431">
        <f t="shared" si="2"/>
        <v>7.2222150000000003</v>
      </c>
      <c r="N14" s="430"/>
      <c r="O14" s="430"/>
      <c r="P14" s="430"/>
      <c r="Q14" s="430"/>
      <c r="R14" s="430"/>
      <c r="S14" s="430"/>
      <c r="T14" s="430"/>
      <c r="U14" s="430"/>
      <c r="V14" s="431">
        <f t="shared" si="3"/>
        <v>1.3888874999999998</v>
      </c>
      <c r="W14" s="430"/>
      <c r="X14" s="430"/>
      <c r="Y14" s="430"/>
      <c r="Z14" s="430"/>
      <c r="AA14" s="430"/>
      <c r="AB14" s="430"/>
      <c r="AC14" s="430"/>
      <c r="AD14" s="430"/>
      <c r="AE14" s="431">
        <f t="shared" si="4"/>
        <v>8.6111024999999994</v>
      </c>
      <c r="AF14" s="431"/>
      <c r="AG14" s="431">
        <f t="shared" si="5"/>
        <v>8.6111024999999994</v>
      </c>
      <c r="AH14" s="430"/>
      <c r="AI14" s="430"/>
      <c r="AJ14" s="430"/>
      <c r="AK14" s="430"/>
      <c r="AL14" s="430"/>
    </row>
    <row r="15" spans="1:38" s="5" customFormat="1">
      <c r="A15" s="472" t="str">
        <f>'1-συμβολαια'!A15</f>
        <v>12ο</v>
      </c>
      <c r="B15" s="428" t="str">
        <f>'1-συμβολαια'!C15</f>
        <v>κληρονομιάς ΑΠΟΔΟΧΗ</v>
      </c>
      <c r="C15" s="319">
        <f>'1-συμβολαια'!D15</f>
        <v>0</v>
      </c>
      <c r="D15" s="319"/>
      <c r="E15" s="428"/>
      <c r="F15" s="428"/>
      <c r="G15" s="428"/>
      <c r="H15" s="428"/>
      <c r="I15" s="428"/>
      <c r="J15" s="428"/>
      <c r="K15" s="428"/>
      <c r="L15" s="428"/>
      <c r="M15" s="319">
        <f t="shared" si="2"/>
        <v>0</v>
      </c>
      <c r="N15" s="428"/>
      <c r="O15" s="428"/>
      <c r="P15" s="428"/>
      <c r="Q15" s="428"/>
      <c r="R15" s="428"/>
      <c r="S15" s="428"/>
      <c r="T15" s="428"/>
      <c r="U15" s="428"/>
      <c r="V15" s="319">
        <f t="shared" si="3"/>
        <v>0</v>
      </c>
      <c r="W15" s="428"/>
      <c r="X15" s="428"/>
      <c r="Y15" s="428"/>
      <c r="Z15" s="428"/>
      <c r="AA15" s="428"/>
      <c r="AB15" s="428"/>
      <c r="AC15" s="428"/>
      <c r="AD15" s="428"/>
      <c r="AE15" s="319">
        <f t="shared" si="4"/>
        <v>0</v>
      </c>
      <c r="AF15" s="319"/>
      <c r="AG15" s="319">
        <f t="shared" si="5"/>
        <v>0</v>
      </c>
      <c r="AH15" s="428"/>
      <c r="AI15" s="428"/>
      <c r="AJ15" s="428"/>
      <c r="AK15" s="428"/>
      <c r="AL15" s="428"/>
    </row>
    <row r="16" spans="1:38" s="5" customFormat="1">
      <c r="A16" s="426">
        <f>'1-συμβολαια'!A16</f>
        <v>0</v>
      </c>
      <c r="B16" s="73" t="str">
        <f>'1-συμβολαια'!C16</f>
        <v>ΧΡΗΣΙΚΤΗΣΙΑ οικοπέδου &amp; οικοδομής = 1992 αδερφού ΚΛΗΡΟΝΟΜΙΑ άτυπη</v>
      </c>
      <c r="C16" s="326">
        <f>'1-συμβολαια'!D16</f>
        <v>1111.1099999999999</v>
      </c>
      <c r="D16" s="326"/>
      <c r="E16" s="73"/>
      <c r="F16" s="73"/>
      <c r="G16" s="73"/>
      <c r="H16" s="73"/>
      <c r="I16" s="73"/>
      <c r="J16" s="73"/>
      <c r="K16" s="73"/>
      <c r="L16" s="73"/>
      <c r="M16" s="326">
        <f t="shared" si="2"/>
        <v>7.2222150000000003</v>
      </c>
      <c r="N16" s="73"/>
      <c r="O16" s="73"/>
      <c r="P16" s="73"/>
      <c r="Q16" s="73"/>
      <c r="R16" s="73"/>
      <c r="S16" s="73"/>
      <c r="T16" s="73"/>
      <c r="U16" s="73"/>
      <c r="V16" s="326">
        <f t="shared" si="3"/>
        <v>1.3888874999999998</v>
      </c>
      <c r="W16" s="73"/>
      <c r="X16" s="73"/>
      <c r="Y16" s="73"/>
      <c r="Z16" s="73"/>
      <c r="AA16" s="73"/>
      <c r="AB16" s="73"/>
      <c r="AC16" s="73"/>
      <c r="AD16" s="73"/>
      <c r="AE16" s="319">
        <f t="shared" si="4"/>
        <v>8.6111024999999994</v>
      </c>
      <c r="AF16" s="319"/>
      <c r="AG16" s="319">
        <f t="shared" si="5"/>
        <v>8.6111024999999994</v>
      </c>
      <c r="AH16" s="73"/>
      <c r="AI16" s="73"/>
      <c r="AJ16" s="73"/>
      <c r="AK16" s="73"/>
      <c r="AL16" s="73"/>
    </row>
    <row r="17" spans="1:38" s="5" customFormat="1">
      <c r="A17" s="426">
        <f>'1-συμβολαια'!A17</f>
        <v>0</v>
      </c>
      <c r="B17" s="73" t="str">
        <f>'1-συμβολαια'!C17</f>
        <v>ΧΡΗΣΙΚΤΗΣΙΑ οικοπέδων 2'-3' = 1992 αδερφού ΚΛΗΡΟΝΟΜΙΑ άτυπη</v>
      </c>
      <c r="C17" s="326">
        <f>'1-συμβολαια'!D17</f>
        <v>1111.1099999999999</v>
      </c>
      <c r="D17" s="326"/>
      <c r="E17" s="73"/>
      <c r="F17" s="73"/>
      <c r="G17" s="73"/>
      <c r="H17" s="73"/>
      <c r="I17" s="73"/>
      <c r="J17" s="73"/>
      <c r="K17" s="73"/>
      <c r="L17" s="73"/>
      <c r="M17" s="326">
        <f t="shared" si="2"/>
        <v>7.2222150000000003</v>
      </c>
      <c r="N17" s="73"/>
      <c r="O17" s="73"/>
      <c r="P17" s="73"/>
      <c r="Q17" s="73"/>
      <c r="R17" s="73"/>
      <c r="S17" s="73"/>
      <c r="T17" s="73"/>
      <c r="U17" s="73"/>
      <c r="V17" s="326">
        <f t="shared" si="3"/>
        <v>1.3888874999999998</v>
      </c>
      <c r="W17" s="73"/>
      <c r="X17" s="73"/>
      <c r="Y17" s="73"/>
      <c r="Z17" s="73"/>
      <c r="AA17" s="73"/>
      <c r="AB17" s="73"/>
      <c r="AC17" s="73"/>
      <c r="AD17" s="73"/>
      <c r="AE17" s="319">
        <f t="shared" si="4"/>
        <v>8.6111024999999994</v>
      </c>
      <c r="AF17" s="319"/>
      <c r="AG17" s="319">
        <f t="shared" si="5"/>
        <v>8.6111024999999994</v>
      </c>
      <c r="AH17" s="73"/>
      <c r="AI17" s="73"/>
      <c r="AJ17" s="73"/>
      <c r="AK17" s="73"/>
      <c r="AL17" s="73"/>
    </row>
    <row r="18" spans="1:38" s="5" customFormat="1">
      <c r="A18" s="426">
        <f>'1-συμβολαια'!A18</f>
        <v>0</v>
      </c>
      <c r="B18" s="73" t="str">
        <f>'1-συμβολαια'!C18</f>
        <v>ΧΡΗΣΙΚΤΗΣΙΑ αγροτεμαχίου 9' = 1968 μητρός ΚΛΗΡΟΝΟΜΙΑ άτυπη</v>
      </c>
      <c r="C18" s="326">
        <f>'1-συμβολαια'!D18</f>
        <v>111.11</v>
      </c>
      <c r="D18" s="326"/>
      <c r="E18" s="73"/>
      <c r="F18" s="73"/>
      <c r="G18" s="73"/>
      <c r="H18" s="73"/>
      <c r="I18" s="73"/>
      <c r="J18" s="73"/>
      <c r="K18" s="73"/>
      <c r="L18" s="73"/>
      <c r="M18" s="326">
        <f t="shared" si="2"/>
        <v>0.72221500000000005</v>
      </c>
      <c r="N18" s="73"/>
      <c r="O18" s="73"/>
      <c r="P18" s="73"/>
      <c r="Q18" s="73"/>
      <c r="R18" s="73"/>
      <c r="S18" s="73"/>
      <c r="T18" s="73"/>
      <c r="U18" s="73"/>
      <c r="V18" s="326">
        <f t="shared" si="3"/>
        <v>0.1388875</v>
      </c>
      <c r="W18" s="73"/>
      <c r="X18" s="73"/>
      <c r="Y18" s="73"/>
      <c r="Z18" s="73"/>
      <c r="AA18" s="73"/>
      <c r="AB18" s="73"/>
      <c r="AC18" s="73"/>
      <c r="AD18" s="73"/>
      <c r="AE18" s="319">
        <f t="shared" si="4"/>
        <v>0.8611025000000001</v>
      </c>
      <c r="AF18" s="319"/>
      <c r="AG18" s="319">
        <f t="shared" si="5"/>
        <v>0.8611025000000001</v>
      </c>
      <c r="AH18" s="73"/>
      <c r="AI18" s="73"/>
      <c r="AJ18" s="73"/>
      <c r="AK18" s="73"/>
      <c r="AL18" s="73"/>
    </row>
    <row r="19" spans="1:38" s="5" customFormat="1">
      <c r="A19" s="426">
        <f>'1-συμβολαια'!A19</f>
        <v>0</v>
      </c>
      <c r="B19" s="73" t="str">
        <f>'1-συμβολαια'!C19</f>
        <v>ΧΡΗΣΙΚΤΗΣΙΑ οικοπέδου 4' = 19?? ΑΓΟΡΑΠΩΛΗΣΙΑ άτυπη</v>
      </c>
      <c r="C19" s="326">
        <f>'1-συμβολαια'!D19</f>
        <v>111.11</v>
      </c>
      <c r="D19" s="326"/>
      <c r="E19" s="73"/>
      <c r="F19" s="73"/>
      <c r="G19" s="73"/>
      <c r="H19" s="73"/>
      <c r="I19" s="73"/>
      <c r="J19" s="73"/>
      <c r="K19" s="73"/>
      <c r="L19" s="73"/>
      <c r="M19" s="326">
        <f t="shared" si="2"/>
        <v>0.72221500000000005</v>
      </c>
      <c r="N19" s="73"/>
      <c r="O19" s="73"/>
      <c r="P19" s="73"/>
      <c r="Q19" s="73"/>
      <c r="R19" s="73"/>
      <c r="S19" s="73"/>
      <c r="T19" s="73"/>
      <c r="U19" s="73"/>
      <c r="V19" s="326">
        <f t="shared" si="3"/>
        <v>0.1388875</v>
      </c>
      <c r="W19" s="73"/>
      <c r="X19" s="73"/>
      <c r="Y19" s="73"/>
      <c r="Z19" s="73"/>
      <c r="AA19" s="73"/>
      <c r="AB19" s="73"/>
      <c r="AC19" s="73"/>
      <c r="AD19" s="73"/>
      <c r="AE19" s="319">
        <f t="shared" si="4"/>
        <v>0.8611025000000001</v>
      </c>
      <c r="AF19" s="319"/>
      <c r="AG19" s="319">
        <f t="shared" si="5"/>
        <v>0.8611025000000001</v>
      </c>
      <c r="AH19" s="73"/>
      <c r="AI19" s="73"/>
      <c r="AJ19" s="73"/>
      <c r="AK19" s="73"/>
      <c r="AL19" s="73"/>
    </row>
    <row r="20" spans="1:38" s="5" customFormat="1" ht="12" thickBot="1">
      <c r="A20" s="429">
        <f>'1-συμβολαια'!A20</f>
        <v>0</v>
      </c>
      <c r="B20" s="430" t="str">
        <f>'1-συμβολαια'!C20</f>
        <v>ΧΡΗΣΙΚΤΗΣΙΑ αγροτεμαχίου 8' = 19??? ΑΓΟΡΑΠΩΛΗΣΙΑ άτυπη</v>
      </c>
      <c r="C20" s="431">
        <f>'1-συμβολαια'!D20</f>
        <v>1111.1099999999999</v>
      </c>
      <c r="D20" s="431"/>
      <c r="E20" s="430"/>
      <c r="F20" s="430"/>
      <c r="G20" s="430"/>
      <c r="H20" s="430"/>
      <c r="I20" s="430"/>
      <c r="J20" s="430"/>
      <c r="K20" s="430"/>
      <c r="L20" s="430"/>
      <c r="M20" s="431">
        <f t="shared" si="2"/>
        <v>7.2222150000000003</v>
      </c>
      <c r="N20" s="430"/>
      <c r="O20" s="430"/>
      <c r="P20" s="430"/>
      <c r="Q20" s="430"/>
      <c r="R20" s="430"/>
      <c r="S20" s="430"/>
      <c r="T20" s="430"/>
      <c r="U20" s="430"/>
      <c r="V20" s="431">
        <f t="shared" si="3"/>
        <v>1.3888874999999998</v>
      </c>
      <c r="W20" s="430"/>
      <c r="X20" s="430"/>
      <c r="Y20" s="430"/>
      <c r="Z20" s="430"/>
      <c r="AA20" s="430"/>
      <c r="AB20" s="430"/>
      <c r="AC20" s="430"/>
      <c r="AD20" s="430"/>
      <c r="AE20" s="431">
        <f t="shared" si="4"/>
        <v>8.6111024999999994</v>
      </c>
      <c r="AF20" s="431"/>
      <c r="AG20" s="431">
        <f t="shared" si="5"/>
        <v>8.6111024999999994</v>
      </c>
      <c r="AH20" s="430"/>
      <c r="AI20" s="430"/>
      <c r="AJ20" s="430"/>
      <c r="AK20" s="430"/>
      <c r="AL20" s="73"/>
    </row>
    <row r="21" spans="1:38" s="5" customFormat="1">
      <c r="A21" s="452" t="str">
        <f>'1-συμβολαια'!A21</f>
        <v>13ο</v>
      </c>
      <c r="B21" s="428" t="str">
        <f>'1-συμβολαια'!C21</f>
        <v>κληρονομιάς ΑΠΟΔΟΧΗ</v>
      </c>
      <c r="C21" s="319">
        <f>'1-συμβολαια'!D21</f>
        <v>0</v>
      </c>
      <c r="D21" s="319"/>
      <c r="E21" s="428"/>
      <c r="F21" s="428"/>
      <c r="G21" s="428"/>
      <c r="H21" s="428"/>
      <c r="I21" s="428"/>
      <c r="J21" s="428"/>
      <c r="K21" s="428"/>
      <c r="L21" s="428"/>
      <c r="M21" s="319">
        <f t="shared" si="2"/>
        <v>0</v>
      </c>
      <c r="N21" s="428"/>
      <c r="O21" s="428"/>
      <c r="P21" s="428"/>
      <c r="Q21" s="428"/>
      <c r="R21" s="428"/>
      <c r="S21" s="428"/>
      <c r="T21" s="428"/>
      <c r="U21" s="428"/>
      <c r="V21" s="319">
        <f t="shared" si="3"/>
        <v>0</v>
      </c>
      <c r="W21" s="428"/>
      <c r="X21" s="428"/>
      <c r="Y21" s="428"/>
      <c r="Z21" s="428"/>
      <c r="AA21" s="428"/>
      <c r="AB21" s="428"/>
      <c r="AC21" s="428"/>
      <c r="AD21" s="428"/>
      <c r="AE21" s="319">
        <f t="shared" si="4"/>
        <v>0</v>
      </c>
      <c r="AF21" s="319"/>
      <c r="AG21" s="319">
        <f t="shared" si="5"/>
        <v>0</v>
      </c>
      <c r="AH21" s="428"/>
      <c r="AI21" s="428"/>
      <c r="AJ21" s="428"/>
      <c r="AK21" s="428"/>
      <c r="AL21" s="73"/>
    </row>
    <row r="22" spans="1:38" s="5" customFormat="1">
      <c r="A22" s="453">
        <f>'1-συμβολαια'!A22</f>
        <v>0</v>
      </c>
      <c r="B22" s="73" t="str">
        <f>'1-συμβολαια'!C22</f>
        <v>ΧΡΗΣΙΚΤΗΣΙΑ οικοπέδου &amp; οικοδομής = 1992 αδερφού ΚΛΗΡΟΝΟΜΙΑ άτυπη</v>
      </c>
      <c r="C22" s="326">
        <f>'1-συμβολαια'!D22</f>
        <v>1111.1099999999999</v>
      </c>
      <c r="D22" s="326"/>
      <c r="E22" s="73"/>
      <c r="F22" s="73"/>
      <c r="G22" s="73"/>
      <c r="H22" s="73"/>
      <c r="I22" s="73"/>
      <c r="J22" s="73"/>
      <c r="K22" s="73"/>
      <c r="L22" s="73"/>
      <c r="M22" s="326">
        <f t="shared" si="2"/>
        <v>7.2222150000000003</v>
      </c>
      <c r="N22" s="73"/>
      <c r="O22" s="73"/>
      <c r="P22" s="73"/>
      <c r="Q22" s="73"/>
      <c r="R22" s="73"/>
      <c r="S22" s="73"/>
      <c r="T22" s="73"/>
      <c r="U22" s="73"/>
      <c r="V22" s="326">
        <f t="shared" si="3"/>
        <v>1.3888874999999998</v>
      </c>
      <c r="W22" s="73"/>
      <c r="X22" s="73"/>
      <c r="Y22" s="73"/>
      <c r="Z22" s="73"/>
      <c r="AA22" s="73"/>
      <c r="AB22" s="73"/>
      <c r="AC22" s="73"/>
      <c r="AD22" s="73"/>
      <c r="AE22" s="319">
        <f t="shared" si="4"/>
        <v>8.6111024999999994</v>
      </c>
      <c r="AF22" s="319"/>
      <c r="AG22" s="319">
        <f t="shared" si="5"/>
        <v>8.6111024999999994</v>
      </c>
      <c r="AH22" s="73"/>
      <c r="AI22" s="73"/>
      <c r="AJ22" s="73"/>
      <c r="AK22" s="73"/>
      <c r="AL22" s="73"/>
    </row>
    <row r="23" spans="1:38" s="5" customFormat="1">
      <c r="A23" s="453">
        <f>'1-συμβολαια'!A23</f>
        <v>0</v>
      </c>
      <c r="B23" s="73" t="str">
        <f>'1-συμβολαια'!C23</f>
        <v>ΧΡΗΣΙΚΤΗΣΙΑ οικοπέδων 2'-3' = 1992 αδερφού ΚΛΗΡΟΝΟΜΙΑ άτυπη</v>
      </c>
      <c r="C23" s="326">
        <f>'1-συμβολαια'!D23</f>
        <v>1111.1099999999999</v>
      </c>
      <c r="D23" s="326"/>
      <c r="E23" s="73"/>
      <c r="F23" s="73"/>
      <c r="G23" s="73"/>
      <c r="H23" s="73"/>
      <c r="I23" s="73"/>
      <c r="J23" s="73"/>
      <c r="K23" s="73"/>
      <c r="L23" s="73"/>
      <c r="M23" s="326">
        <f t="shared" si="2"/>
        <v>7.2222150000000003</v>
      </c>
      <c r="N23" s="73"/>
      <c r="O23" s="73"/>
      <c r="P23" s="73"/>
      <c r="Q23" s="73"/>
      <c r="R23" s="73"/>
      <c r="S23" s="73"/>
      <c r="T23" s="73"/>
      <c r="U23" s="73"/>
      <c r="V23" s="326">
        <f t="shared" si="3"/>
        <v>1.3888874999999998</v>
      </c>
      <c r="W23" s="73"/>
      <c r="X23" s="73"/>
      <c r="Y23" s="73"/>
      <c r="Z23" s="73"/>
      <c r="AA23" s="73"/>
      <c r="AB23" s="73"/>
      <c r="AC23" s="73"/>
      <c r="AD23" s="73"/>
      <c r="AE23" s="319">
        <f t="shared" si="4"/>
        <v>8.6111024999999994</v>
      </c>
      <c r="AF23" s="319"/>
      <c r="AG23" s="319">
        <f t="shared" si="5"/>
        <v>8.6111024999999994</v>
      </c>
      <c r="AH23" s="73"/>
      <c r="AI23" s="73"/>
      <c r="AJ23" s="73"/>
      <c r="AK23" s="73"/>
      <c r="AL23" s="73"/>
    </row>
    <row r="24" spans="1:38" s="5" customFormat="1">
      <c r="A24" s="453">
        <f>'1-συμβολαια'!A24</f>
        <v>0</v>
      </c>
      <c r="B24" s="73" t="str">
        <f>'1-συμβολαια'!C24</f>
        <v>ΧΡΗΣΙΚΤΗΣΙΑ αγροτεμαχίου 9' = 1968 μητρός ΚΛΗΡΟΝΟΜΙΑ άτυπη</v>
      </c>
      <c r="C24" s="326">
        <f>'1-συμβολαια'!D24</f>
        <v>111.11</v>
      </c>
      <c r="D24" s="326"/>
      <c r="E24" s="73"/>
      <c r="F24" s="73"/>
      <c r="G24" s="73"/>
      <c r="H24" s="73"/>
      <c r="I24" s="73"/>
      <c r="J24" s="73"/>
      <c r="K24" s="73"/>
      <c r="L24" s="73"/>
      <c r="M24" s="326">
        <f t="shared" si="2"/>
        <v>0.72221500000000005</v>
      </c>
      <c r="N24" s="73"/>
      <c r="O24" s="73"/>
      <c r="P24" s="73"/>
      <c r="Q24" s="73"/>
      <c r="R24" s="73"/>
      <c r="S24" s="73"/>
      <c r="T24" s="73"/>
      <c r="U24" s="73"/>
      <c r="V24" s="326">
        <f t="shared" si="3"/>
        <v>0.1388875</v>
      </c>
      <c r="W24" s="73"/>
      <c r="X24" s="73"/>
      <c r="Y24" s="73"/>
      <c r="Z24" s="73"/>
      <c r="AA24" s="73"/>
      <c r="AB24" s="73"/>
      <c r="AC24" s="73"/>
      <c r="AD24" s="73"/>
      <c r="AE24" s="319">
        <f t="shared" si="4"/>
        <v>0.8611025000000001</v>
      </c>
      <c r="AF24" s="319"/>
      <c r="AG24" s="319">
        <f t="shared" si="5"/>
        <v>0.8611025000000001</v>
      </c>
      <c r="AH24" s="73"/>
      <c r="AI24" s="73"/>
      <c r="AJ24" s="73"/>
      <c r="AK24" s="73"/>
      <c r="AL24" s="73"/>
    </row>
    <row r="25" spans="1:38" s="5" customFormat="1">
      <c r="A25" s="453">
        <f>'1-συμβολαια'!A25</f>
        <v>0</v>
      </c>
      <c r="B25" s="73" t="str">
        <f>'1-συμβολαια'!C25</f>
        <v>ΧΡΗΣΙΚΤΗΣΙΑ οικοπέδου 4' = 19?? ΑΓΟΡΑΠΩΛΗΣΙΑ άτυπη</v>
      </c>
      <c r="C25" s="326">
        <f>'1-συμβολαια'!D25</f>
        <v>111.11</v>
      </c>
      <c r="D25" s="326"/>
      <c r="E25" s="73"/>
      <c r="F25" s="73"/>
      <c r="G25" s="73"/>
      <c r="H25" s="73"/>
      <c r="I25" s="73"/>
      <c r="J25" s="73"/>
      <c r="K25" s="73"/>
      <c r="L25" s="73"/>
      <c r="M25" s="326">
        <f t="shared" si="2"/>
        <v>0.72221500000000005</v>
      </c>
      <c r="N25" s="73"/>
      <c r="O25" s="73"/>
      <c r="P25" s="73"/>
      <c r="Q25" s="73"/>
      <c r="R25" s="73"/>
      <c r="S25" s="73"/>
      <c r="T25" s="73"/>
      <c r="U25" s="73"/>
      <c r="V25" s="326">
        <f t="shared" si="3"/>
        <v>0.1388875</v>
      </c>
      <c r="W25" s="73"/>
      <c r="X25" s="73"/>
      <c r="Y25" s="73"/>
      <c r="Z25" s="73"/>
      <c r="AA25" s="73"/>
      <c r="AB25" s="73"/>
      <c r="AC25" s="73"/>
      <c r="AD25" s="73"/>
      <c r="AE25" s="319">
        <f t="shared" si="4"/>
        <v>0.8611025000000001</v>
      </c>
      <c r="AF25" s="319"/>
      <c r="AG25" s="319">
        <f t="shared" si="5"/>
        <v>0.8611025000000001</v>
      </c>
      <c r="AH25" s="73"/>
      <c r="AI25" s="73"/>
      <c r="AJ25" s="73"/>
      <c r="AK25" s="73"/>
      <c r="AL25" s="73"/>
    </row>
    <row r="26" spans="1:38" s="5" customFormat="1" ht="12" thickBot="1">
      <c r="A26" s="454">
        <f>'1-συμβολαια'!A26</f>
        <v>0</v>
      </c>
      <c r="B26" s="430" t="str">
        <f>'1-συμβολαια'!C26</f>
        <v>ΧΡΗΣΙΚΤΗΣΙΑ αγροτεμαχίου 8' = 19??? ΑΓΟΡΑΠΩΛΗΣΙΑ άτυπη</v>
      </c>
      <c r="C26" s="431">
        <f>'1-συμβολαια'!D26</f>
        <v>1111.1099999999999</v>
      </c>
      <c r="D26" s="431"/>
      <c r="E26" s="430"/>
      <c r="F26" s="430"/>
      <c r="G26" s="430"/>
      <c r="H26" s="430"/>
      <c r="I26" s="430"/>
      <c r="J26" s="430"/>
      <c r="K26" s="430"/>
      <c r="L26" s="430"/>
      <c r="M26" s="431">
        <f t="shared" si="2"/>
        <v>7.2222150000000003</v>
      </c>
      <c r="N26" s="430"/>
      <c r="O26" s="430"/>
      <c r="P26" s="430"/>
      <c r="Q26" s="430"/>
      <c r="R26" s="430"/>
      <c r="S26" s="430"/>
      <c r="T26" s="430"/>
      <c r="U26" s="430"/>
      <c r="V26" s="431">
        <f t="shared" si="3"/>
        <v>1.3888874999999998</v>
      </c>
      <c r="W26" s="430"/>
      <c r="X26" s="430"/>
      <c r="Y26" s="430"/>
      <c r="Z26" s="430"/>
      <c r="AA26" s="430"/>
      <c r="AB26" s="430"/>
      <c r="AC26" s="430"/>
      <c r="AD26" s="430"/>
      <c r="AE26" s="431">
        <f t="shared" si="4"/>
        <v>8.6111024999999994</v>
      </c>
      <c r="AF26" s="431"/>
      <c r="AG26" s="431">
        <f t="shared" si="5"/>
        <v>8.6111024999999994</v>
      </c>
      <c r="AH26" s="430"/>
      <c r="AI26" s="430"/>
      <c r="AJ26" s="430"/>
      <c r="AK26" s="430"/>
      <c r="AL26" s="430"/>
    </row>
    <row r="27" spans="1:38" s="5" customFormat="1">
      <c r="A27" s="472" t="str">
        <f>'1-συμβολαια'!A27</f>
        <v>14ο</v>
      </c>
      <c r="B27" s="428" t="str">
        <f>'1-συμβολαια'!C27</f>
        <v>κληρονομιάς ΑΠΟΔΟΧΗ</v>
      </c>
      <c r="C27" s="319">
        <f>'1-συμβολαια'!D27</f>
        <v>0</v>
      </c>
      <c r="D27" s="319"/>
      <c r="E27" s="428"/>
      <c r="F27" s="428"/>
      <c r="G27" s="428"/>
      <c r="H27" s="428"/>
      <c r="I27" s="428"/>
      <c r="J27" s="428"/>
      <c r="K27" s="428"/>
      <c r="L27" s="428"/>
      <c r="M27" s="319">
        <f t="shared" si="2"/>
        <v>0</v>
      </c>
      <c r="N27" s="428"/>
      <c r="O27" s="428"/>
      <c r="P27" s="428"/>
      <c r="Q27" s="428"/>
      <c r="R27" s="428"/>
      <c r="S27" s="428"/>
      <c r="T27" s="428"/>
      <c r="U27" s="428"/>
      <c r="V27" s="319">
        <f t="shared" si="3"/>
        <v>0</v>
      </c>
      <c r="W27" s="428"/>
      <c r="X27" s="428"/>
      <c r="Y27" s="428"/>
      <c r="Z27" s="428"/>
      <c r="AA27" s="428"/>
      <c r="AB27" s="428"/>
      <c r="AC27" s="428"/>
      <c r="AD27" s="428"/>
      <c r="AE27" s="319">
        <f t="shared" si="4"/>
        <v>0</v>
      </c>
      <c r="AF27" s="319"/>
      <c r="AG27" s="319">
        <f t="shared" si="5"/>
        <v>0</v>
      </c>
      <c r="AH27" s="428"/>
      <c r="AI27" s="428"/>
      <c r="AJ27" s="428"/>
      <c r="AK27" s="428"/>
      <c r="AL27" s="428"/>
    </row>
    <row r="28" spans="1:38" s="5" customFormat="1">
      <c r="A28" s="426">
        <f>'1-συμβολαια'!A28</f>
        <v>0</v>
      </c>
      <c r="B28" s="73" t="str">
        <f>'1-συμβολαια'!C28</f>
        <v>ΧΡΗΣΙΚΤΗΣΙΑ οικοπέδου &amp; οικοδομής = 1935 πατρός ΚΛΗΡΟΝΟΜΙΑ άτυπη</v>
      </c>
      <c r="C28" s="326">
        <f>'1-συμβολαια'!D28</f>
        <v>1111.1099999999999</v>
      </c>
      <c r="D28" s="326"/>
      <c r="E28" s="73"/>
      <c r="F28" s="73"/>
      <c r="G28" s="73"/>
      <c r="H28" s="73"/>
      <c r="I28" s="73"/>
      <c r="J28" s="73"/>
      <c r="K28" s="73"/>
      <c r="L28" s="73"/>
      <c r="M28" s="326">
        <f t="shared" si="2"/>
        <v>7.2222150000000003</v>
      </c>
      <c r="N28" s="73"/>
      <c r="O28" s="73"/>
      <c r="P28" s="73"/>
      <c r="Q28" s="73"/>
      <c r="R28" s="73"/>
      <c r="S28" s="73"/>
      <c r="T28" s="73"/>
      <c r="U28" s="73"/>
      <c r="V28" s="326">
        <f t="shared" si="3"/>
        <v>1.3888874999999998</v>
      </c>
      <c r="W28" s="73"/>
      <c r="X28" s="73"/>
      <c r="Y28" s="73"/>
      <c r="Z28" s="73"/>
      <c r="AA28" s="73"/>
      <c r="AB28" s="73"/>
      <c r="AC28" s="73"/>
      <c r="AD28" s="73"/>
      <c r="AE28" s="319">
        <f t="shared" si="4"/>
        <v>8.6111024999999994</v>
      </c>
      <c r="AF28" s="319"/>
      <c r="AG28" s="319">
        <f t="shared" si="5"/>
        <v>8.6111024999999994</v>
      </c>
      <c r="AH28" s="73"/>
      <c r="AI28" s="73"/>
      <c r="AJ28" s="73"/>
      <c r="AK28" s="73"/>
      <c r="AL28" s="73"/>
    </row>
    <row r="29" spans="1:38" s="5" customFormat="1">
      <c r="A29" s="426">
        <f>'1-συμβολαια'!A29</f>
        <v>0</v>
      </c>
      <c r="B29" s="73" t="str">
        <f>'1-συμβολαια'!C29</f>
        <v>ΧΡΗΣΙΚΤΗΣΙΑ οικοπέδων 2'-3' = 1992 αδερφού ΚΛΗΡΟΝΟΜΙΑ άτυπη</v>
      </c>
      <c r="C29" s="326">
        <f>'1-συμβολαια'!D29</f>
        <v>1111.1099999999999</v>
      </c>
      <c r="D29" s="326"/>
      <c r="E29" s="73"/>
      <c r="F29" s="73"/>
      <c r="G29" s="73"/>
      <c r="H29" s="73"/>
      <c r="I29" s="73"/>
      <c r="J29" s="73"/>
      <c r="K29" s="73"/>
      <c r="L29" s="73"/>
      <c r="M29" s="326">
        <f t="shared" si="2"/>
        <v>7.2222150000000003</v>
      </c>
      <c r="N29" s="73"/>
      <c r="O29" s="73"/>
      <c r="P29" s="73"/>
      <c r="Q29" s="73"/>
      <c r="R29" s="73"/>
      <c r="S29" s="73"/>
      <c r="T29" s="73"/>
      <c r="U29" s="73"/>
      <c r="V29" s="326">
        <f t="shared" si="3"/>
        <v>1.3888874999999998</v>
      </c>
      <c r="W29" s="73"/>
      <c r="X29" s="73"/>
      <c r="Y29" s="73"/>
      <c r="Z29" s="73"/>
      <c r="AA29" s="73"/>
      <c r="AB29" s="73"/>
      <c r="AC29" s="73"/>
      <c r="AD29" s="73"/>
      <c r="AE29" s="319">
        <f t="shared" si="4"/>
        <v>8.6111024999999994</v>
      </c>
      <c r="AF29" s="319"/>
      <c r="AG29" s="319">
        <f t="shared" si="5"/>
        <v>8.6111024999999994</v>
      </c>
      <c r="AH29" s="73"/>
      <c r="AI29" s="73"/>
      <c r="AJ29" s="73"/>
      <c r="AK29" s="73"/>
      <c r="AL29" s="73"/>
    </row>
    <row r="30" spans="1:38" s="5" customFormat="1">
      <c r="A30" s="426">
        <f>'1-συμβολαια'!A30</f>
        <v>0</v>
      </c>
      <c r="B30" s="73" t="str">
        <f>'1-συμβολαια'!C30</f>
        <v>ΧΡΗΣΙΚΤΗΣΙΑ αγροτεμαχίου 9' = 1968 μητρός ΚΛΗΡΟΝΟΜΙΑ άτυπη</v>
      </c>
      <c r="C30" s="326">
        <f>'1-συμβολαια'!D30</f>
        <v>111.11</v>
      </c>
      <c r="D30" s="326"/>
      <c r="E30" s="73"/>
      <c r="F30" s="73"/>
      <c r="G30" s="73"/>
      <c r="H30" s="73"/>
      <c r="I30" s="73"/>
      <c r="J30" s="73"/>
      <c r="K30" s="73"/>
      <c r="L30" s="73"/>
      <c r="M30" s="326">
        <f t="shared" ref="M30:M42" si="6">C30*0.65%</f>
        <v>0.72221500000000005</v>
      </c>
      <c r="N30" s="73"/>
      <c r="O30" s="73"/>
      <c r="P30" s="73"/>
      <c r="Q30" s="73"/>
      <c r="R30" s="73"/>
      <c r="S30" s="73"/>
      <c r="T30" s="73"/>
      <c r="U30" s="73"/>
      <c r="V30" s="326">
        <f t="shared" ref="V30:V42" si="7">C30*0.125%</f>
        <v>0.1388875</v>
      </c>
      <c r="W30" s="73"/>
      <c r="X30" s="73"/>
      <c r="Y30" s="73"/>
      <c r="Z30" s="73"/>
      <c r="AA30" s="73"/>
      <c r="AB30" s="73"/>
      <c r="AC30" s="73"/>
      <c r="AD30" s="73"/>
      <c r="AE30" s="319">
        <f t="shared" ref="AE30:AE42" si="8">D30+M30+V30</f>
        <v>0.8611025000000001</v>
      </c>
      <c r="AF30" s="319"/>
      <c r="AG30" s="319">
        <f t="shared" ref="AG30:AG42" si="9">AE30-AF30</f>
        <v>0.8611025000000001</v>
      </c>
      <c r="AH30" s="73"/>
      <c r="AI30" s="73"/>
      <c r="AJ30" s="73"/>
      <c r="AK30" s="73"/>
      <c r="AL30" s="73"/>
    </row>
    <row r="31" spans="1:38" s="5" customFormat="1">
      <c r="A31" s="426">
        <f>'1-συμβολαια'!A31</f>
        <v>0</v>
      </c>
      <c r="B31" s="73" t="str">
        <f>'1-συμβολαια'!C31</f>
        <v>ΧΡΗΣΙΚΤΗΣΙΑ οικοπέδου 4' = 19?? ΑΓΟΡΑΠΩΛΗΣΙΑ άτυπη</v>
      </c>
      <c r="C31" s="326">
        <f>'1-συμβολαια'!D31</f>
        <v>111.11</v>
      </c>
      <c r="D31" s="326"/>
      <c r="E31" s="73"/>
      <c r="F31" s="73"/>
      <c r="G31" s="73"/>
      <c r="H31" s="73"/>
      <c r="I31" s="73"/>
      <c r="J31" s="73"/>
      <c r="K31" s="73"/>
      <c r="L31" s="73"/>
      <c r="M31" s="326">
        <f t="shared" si="6"/>
        <v>0.72221500000000005</v>
      </c>
      <c r="N31" s="73"/>
      <c r="O31" s="73"/>
      <c r="P31" s="73"/>
      <c r="Q31" s="73"/>
      <c r="R31" s="73"/>
      <c r="S31" s="73"/>
      <c r="T31" s="73"/>
      <c r="U31" s="73"/>
      <c r="V31" s="326">
        <f t="shared" si="7"/>
        <v>0.1388875</v>
      </c>
      <c r="W31" s="73"/>
      <c r="X31" s="73"/>
      <c r="Y31" s="73"/>
      <c r="Z31" s="73"/>
      <c r="AA31" s="73"/>
      <c r="AB31" s="73"/>
      <c r="AC31" s="73"/>
      <c r="AD31" s="73"/>
      <c r="AE31" s="319">
        <f t="shared" si="8"/>
        <v>0.8611025000000001</v>
      </c>
      <c r="AF31" s="319"/>
      <c r="AG31" s="319">
        <f t="shared" si="9"/>
        <v>0.8611025000000001</v>
      </c>
      <c r="AH31" s="73"/>
      <c r="AI31" s="73"/>
      <c r="AJ31" s="73"/>
      <c r="AK31" s="73"/>
      <c r="AL31" s="73"/>
    </row>
    <row r="32" spans="1:38" s="5" customFormat="1" ht="12" thickBot="1">
      <c r="A32" s="429">
        <f>'1-συμβολαια'!A32</f>
        <v>0</v>
      </c>
      <c r="B32" s="430" t="str">
        <f>'1-συμβολαια'!C32</f>
        <v>ΧΡΗΣΙΚΤΗΣΙΑ αγροτεμαχίου 8' = 19??? ΑΓΟΡΑΠΩΛΗΣΙΑ άτυπη</v>
      </c>
      <c r="C32" s="431">
        <f>'1-συμβολαια'!D32</f>
        <v>1111.1099999999999</v>
      </c>
      <c r="D32" s="431"/>
      <c r="E32" s="430"/>
      <c r="F32" s="430"/>
      <c r="G32" s="430"/>
      <c r="H32" s="430"/>
      <c r="I32" s="430"/>
      <c r="J32" s="430"/>
      <c r="K32" s="430"/>
      <c r="L32" s="430"/>
      <c r="M32" s="431">
        <f t="shared" si="6"/>
        <v>7.2222150000000003</v>
      </c>
      <c r="N32" s="430"/>
      <c r="O32" s="430"/>
      <c r="P32" s="430"/>
      <c r="Q32" s="430"/>
      <c r="R32" s="430"/>
      <c r="S32" s="430"/>
      <c r="T32" s="430"/>
      <c r="U32" s="430"/>
      <c r="V32" s="431">
        <f t="shared" si="7"/>
        <v>1.3888874999999998</v>
      </c>
      <c r="W32" s="430"/>
      <c r="X32" s="430"/>
      <c r="Y32" s="430"/>
      <c r="Z32" s="430"/>
      <c r="AA32" s="430"/>
      <c r="AB32" s="430"/>
      <c r="AC32" s="430"/>
      <c r="AD32" s="430"/>
      <c r="AE32" s="431">
        <f t="shared" si="8"/>
        <v>8.6111024999999994</v>
      </c>
      <c r="AF32" s="431"/>
      <c r="AG32" s="431">
        <f t="shared" si="9"/>
        <v>8.6111024999999994</v>
      </c>
      <c r="AH32" s="430"/>
      <c r="AI32" s="430"/>
      <c r="AJ32" s="430"/>
      <c r="AK32" s="430"/>
      <c r="AL32" s="430"/>
    </row>
    <row r="33" spans="1:38" s="5" customFormat="1">
      <c r="A33" s="427" t="str">
        <f>'1-συμβολαια'!A33</f>
        <v>15ο</v>
      </c>
      <c r="B33" s="428" t="str">
        <f>'1-συμβολαια'!C33</f>
        <v>αγοραπωλησία τίμημα = Δ.Ο.Υ. =</v>
      </c>
      <c r="C33" s="319">
        <f>'1-συμβολαια'!D33</f>
        <v>8237.2199999999993</v>
      </c>
      <c r="D33" s="319"/>
      <c r="E33" s="428"/>
      <c r="F33" s="428"/>
      <c r="G33" s="428"/>
      <c r="H33" s="428"/>
      <c r="I33" s="428"/>
      <c r="J33" s="428"/>
      <c r="K33" s="428"/>
      <c r="L33" s="428"/>
      <c r="M33" s="319"/>
      <c r="N33" s="428"/>
      <c r="O33" s="428"/>
      <c r="P33" s="428"/>
      <c r="Q33" s="428"/>
      <c r="R33" s="428"/>
      <c r="S33" s="428"/>
      <c r="T33" s="428"/>
      <c r="U33" s="428"/>
      <c r="V33" s="319"/>
      <c r="W33" s="428"/>
      <c r="X33" s="428"/>
      <c r="Y33" s="428"/>
      <c r="Z33" s="428"/>
      <c r="AA33" s="428"/>
      <c r="AB33" s="428"/>
      <c r="AC33" s="428"/>
      <c r="AD33" s="428"/>
      <c r="AE33" s="319">
        <f t="shared" si="8"/>
        <v>0</v>
      </c>
      <c r="AF33" s="319"/>
      <c r="AG33" s="319">
        <f t="shared" si="9"/>
        <v>0</v>
      </c>
      <c r="AH33" s="428"/>
      <c r="AI33" s="428"/>
      <c r="AJ33" s="428"/>
      <c r="AK33" s="428"/>
      <c r="AL33" s="428"/>
    </row>
    <row r="34" spans="1:38" s="5" customFormat="1">
      <c r="A34" s="265" t="str">
        <f>'1-συμβολαια'!A34</f>
        <v>16ο</v>
      </c>
      <c r="B34" s="73" t="str">
        <f>'1-συμβολαια'!C34</f>
        <v>πληρεξούσιο</v>
      </c>
      <c r="C34" s="326">
        <f>'1-συμβολαια'!D34</f>
        <v>0</v>
      </c>
      <c r="D34" s="326"/>
      <c r="E34" s="73"/>
      <c r="F34" s="73"/>
      <c r="G34" s="73"/>
      <c r="H34" s="73"/>
      <c r="I34" s="73"/>
      <c r="J34" s="73"/>
      <c r="K34" s="73"/>
      <c r="L34" s="73"/>
      <c r="M34" s="326"/>
      <c r="N34" s="73"/>
      <c r="O34" s="73"/>
      <c r="P34" s="73"/>
      <c r="Q34" s="73"/>
      <c r="R34" s="73"/>
      <c r="S34" s="73"/>
      <c r="T34" s="73"/>
      <c r="U34" s="73"/>
      <c r="V34" s="326"/>
      <c r="W34" s="73"/>
      <c r="X34" s="73"/>
      <c r="Y34" s="73"/>
      <c r="Z34" s="73"/>
      <c r="AA34" s="73"/>
      <c r="AB34" s="73"/>
      <c r="AC34" s="73"/>
      <c r="AD34" s="73"/>
      <c r="AE34" s="319">
        <f t="shared" si="8"/>
        <v>0</v>
      </c>
      <c r="AF34" s="319"/>
      <c r="AG34" s="319">
        <f t="shared" si="9"/>
        <v>0</v>
      </c>
      <c r="AH34" s="73"/>
      <c r="AI34" s="73"/>
      <c r="AJ34" s="73"/>
      <c r="AK34" s="73"/>
      <c r="AL34" s="73"/>
    </row>
    <row r="35" spans="1:38" s="5" customFormat="1" ht="12" thickBot="1">
      <c r="A35" s="463" t="str">
        <f>'1-συμβολαια'!A35</f>
        <v>17ο</v>
      </c>
      <c r="B35" s="430" t="str">
        <f>'1-συμβολαια'!C35</f>
        <v>πληρεξούσιο</v>
      </c>
      <c r="C35" s="431">
        <f>'1-συμβολαια'!D35</f>
        <v>0</v>
      </c>
      <c r="D35" s="431"/>
      <c r="E35" s="430"/>
      <c r="F35" s="430"/>
      <c r="G35" s="430"/>
      <c r="H35" s="430"/>
      <c r="I35" s="430"/>
      <c r="J35" s="430"/>
      <c r="K35" s="430"/>
      <c r="L35" s="430"/>
      <c r="M35" s="431"/>
      <c r="N35" s="430"/>
      <c r="O35" s="430"/>
      <c r="P35" s="430"/>
      <c r="Q35" s="430"/>
      <c r="R35" s="430"/>
      <c r="S35" s="430"/>
      <c r="T35" s="430"/>
      <c r="U35" s="430"/>
      <c r="V35" s="431"/>
      <c r="W35" s="430"/>
      <c r="X35" s="430"/>
      <c r="Y35" s="430"/>
      <c r="Z35" s="430"/>
      <c r="AA35" s="430"/>
      <c r="AB35" s="430"/>
      <c r="AC35" s="430"/>
      <c r="AD35" s="430"/>
      <c r="AE35" s="431">
        <f t="shared" si="8"/>
        <v>0</v>
      </c>
      <c r="AF35" s="431"/>
      <c r="AG35" s="431">
        <f t="shared" si="9"/>
        <v>0</v>
      </c>
      <c r="AH35" s="430"/>
      <c r="AI35" s="430"/>
      <c r="AJ35" s="430"/>
      <c r="AK35" s="73"/>
      <c r="AL35" s="73"/>
    </row>
    <row r="36" spans="1:38" s="5" customFormat="1">
      <c r="A36" s="472" t="str">
        <f>'1-συμβολαια'!A36</f>
        <v>18ο</v>
      </c>
      <c r="B36" s="428" t="str">
        <f>'1-συμβολαια'!C36</f>
        <v>αποδοχή κληρονομιάς</v>
      </c>
      <c r="C36" s="319">
        <f>'1-συμβολαια'!D36</f>
        <v>0</v>
      </c>
      <c r="D36" s="319"/>
      <c r="E36" s="428"/>
      <c r="F36" s="428"/>
      <c r="G36" s="428"/>
      <c r="H36" s="428"/>
      <c r="I36" s="428"/>
      <c r="J36" s="428"/>
      <c r="K36" s="428"/>
      <c r="L36" s="428"/>
      <c r="M36" s="319"/>
      <c r="N36" s="428"/>
      <c r="O36" s="428"/>
      <c r="P36" s="428"/>
      <c r="Q36" s="428"/>
      <c r="R36" s="428"/>
      <c r="S36" s="428"/>
      <c r="T36" s="428"/>
      <c r="U36" s="428"/>
      <c r="V36" s="319"/>
      <c r="W36" s="428"/>
      <c r="X36" s="428"/>
      <c r="Y36" s="428"/>
      <c r="Z36" s="428"/>
      <c r="AA36" s="428"/>
      <c r="AB36" s="428"/>
      <c r="AC36" s="428"/>
      <c r="AD36" s="428"/>
      <c r="AE36" s="319">
        <f t="shared" si="8"/>
        <v>0</v>
      </c>
      <c r="AF36" s="319"/>
      <c r="AG36" s="319">
        <f t="shared" si="9"/>
        <v>0</v>
      </c>
      <c r="AH36" s="428"/>
      <c r="AI36" s="428"/>
      <c r="AJ36" s="428"/>
      <c r="AK36" s="73"/>
      <c r="AL36" s="73"/>
    </row>
    <row r="37" spans="1:38" s="5" customFormat="1">
      <c r="A37" s="426">
        <f>'1-συμβολαια'!A37</f>
        <v>0</v>
      </c>
      <c r="B37" s="73" t="str">
        <f>'1-συμβολαια'!C37</f>
        <v>ΧΡΗΣΙΚΤΗΣΙΑ  αγροτεμαχίου -1 = αναδασμός ΑΛΛΑ πριν ΑΓΟΡΑΠΩΛΗΣΙΑ άτυπος από ;;;??? το 19???</v>
      </c>
      <c r="C37" s="326">
        <f>'1-συμβολαια'!D37</f>
        <v>3333.33</v>
      </c>
      <c r="D37" s="326"/>
      <c r="E37" s="73"/>
      <c r="F37" s="73"/>
      <c r="G37" s="73"/>
      <c r="H37" s="73"/>
      <c r="I37" s="73"/>
      <c r="J37" s="73"/>
      <c r="K37" s="73"/>
      <c r="L37" s="73"/>
      <c r="M37" s="326">
        <f t="shared" si="6"/>
        <v>21.666645000000003</v>
      </c>
      <c r="N37" s="73"/>
      <c r="O37" s="73"/>
      <c r="P37" s="73"/>
      <c r="Q37" s="73"/>
      <c r="R37" s="73"/>
      <c r="S37" s="73"/>
      <c r="T37" s="73"/>
      <c r="U37" s="73"/>
      <c r="V37" s="326">
        <f t="shared" si="7"/>
        <v>4.1666625000000002</v>
      </c>
      <c r="W37" s="73"/>
      <c r="X37" s="73"/>
      <c r="Y37" s="73"/>
      <c r="Z37" s="73"/>
      <c r="AA37" s="73"/>
      <c r="AB37" s="73"/>
      <c r="AC37" s="73"/>
      <c r="AD37" s="73"/>
      <c r="AE37" s="319">
        <f t="shared" si="8"/>
        <v>25.833307500000004</v>
      </c>
      <c r="AF37" s="319"/>
      <c r="AG37" s="319">
        <f t="shared" si="9"/>
        <v>25.833307500000004</v>
      </c>
      <c r="AH37" s="73"/>
      <c r="AI37" s="73"/>
      <c r="AJ37" s="73"/>
      <c r="AK37" s="73"/>
      <c r="AL37" s="73"/>
    </row>
    <row r="38" spans="1:38" s="5" customFormat="1">
      <c r="A38" s="426">
        <f>'1-συμβολαια'!A38</f>
        <v>0</v>
      </c>
      <c r="B38" s="73" t="str">
        <f>'1-συμβολαια'!C38</f>
        <v>ΧΡΗΣΙΚΤΗΣΙΑ  οικοπέδου -2 = 19?? ως αγροτεμάχιο με ΑΝΑΔΑΣΜΟ</v>
      </c>
      <c r="C38" s="326">
        <f>'1-συμβολαια'!D38</f>
        <v>33333.33</v>
      </c>
      <c r="D38" s="326"/>
      <c r="E38" s="73"/>
      <c r="F38" s="73"/>
      <c r="G38" s="73"/>
      <c r="H38" s="73"/>
      <c r="I38" s="73"/>
      <c r="J38" s="73"/>
      <c r="K38" s="73"/>
      <c r="L38" s="73"/>
      <c r="M38" s="326">
        <f t="shared" si="6"/>
        <v>216.66664500000002</v>
      </c>
      <c r="N38" s="73"/>
      <c r="O38" s="73"/>
      <c r="P38" s="73"/>
      <c r="Q38" s="73"/>
      <c r="R38" s="73"/>
      <c r="S38" s="73"/>
      <c r="T38" s="73"/>
      <c r="U38" s="73"/>
      <c r="V38" s="326">
        <f t="shared" si="7"/>
        <v>41.666662500000001</v>
      </c>
      <c r="W38" s="73"/>
      <c r="X38" s="73"/>
      <c r="Y38" s="73"/>
      <c r="Z38" s="73"/>
      <c r="AA38" s="73"/>
      <c r="AB38" s="73"/>
      <c r="AC38" s="73"/>
      <c r="AD38" s="73"/>
      <c r="AE38" s="319">
        <f t="shared" si="8"/>
        <v>258.33330750000005</v>
      </c>
      <c r="AF38" s="319"/>
      <c r="AG38" s="319">
        <f t="shared" si="9"/>
        <v>258.33330750000005</v>
      </c>
      <c r="AH38" s="73"/>
      <c r="AI38" s="73"/>
      <c r="AJ38" s="73"/>
      <c r="AK38" s="73"/>
      <c r="AL38" s="73"/>
    </row>
    <row r="39" spans="1:38" s="5" customFormat="1" ht="12" thickBot="1">
      <c r="A39" s="429">
        <f>'1-συμβολαια'!A39</f>
        <v>0</v>
      </c>
      <c r="B39" s="430" t="str">
        <f>'1-συμβολαια'!C39</f>
        <v>ΧΡΗΣΙΚΤΗΣΙΑ  οικοπέδου -4 = 19?? ;;;???</v>
      </c>
      <c r="C39" s="431">
        <f>'1-συμβολαια'!D39</f>
        <v>11111.11</v>
      </c>
      <c r="D39" s="431"/>
      <c r="E39" s="430"/>
      <c r="F39" s="430"/>
      <c r="G39" s="430"/>
      <c r="H39" s="430"/>
      <c r="I39" s="430"/>
      <c r="J39" s="430"/>
      <c r="K39" s="430"/>
      <c r="L39" s="430"/>
      <c r="M39" s="431">
        <f t="shared" si="6"/>
        <v>72.222215000000006</v>
      </c>
      <c r="N39" s="430"/>
      <c r="O39" s="430"/>
      <c r="P39" s="430"/>
      <c r="Q39" s="430"/>
      <c r="R39" s="430"/>
      <c r="S39" s="430"/>
      <c r="T39" s="430"/>
      <c r="U39" s="430"/>
      <c r="V39" s="431">
        <f t="shared" si="7"/>
        <v>13.888887500000001</v>
      </c>
      <c r="W39" s="430"/>
      <c r="X39" s="430"/>
      <c r="Y39" s="430"/>
      <c r="Z39" s="430"/>
      <c r="AA39" s="430"/>
      <c r="AB39" s="430"/>
      <c r="AC39" s="430"/>
      <c r="AD39" s="430"/>
      <c r="AE39" s="431">
        <f t="shared" si="8"/>
        <v>86.111102500000001</v>
      </c>
      <c r="AF39" s="431"/>
      <c r="AG39" s="431">
        <f t="shared" si="9"/>
        <v>86.111102500000001</v>
      </c>
      <c r="AH39" s="430"/>
      <c r="AI39" s="430"/>
      <c r="AJ39" s="430"/>
      <c r="AK39" s="73"/>
      <c r="AL39" s="73"/>
    </row>
    <row r="40" spans="1:38" s="5" customFormat="1" ht="12" thickBot="1">
      <c r="A40" s="513" t="str">
        <f>'1-συμβολαια'!A40</f>
        <v>19ο</v>
      </c>
      <c r="B40" s="566" t="str">
        <f>'1-συμβολαια'!C40</f>
        <v>*γονική ΨΙΛΗΣ ΚΥΡΙΟΤΗΤΑΣ</v>
      </c>
      <c r="C40" s="511">
        <f>'1-συμβολαια'!D40</f>
        <v>18629.93</v>
      </c>
      <c r="D40" s="511"/>
      <c r="E40" s="566"/>
      <c r="F40" s="566"/>
      <c r="G40" s="566"/>
      <c r="H40" s="566"/>
      <c r="I40" s="566"/>
      <c r="J40" s="566"/>
      <c r="K40" s="566"/>
      <c r="L40" s="566"/>
      <c r="M40" s="511">
        <f t="shared" si="6"/>
        <v>121.09454500000001</v>
      </c>
      <c r="N40" s="566"/>
      <c r="O40" s="566"/>
      <c r="P40" s="566"/>
      <c r="Q40" s="566"/>
      <c r="R40" s="566"/>
      <c r="S40" s="566"/>
      <c r="T40" s="566"/>
      <c r="U40" s="566"/>
      <c r="V40" s="568">
        <f t="shared" si="7"/>
        <v>23.287412500000002</v>
      </c>
      <c r="W40" s="569"/>
      <c r="X40" s="569"/>
      <c r="Y40" s="569"/>
      <c r="Z40" s="569"/>
      <c r="AA40" s="569"/>
      <c r="AB40" s="569"/>
      <c r="AC40" s="569"/>
      <c r="AD40" s="569"/>
      <c r="AE40" s="568">
        <f t="shared" si="8"/>
        <v>144.3819575</v>
      </c>
      <c r="AF40" s="568">
        <v>144.38</v>
      </c>
      <c r="AG40" s="568">
        <f t="shared" si="9"/>
        <v>1.957500000003165E-3</v>
      </c>
      <c r="AH40" s="569"/>
      <c r="AI40" s="569"/>
      <c r="AJ40" s="569"/>
      <c r="AK40" s="430"/>
      <c r="AL40" s="73"/>
    </row>
    <row r="41" spans="1:38" s="5" customFormat="1">
      <c r="A41" s="472" t="str">
        <f>'1-συμβολαια'!A41</f>
        <v>20ο</v>
      </c>
      <c r="B41" s="428" t="str">
        <f>'1-συμβολαια'!C41</f>
        <v>δωρεά</v>
      </c>
      <c r="C41" s="319">
        <f>'1-συμβολαια'!D41</f>
        <v>26827.1</v>
      </c>
      <c r="D41" s="319"/>
      <c r="E41" s="428"/>
      <c r="F41" s="428"/>
      <c r="G41" s="428"/>
      <c r="H41" s="428"/>
      <c r="I41" s="428"/>
      <c r="J41" s="428"/>
      <c r="K41" s="428"/>
      <c r="L41" s="428"/>
      <c r="M41" s="319">
        <f t="shared" si="6"/>
        <v>174.37615</v>
      </c>
      <c r="N41" s="428"/>
      <c r="O41" s="428"/>
      <c r="P41" s="428"/>
      <c r="Q41" s="428"/>
      <c r="R41" s="428"/>
      <c r="S41" s="428"/>
      <c r="T41" s="428"/>
      <c r="U41" s="428"/>
      <c r="V41" s="319">
        <f t="shared" si="7"/>
        <v>33.533875000000002</v>
      </c>
      <c r="W41" s="428"/>
      <c r="X41" s="428"/>
      <c r="Y41" s="428"/>
      <c r="Z41" s="428"/>
      <c r="AA41" s="428"/>
      <c r="AB41" s="428"/>
      <c r="AC41" s="428"/>
      <c r="AD41" s="428"/>
      <c r="AE41" s="319">
        <f t="shared" si="8"/>
        <v>207.91002499999999</v>
      </c>
      <c r="AF41" s="319">
        <v>207.91</v>
      </c>
      <c r="AG41" s="319">
        <f t="shared" si="9"/>
        <v>2.4999999993724487E-5</v>
      </c>
      <c r="AH41" s="428"/>
      <c r="AI41" s="428"/>
      <c r="AJ41" s="428"/>
      <c r="AK41" s="428"/>
      <c r="AL41" s="73"/>
    </row>
    <row r="42" spans="1:38" s="5" customFormat="1" ht="12" thickBot="1">
      <c r="A42" s="429">
        <f>'1-συμβολαια'!A42</f>
        <v>0</v>
      </c>
      <c r="B42" s="430" t="str">
        <f>'1-συμβολαια'!C42</f>
        <v>χρησικτησία 1/2 οικοπέδου &amp; οικίας = συζυγου 1972 ΔΩΡΕΑ άτυπος</v>
      </c>
      <c r="C42" s="431">
        <f>'1-συμβολαια'!D42</f>
        <v>11206.2</v>
      </c>
      <c r="D42" s="431"/>
      <c r="E42" s="430"/>
      <c r="F42" s="430"/>
      <c r="G42" s="430"/>
      <c r="H42" s="430"/>
      <c r="I42" s="430"/>
      <c r="J42" s="430"/>
      <c r="K42" s="430"/>
      <c r="L42" s="430"/>
      <c r="M42" s="431">
        <f t="shared" si="6"/>
        <v>72.840300000000013</v>
      </c>
      <c r="N42" s="430"/>
      <c r="O42" s="430"/>
      <c r="P42" s="430"/>
      <c r="Q42" s="430"/>
      <c r="R42" s="430"/>
      <c r="S42" s="430"/>
      <c r="T42" s="430"/>
      <c r="U42" s="430"/>
      <c r="V42" s="431">
        <f t="shared" si="7"/>
        <v>14.007750000000001</v>
      </c>
      <c r="W42" s="430"/>
      <c r="X42" s="430"/>
      <c r="Y42" s="430"/>
      <c r="Z42" s="430"/>
      <c r="AA42" s="430"/>
      <c r="AB42" s="430"/>
      <c r="AC42" s="430"/>
      <c r="AD42" s="430"/>
      <c r="AE42" s="431">
        <f t="shared" si="8"/>
        <v>86.848050000000015</v>
      </c>
      <c r="AF42" s="431"/>
      <c r="AG42" s="431">
        <f t="shared" si="9"/>
        <v>86.848050000000015</v>
      </c>
      <c r="AH42" s="430"/>
      <c r="AI42" s="430"/>
      <c r="AJ42" s="430"/>
      <c r="AK42" s="430"/>
      <c r="AL42" s="73"/>
    </row>
    <row r="43" spans="1:38">
      <c r="A43" s="805" t="str">
        <f>'1-συμβολαια'!A43</f>
        <v>σύνολο</v>
      </c>
      <c r="B43" s="806"/>
      <c r="C43" s="807"/>
      <c r="D43" s="441">
        <f>SUM(D3:D30)</f>
        <v>0</v>
      </c>
      <c r="E43" s="567"/>
      <c r="F43" s="567"/>
      <c r="G43" s="567"/>
      <c r="H43" s="567"/>
      <c r="I43" s="567"/>
      <c r="J43" s="567"/>
      <c r="K43" s="567"/>
      <c r="L43" s="567"/>
      <c r="M43" s="441">
        <f>SUM(M3:M42)</f>
        <v>794.42187500000023</v>
      </c>
      <c r="N43" s="441">
        <f t="shared" ref="N43:AG43" si="10">SUM(N3:N42)</f>
        <v>0</v>
      </c>
      <c r="O43" s="441">
        <f t="shared" si="10"/>
        <v>0</v>
      </c>
      <c r="P43" s="441">
        <f t="shared" si="10"/>
        <v>0</v>
      </c>
      <c r="Q43" s="441">
        <f t="shared" si="10"/>
        <v>0</v>
      </c>
      <c r="R43" s="441">
        <f t="shared" si="10"/>
        <v>0</v>
      </c>
      <c r="S43" s="441">
        <f t="shared" si="10"/>
        <v>0</v>
      </c>
      <c r="T43" s="441">
        <f t="shared" si="10"/>
        <v>0</v>
      </c>
      <c r="U43" s="441">
        <f t="shared" si="10"/>
        <v>0</v>
      </c>
      <c r="V43" s="441">
        <f t="shared" si="10"/>
        <v>152.7734375</v>
      </c>
      <c r="W43" s="441">
        <f t="shared" si="10"/>
        <v>0</v>
      </c>
      <c r="X43" s="441">
        <f t="shared" si="10"/>
        <v>0</v>
      </c>
      <c r="Y43" s="441">
        <f t="shared" si="10"/>
        <v>0</v>
      </c>
      <c r="Z43" s="441">
        <f t="shared" si="10"/>
        <v>0</v>
      </c>
      <c r="AA43" s="441">
        <f t="shared" si="10"/>
        <v>0</v>
      </c>
      <c r="AB43" s="441">
        <f t="shared" si="10"/>
        <v>0</v>
      </c>
      <c r="AC43" s="441">
        <f t="shared" si="10"/>
        <v>0</v>
      </c>
      <c r="AD43" s="441">
        <f t="shared" si="10"/>
        <v>0</v>
      </c>
      <c r="AE43" s="441">
        <f t="shared" si="10"/>
        <v>947.19531250000011</v>
      </c>
      <c r="AF43" s="441">
        <f t="shared" si="10"/>
        <v>352.28999999999996</v>
      </c>
      <c r="AG43" s="441">
        <f t="shared" si="10"/>
        <v>594.90531250000004</v>
      </c>
      <c r="AH43" s="567"/>
      <c r="AI43" s="567"/>
      <c r="AJ43" s="567"/>
      <c r="AK43" s="567"/>
      <c r="AL43" s="184"/>
    </row>
    <row r="45" spans="1:38">
      <c r="E45" s="2"/>
      <c r="F45" s="2"/>
      <c r="G45" s="2"/>
      <c r="H45" s="154" t="s">
        <v>335</v>
      </c>
      <c r="I45" s="2"/>
      <c r="J45" s="2"/>
      <c r="K45" s="2"/>
      <c r="L45" s="2"/>
      <c r="M45" s="2"/>
      <c r="N45" s="2"/>
      <c r="O45" s="2"/>
      <c r="P45" s="2"/>
      <c r="Q45" s="154" t="s">
        <v>335</v>
      </c>
      <c r="R45" s="2"/>
      <c r="S45" s="2"/>
      <c r="T45" s="2"/>
      <c r="U45" s="2"/>
      <c r="V45" s="2"/>
      <c r="W45" s="2"/>
      <c r="X45" s="2"/>
      <c r="Y45" s="2"/>
      <c r="Z45" s="154" t="s">
        <v>335</v>
      </c>
      <c r="AA45" s="2"/>
      <c r="AB45" s="2"/>
      <c r="AC45" s="2"/>
      <c r="AD45" s="2"/>
      <c r="AE45" s="2"/>
    </row>
    <row r="46" spans="1:38">
      <c r="E46" s="2"/>
      <c r="F46" s="188" t="s">
        <v>336</v>
      </c>
      <c r="G46" s="188"/>
      <c r="H46" s="188"/>
      <c r="I46" s="188"/>
      <c r="J46" s="188"/>
      <c r="K46" s="188"/>
      <c r="L46" s="188"/>
      <c r="M46" s="188"/>
      <c r="N46" s="188"/>
      <c r="O46" s="188" t="s">
        <v>336</v>
      </c>
      <c r="P46" s="2"/>
      <c r="Q46" s="2"/>
      <c r="R46" s="2"/>
      <c r="S46" s="2"/>
      <c r="T46" s="2"/>
      <c r="U46" s="2"/>
      <c r="V46" s="2"/>
      <c r="W46" s="2"/>
      <c r="X46" s="188" t="s">
        <v>336</v>
      </c>
      <c r="Y46" s="2"/>
      <c r="Z46" s="2"/>
      <c r="AA46" s="2"/>
      <c r="AB46" s="2"/>
      <c r="AC46" s="2"/>
      <c r="AD46" s="2"/>
      <c r="AE46" s="2"/>
    </row>
    <row r="47" spans="1:38">
      <c r="E47" s="2"/>
      <c r="F47" s="2"/>
      <c r="G47" s="2"/>
      <c r="H47" s="2"/>
      <c r="I47" s="4"/>
      <c r="J47" s="158" t="s">
        <v>337</v>
      </c>
      <c r="K47" s="154"/>
      <c r="L47" s="2"/>
      <c r="M47" s="2"/>
      <c r="N47" s="2"/>
      <c r="O47" s="2"/>
      <c r="P47" s="2"/>
      <c r="Q47" s="4"/>
      <c r="R47" s="158" t="s">
        <v>338</v>
      </c>
      <c r="S47" s="158"/>
      <c r="T47" s="158"/>
      <c r="U47" s="158"/>
      <c r="V47" s="4"/>
      <c r="W47" s="4"/>
      <c r="X47" s="4"/>
      <c r="Y47" s="4"/>
      <c r="Z47" s="4"/>
      <c r="AA47" s="158" t="s">
        <v>338</v>
      </c>
      <c r="AB47" s="158"/>
      <c r="AC47" s="158"/>
      <c r="AD47" s="154"/>
      <c r="AE47" s="2"/>
    </row>
    <row r="48" spans="1:38">
      <c r="E48" s="2"/>
      <c r="F48" s="2"/>
      <c r="G48" s="2"/>
      <c r="H48" s="2"/>
      <c r="I48" s="158" t="s">
        <v>338</v>
      </c>
      <c r="J48" s="4"/>
      <c r="K48" s="2"/>
      <c r="L48" s="2"/>
      <c r="M48" s="2"/>
      <c r="N48" s="2"/>
      <c r="O48" s="2"/>
      <c r="P48" s="2"/>
      <c r="Q48" s="4"/>
      <c r="R48" s="4"/>
      <c r="S48" s="158" t="s">
        <v>337</v>
      </c>
      <c r="T48" s="158"/>
      <c r="U48" s="4"/>
      <c r="V48" s="4"/>
      <c r="W48" s="4"/>
      <c r="X48" s="4"/>
      <c r="Y48" s="4"/>
      <c r="Z48" s="4"/>
      <c r="AA48" s="4"/>
      <c r="AB48" s="158" t="s">
        <v>337</v>
      </c>
      <c r="AC48" s="158"/>
      <c r="AD48" s="2"/>
      <c r="AE48" s="2"/>
    </row>
    <row r="49" spans="5:31">
      <c r="E49" s="2"/>
      <c r="F49" s="2"/>
      <c r="G49" s="2"/>
      <c r="H49" s="2"/>
      <c r="I49" s="4"/>
      <c r="J49" s="4"/>
      <c r="K49" s="2"/>
      <c r="L49" s="2"/>
      <c r="M49" s="2"/>
      <c r="N49" s="2"/>
      <c r="O49" s="2"/>
      <c r="P49" s="2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2"/>
      <c r="AE49" s="2"/>
    </row>
    <row r="50" spans="5:31">
      <c r="E50" s="189" t="s">
        <v>339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190" t="s">
        <v>340</v>
      </c>
      <c r="R50" s="2"/>
      <c r="S50" s="2"/>
      <c r="T50" s="2"/>
      <c r="U50" s="2"/>
      <c r="V50" s="2"/>
      <c r="W50" s="2"/>
      <c r="X50" s="2"/>
      <c r="Y50" s="2"/>
      <c r="Z50" s="191" t="s">
        <v>341</v>
      </c>
      <c r="AA50" s="2"/>
      <c r="AB50" s="2"/>
      <c r="AC50" s="2"/>
      <c r="AD50" s="2"/>
      <c r="AE50" s="2"/>
    </row>
    <row r="51" spans="5:31">
      <c r="E51" s="192" t="s">
        <v>342</v>
      </c>
      <c r="F51" s="2"/>
      <c r="G51" s="2"/>
      <c r="H51" s="2"/>
      <c r="I51" s="2"/>
      <c r="J51" s="2"/>
      <c r="K51" s="2"/>
      <c r="L51" s="2"/>
      <c r="M51" s="8"/>
      <c r="N51" s="2"/>
      <c r="O51" s="154"/>
      <c r="P51" s="154"/>
      <c r="Q51" s="154"/>
      <c r="R51" s="154"/>
      <c r="S51" s="193" t="s">
        <v>343</v>
      </c>
      <c r="T51" s="154"/>
      <c r="U51" s="154"/>
      <c r="V51" s="154"/>
      <c r="W51" s="2"/>
      <c r="X51" s="2"/>
      <c r="Y51" s="2"/>
      <c r="Z51" s="2"/>
      <c r="AA51" s="194" t="s">
        <v>344</v>
      </c>
      <c r="AB51" s="2"/>
      <c r="AC51" s="2"/>
      <c r="AD51" s="2"/>
      <c r="AE51" s="2"/>
    </row>
    <row r="52" spans="5:31">
      <c r="E52" s="2"/>
      <c r="F52" s="192" t="s">
        <v>345</v>
      </c>
      <c r="G52" s="2"/>
      <c r="H52" s="2"/>
      <c r="I52" s="2"/>
      <c r="J52" s="2"/>
      <c r="K52" s="2"/>
      <c r="L52" s="2"/>
      <c r="M52" s="8"/>
      <c r="N52" s="2"/>
      <c r="O52" s="2"/>
      <c r="P52" s="2"/>
      <c r="Q52" s="2"/>
      <c r="R52" s="2"/>
      <c r="S52" s="195" t="s">
        <v>346</v>
      </c>
      <c r="T52" s="2"/>
      <c r="U52" s="2"/>
      <c r="V52" s="2"/>
      <c r="W52" s="2"/>
      <c r="X52" s="2"/>
      <c r="Y52" s="2"/>
      <c r="Z52" s="2"/>
      <c r="AA52" s="2"/>
      <c r="AB52" s="195" t="s">
        <v>346</v>
      </c>
      <c r="AC52" s="2"/>
      <c r="AD52" s="2"/>
      <c r="AE52" s="2"/>
    </row>
    <row r="53" spans="5:31">
      <c r="E53" s="2"/>
      <c r="F53" s="2"/>
      <c r="G53" s="2"/>
      <c r="H53" s="2"/>
      <c r="I53" s="2"/>
      <c r="J53" s="2"/>
      <c r="K53" s="2"/>
      <c r="L53" s="2"/>
      <c r="M53" s="8"/>
      <c r="N53" s="2"/>
      <c r="O53" s="2"/>
      <c r="P53" s="154"/>
      <c r="Q53" s="154"/>
      <c r="R53" s="154"/>
      <c r="S53" s="154"/>
      <c r="T53" s="154"/>
      <c r="U53" s="154"/>
      <c r="V53" s="154"/>
      <c r="W53" s="154"/>
      <c r="X53" s="154"/>
      <c r="Y53" s="2"/>
      <c r="Z53" s="2"/>
      <c r="AA53" s="2"/>
      <c r="AB53" s="193" t="s">
        <v>343</v>
      </c>
      <c r="AC53" s="2"/>
      <c r="AD53" s="2"/>
      <c r="AE53" s="2"/>
    </row>
    <row r="54" spans="5:31">
      <c r="E54" s="2"/>
      <c r="F54" s="2"/>
      <c r="G54" s="2"/>
      <c r="H54" s="2"/>
      <c r="I54" s="2"/>
      <c r="J54" s="2"/>
      <c r="K54" s="2"/>
      <c r="L54" s="2"/>
      <c r="M54" s="8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</sheetData>
  <mergeCells count="10">
    <mergeCell ref="A43:C43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2026-01-25T19:03:06Z</dcterms:modified>
</cp:coreProperties>
</file>